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2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10.xml.rels" ContentType="application/vnd.openxmlformats-package.relationships+xml"/>
  <Override PartName="/xl/worksheets/_rels/sheet14.xml.rels" ContentType="application/vnd.openxmlformats-package.relationships+xml"/>
  <Override PartName="/xl/worksheets/_rels/sheet13.xml.rels" ContentType="application/vnd.openxmlformats-package.relationships+xml"/>
  <Override PartName="/xl/worksheets/_rels/sheet25.xml.rels" ContentType="application/vnd.openxmlformats-package.relationships+xml"/>
  <Override PartName="/xl/worksheets/_rels/sheet7.xml.rels" ContentType="application/vnd.openxmlformats-package.relationships+xml"/>
  <Override PartName="/xl/worksheets/_rels/sheet19.xml.rels" ContentType="application/vnd.openxmlformats-package.relationships+xml"/>
  <Override PartName="/xl/worksheets/_rels/sheet2.xml.rels" ContentType="application/vnd.openxmlformats-package.relationships+xml"/>
  <Override PartName="/xl/worksheets/_rels/sheet20.xml.rels" ContentType="application/vnd.openxmlformats-package.relationships+xml"/>
  <Override PartName="/xl/worksheets/_rels/sheet18.xml.rels" ContentType="application/vnd.openxmlformats-package.relationships+xml"/>
  <Override PartName="/xl/worksheets/_rels/sheet17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5.xml" ContentType="application/vnd.openxmlformats-officedocument.spreadsheetml.worksheet+xml"/>
  <Override PartName="/xl/worksheets/sheet2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9.xml" ContentType="application/vnd.openxmlformats-officedocument.drawing+xml"/>
  <Override PartName="/xl/drawings/drawing18.xml" ContentType="application/vnd.openxmlformats-officedocument.drawing+xml"/>
  <Override PartName="/xl/drawings/_rels/drawing8.xml.rels" ContentType="application/vnd.openxmlformats-package.relationships+xml"/>
  <Override PartName="/xl/drawings/_rels/drawing17.xml.rels" ContentType="application/vnd.openxmlformats-package.relationships+xml"/>
  <Override PartName="/xl/drawings/_rels/drawing2.xml.rels" ContentType="application/vnd.openxmlformats-package.relationships+xml"/>
  <Override PartName="/xl/drawings/_rels/drawing7.xml.rels" ContentType="application/vnd.openxmlformats-package.relationships+xml"/>
  <Override PartName="/xl/drawings/_rels/drawing16.xml.rels" ContentType="application/vnd.openxmlformats-package.relationships+xml"/>
  <Override PartName="/xl/drawings/_rels/drawing11.xml.rels" ContentType="application/vnd.openxmlformats-package.relationships+xml"/>
  <Override PartName="/xl/drawings/_rels/drawing13.xml.rels" ContentType="application/vnd.openxmlformats-package.relationships+xml"/>
  <Override PartName="/xl/drawings/_rels/drawing4.xml.rels" ContentType="application/vnd.openxmlformats-package.relationships+xml"/>
  <Override PartName="/xl/drawings/_rels/drawing9.xml.rels" ContentType="application/vnd.openxmlformats-package.relationships+xml"/>
  <Override PartName="/xl/drawings/_rels/drawing14.xml.rels" ContentType="application/vnd.openxmlformats-package.relationships+xml"/>
  <Override PartName="/xl/drawings/_rels/drawing18.xml.rels" ContentType="application/vnd.openxmlformats-package.relationships+xml"/>
  <Override PartName="/xl/drawings/_rels/drawing12.xml.rels" ContentType="application/vnd.openxmlformats-package.relationships+xml"/>
  <Override PartName="/xl/drawings/_rels/drawing3.xml.rels" ContentType="application/vnd.openxmlformats-package.relationships+xml"/>
  <Override PartName="/xl/drawings/_rels/drawing19.xml.rels" ContentType="application/vnd.openxmlformats-package.relationships+xml"/>
  <Override PartName="/xl/drawings/_rels/drawing1.xml.rels" ContentType="application/vnd.openxmlformats-package.relationships+xml"/>
  <Override PartName="/xl/drawings/_rels/drawing5.xml.rels" ContentType="application/vnd.openxmlformats-package.relationships+xml"/>
  <Override PartName="/xl/drawings/_rels/drawing10.xml.rels" ContentType="application/vnd.openxmlformats-package.relationships+xml"/>
  <Override PartName="/xl/drawings/_rels/drawing15.xml.rels" ContentType="application/vnd.openxmlformats-package.relationships+xml"/>
  <Override PartName="/xl/drawings/_rels/drawing6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9.xml" ContentType="application/vnd.openxmlformats-officedocument.drawing+xml"/>
  <Override PartName="/xl/drawings/drawing14.xml" ContentType="application/vnd.openxmlformats-officedocument.drawing+xml"/>
  <Override PartName="/xl/drawings/drawing5.xml" ContentType="application/vnd.openxmlformats-officedocument.drawing+xml"/>
  <Override PartName="/xl/drawings/drawing1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16.xml" ContentType="application/vnd.openxmlformats-officedocument.drawing+xml"/>
  <Override PartName="/xl/drawings/drawing7.xml" ContentType="application/vnd.openxmlformats-officedocument.drawing+xml"/>
  <Override PartName="/xl/drawings/drawing2.xml" ContentType="application/vnd.openxmlformats-officedocument.drawing+xml"/>
  <Override PartName="/xl/drawings/drawing11.xml" ContentType="application/vnd.openxmlformats-officedocument.drawing+xml"/>
  <Override PartName="/xl/drawings/drawing17.xml" ContentType="application/vnd.openxmlformats-officedocument.drawing+xml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-Cnsrv" sheetId="1" state="visible" r:id="rId3"/>
    <sheet name="Summ-Avg" sheetId="2" state="visible" r:id="rId4"/>
    <sheet name="Summ-Peak" sheetId="3" state="visible" r:id="rId5"/>
    <sheet name="Cash Flow" sheetId="4" state="visible" r:id="rId6"/>
    <sheet name="CF- Net of Tax" sheetId="5" state="visible" r:id="rId7"/>
    <sheet name="ROI Breakdown" sheetId="6" state="visible" r:id="rId8"/>
    <sheet name="SW Cost" sheetId="7" state="visible" r:id="rId9"/>
    <sheet name="Inc" sheetId="8" state="visible" r:id="rId10"/>
    <sheet name="BS" sheetId="9" state="visible" r:id="rId11"/>
    <sheet name="R1" sheetId="10" state="hidden" r:id="rId12"/>
    <sheet name="R2" sheetId="11" state="hidden" r:id="rId13"/>
    <sheet name="E1" sheetId="12" state="visible" r:id="rId14"/>
    <sheet name="E2" sheetId="13" state="visible" r:id="rId15"/>
    <sheet name="E3" sheetId="14" state="visible" r:id="rId16"/>
    <sheet name="E4" sheetId="15" state="visible" r:id="rId17"/>
    <sheet name="E5" sheetId="16" state="visible" r:id="rId18"/>
    <sheet name="E7" sheetId="17" state="hidden" r:id="rId19"/>
    <sheet name="E8" sheetId="18" state="hidden" r:id="rId20"/>
    <sheet name="A1" sheetId="19" state="hidden" r:id="rId21"/>
    <sheet name="A2" sheetId="20" state="visible" r:id="rId22"/>
    <sheet name="X" sheetId="21" state="hidden" r:id="rId23"/>
    <sheet name="I" sheetId="22" state="hidden" r:id="rId24"/>
    <sheet name="5Years" sheetId="23" state="visible" r:id="rId25"/>
    <sheet name="Assumptions" sheetId="24" state="visible" r:id="rId26"/>
    <sheet name="E6" sheetId="25" state="visible" r:id="rId27"/>
  </sheets>
  <definedNames>
    <definedName function="false" hidden="false" localSheetId="3" name="_xlnm.Print_Area" vbProcedure="false">'Cash Flow'!$A$1:$H$18</definedName>
    <definedName function="false" hidden="false" localSheetId="4" name="_xlnm.Print_Area" vbProcedure="false">'CF- Net of Tax'!$A$1:$H$18</definedName>
    <definedName function="false" hidden="false" localSheetId="21" name="_xlnm.Print_Titles" vbProcedure="false">I!$A:$B,I!$1:$4</definedName>
    <definedName function="false" hidden="false" localSheetId="7" name="_xlnm.Print_Titles" vbProcedure="false">Inc!$A:$A,Inc!$1:$3</definedName>
    <definedName function="false" hidden="false" localSheetId="5" name="_xlnm.Print_Area" vbProcedure="false">'ROI Breakdown'!$A$1:$N$71</definedName>
    <definedName function="false" hidden="false" localSheetId="1" name="_xlnm.Print_Area" vbProcedure="false">'Summ-Avg'!$A$1:$S$51</definedName>
    <definedName function="false" hidden="false" localSheetId="0" name="_xlnm.Print_Area" vbProcedure="false">'Summ-Cnsrv'!$A$1:$S$51</definedName>
    <definedName function="false" hidden="false" localSheetId="2" name="_xlnm.Print_Area" vbProcedure="false">'Summ-Peak'!$A$1:$S$51</definedName>
    <definedName function="false" hidden="false" localSheetId="20" name="_xlnm.Print_Titles" vbProcedure="false">X!$1:$4</definedName>
    <definedName function="false" hidden="false" name="Assets" vbProcedure="false">#REF!</definedName>
    <definedName function="false" hidden="false" name="Expenses" vbProcedure="false">#REF!</definedName>
    <definedName function="false" hidden="false" name="LOGO" vbProcedure="false">LOGO</definedName>
    <definedName function="false" hidden="false" name="LOGO1" vbProcedure="false">LOGO1</definedName>
    <definedName function="false" hidden="false" name="POSTPONEMENT" vbProcedure="false">{#N/A,#N/A,FALSE,"Database"}</definedName>
    <definedName function="false" hidden="false" name="POSTPONEMENT1" vbProcedure="false">{#N/A,#N/A,FALSE,"Database"}</definedName>
    <definedName function="false" hidden="false" name="Revenue" vbProcedure="false">#REF!</definedName>
    <definedName function="false" hidden="false" name="wrn_Decision___Criteria___Profile_" vbProcedure="false">{#N/A,#N/A,FALSE,"Database"}</definedName>
    <definedName function="false" hidden="false" localSheetId="4" name="LOGO" vbProcedure="false">LOGO</definedName>
    <definedName function="false" hidden="false" localSheetId="4" name="POSTPONEMENT" vbProcedure="false">{#N/A,#N/A,FALSE,"Database"}</definedName>
    <definedName function="false" hidden="false" localSheetId="4" name="POSTPONEMENT1" vbProcedure="false">{#N/A,#N/A,FALSE,"Database"}</definedName>
    <definedName function="false" hidden="false" localSheetId="4" name="wrn_Decision___Criteria___Profile_" vbProcedure="false">{#N/A,#N/A,FALSE,"Database"}</definedName>
    <definedName function="false" hidden="false" localSheetId="6" name="ACwvu_links_" vbProcedure="false">'SW Cost'!$Q$23</definedName>
    <definedName function="false" hidden="false" localSheetId="6" name="LOGO" vbProcedure="false">LOGO</definedName>
    <definedName function="false" hidden="false" localSheetId="6" name="POSTPONEMENT" vbProcedure="false">{#N/A,#N/A,FALSE,"Database"}</definedName>
    <definedName function="false" hidden="false" localSheetId="6" name="Swvu_links_" vbProcedure="false">'SW Cost'!$Q$23</definedName>
    <definedName function="false" hidden="false" localSheetId="6" name="wrn_Decision___Criteria___Profile_" vbProcedure="false">{#N/A,#N/A,FALSE,"Database"}</definedName>
    <definedName function="false" hidden="false" localSheetId="6" name="wvu_links_" vbProcedure="false">{,,,,,,,,,,,,,,,,,,,,,,,,,,,,,,,,,,,,,,,,,,,,,,,,,,,,,,,,,,,}</definedName>
    <definedName function="false" hidden="false" localSheetId="8" name="POSTPONEMENT" vbProcedure="false">{#N/A,#N/A,FALSE,"Database"}</definedName>
    <definedName function="false" hidden="false" localSheetId="8" name="POSTPONEMENT1" vbProcedure="false">{#N/A,#N/A,FALSE,"Database"}</definedName>
    <definedName function="false" hidden="false" localSheetId="8" name="wrn_Decision___Criteria___Profile_" vbProcedure="false">{#N/A,#N/A,FALSE,"Database"}</definedName>
    <definedName function="false" hidden="false" localSheetId="12" name="LOGO" vbProcedure="false">LOGO</definedName>
    <definedName function="false" hidden="false" localSheetId="12" name="POSTPONEMENT" vbProcedure="false">{#N/A,#N/A,FALSE,"Database"}</definedName>
    <definedName function="false" hidden="false" localSheetId="12" name="POSTPONEMENT1" vbProcedure="false">{#N/A,#N/A,FALSE,"Database"}</definedName>
    <definedName function="false" hidden="false" localSheetId="12" name="wrn_Decision___Criteria___Profile_" vbProcedure="false">{#N/A,#N/A,FALSE,"Database"}</definedName>
    <definedName function="false" hidden="false" localSheetId="13" name="LOGO" vbProcedure="false">LOGO</definedName>
    <definedName function="false" hidden="false" localSheetId="13" name="POSTPONEMENT" vbProcedure="false">{#N/A,#N/A,FALSE,"Database"}</definedName>
    <definedName function="false" hidden="false" localSheetId="13" name="POSTPONEMENT1" vbProcedure="false">{#N/A,#N/A,FALSE,"Database"}</definedName>
    <definedName function="false" hidden="false" localSheetId="13" name="wrn_Decision___Criteria___Profile_" vbProcedure="false">{#N/A,#N/A,FALSE,"Database"}</definedName>
    <definedName function="false" hidden="false" localSheetId="15" name="POSTPONEMENT" vbProcedure="false">{#N/A,#N/A,FALSE,"Database"}</definedName>
    <definedName function="false" hidden="false" localSheetId="15" name="POSTPONEMENT1" vbProcedure="false">{#N/A,#N/A,FALSE,"Database"}</definedName>
    <definedName function="false" hidden="false" localSheetId="15" name="wrn_Decision___Criteria___Profile_" vbProcedure="false">{#N/A,#N/A,FALSE,"Database"}</definedName>
    <definedName function="false" hidden="false" localSheetId="16" name="POSTPONEMENT" vbProcedure="false">{#N/A,#N/A,FALSE,"Database"}</definedName>
    <definedName function="false" hidden="false" localSheetId="16" name="POSTPONEMENT1" vbProcedure="false">{#N/A,#N/A,FALSE,"Database"}</definedName>
    <definedName function="false" hidden="false" localSheetId="16" name="wrn_Decision___Criteria___Profile_" vbProcedure="false">{#N/A,#N/A,FALSE,"Database"}</definedName>
    <definedName function="false" hidden="false" localSheetId="19" name="POSTPONEMENT" vbProcedure="false">{#N/A,#N/A,FALSE,"Database"}</definedName>
    <definedName function="false" hidden="false" localSheetId="19" name="POSTPONEMENT1" vbProcedure="false">{#N/A,#N/A,FALSE,"Database"}</definedName>
    <definedName function="false" hidden="false" localSheetId="19" name="wrn_Decision___Criteria___Profile_" vbProcedure="false">{#N/A,#N/A,FALSE,"Database"}</definedName>
    <definedName function="false" hidden="false" localSheetId="21" name="LOGO" vbProcedure="false">LOGO</definedName>
    <definedName function="false" hidden="false" localSheetId="21" name="POSTPONEMENT" vbProcedure="false">{#N/A,#N/A,FALSE,"Database"}</definedName>
    <definedName function="false" hidden="false" localSheetId="21" name="wrn_Decision___Criteria___Profile_" vbProcedure="false">{#N/A,#N/A,FALSE,"Database"}</definedName>
    <definedName function="false" hidden="false" localSheetId="24" name="POSTPONEMENT" vbProcedure="false">{#N/A,#N/A,FALSE,"Database"}</definedName>
    <definedName function="false" hidden="false" localSheetId="24" name="POSTPONEMENT1" vbProcedure="false">{#N/A,#N/A,FALSE,"Database"}</definedName>
    <definedName function="false" hidden="false" localSheetId="24" name="wrn_Decision___Criteria___Profile_" vbProcedure="false">{#N/A,#N/A,FALSE,"Database"}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<sst xmlns="http://schemas.openxmlformats.org/spreadsheetml/2006/main" count="1367" uniqueCount="604">
  <si>
    <t xml:space="preserve">Option X verses Staus Quo</t>
  </si>
  <si>
    <t xml:space="preserve">Conservative</t>
  </si>
  <si>
    <t xml:space="preserve">Investment Cash Outlays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</si>
  <si>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</si>
  <si>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</si>
  <si>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</si>
  <si>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</si>
  <si>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</si>
  <si>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Total</t>
  </si>
  <si>
    <t xml:space="preserve"> </t>
  </si>
  <si>
    <t xml:space="preserve">Total Cash Outlays</t>
  </si>
  <si>
    <t xml:space="preserve">Expenses</t>
  </si>
  <si>
    <t xml:space="preserve">Depreciation</t>
  </si>
  <si>
    <t xml:space="preserve">Total Expenses</t>
  </si>
  <si>
    <t xml:space="preserve">Benefits from Perfect System</t>
  </si>
  <si>
    <t xml:space="preserve">Revenue Enhancements</t>
  </si>
  <si>
    <t xml:space="preserve">Customer Srv. and Acct Mgmt</t>
  </si>
  <si>
    <t xml:space="preserve">Margin and Discount Mgmt</t>
  </si>
  <si>
    <t xml:space="preserve">Expense Reductions</t>
  </si>
  <si>
    <t xml:space="preserve">Cost of Sales</t>
  </si>
  <si>
    <t xml:space="preserve">Vendor Matching</t>
  </si>
  <si>
    <t xml:space="preserve">Maverick Spending</t>
  </si>
  <si>
    <t xml:space="preserve">Reduction in Capital Charge</t>
  </si>
  <si>
    <t xml:space="preserve">Aggregation</t>
  </si>
  <si>
    <t xml:space="preserve">Purchase Labor </t>
  </si>
  <si>
    <t xml:space="preserve">Improved Plan &amp; Budget</t>
  </si>
  <si>
    <t xml:space="preserve">Sales Labor </t>
  </si>
  <si>
    <t xml:space="preserve">Cash Flow Improved</t>
  </si>
  <si>
    <t xml:space="preserve">Accounts Receivable Reduction</t>
  </si>
  <si>
    <t xml:space="preserve">Inventory Reduction</t>
  </si>
  <si>
    <t xml:space="preserve">Average</t>
  </si>
  <si>
    <t xml:space="preserve">Peak</t>
  </si>
  <si>
    <t xml:space="preserve">Margin and Discount Management</t>
  </si>
  <si>
    <t xml:space="preserve">Cash Flow Impact</t>
  </si>
  <si>
    <t xml:space="preserve">DESCRIPTION</t>
  </si>
  <si>
    <t xml:space="preserve">PERIOD</t>
  </si>
  <si>
    <t xml:space="preserve">Total Cost of Ownership</t>
  </si>
  <si>
    <t xml:space="preserve">Cash Flow (Based on Average)</t>
  </si>
  <si>
    <t xml:space="preserve">Performance Indicators:</t>
  </si>
  <si>
    <t xml:space="preserve">Average </t>
  </si>
  <si>
    <t xml:space="preserve">ROI</t>
  </si>
  <si>
    <t xml:space="preserve">Note: Discount Rate Assumed</t>
  </si>
  <si>
    <t xml:space="preserve">NPV</t>
  </si>
  <si>
    <t xml:space="preserve">IRR</t>
  </si>
  <si>
    <t xml:space="preserve">EPS</t>
  </si>
  <si>
    <t xml:space="preserve">Incremental EPS Perfromance</t>
  </si>
  <si>
    <t xml:space="preserve">Payback Period </t>
  </si>
  <si>
    <t xml:space="preserve">months</t>
  </si>
  <si>
    <t xml:space="preserve">*Actual EPS for company XYZ</t>
  </si>
  <si>
    <t xml:space="preserve">Annual Rate</t>
  </si>
  <si>
    <t xml:space="preserve">Monthly Rate</t>
  </si>
  <si>
    <t xml:space="preserve">Cost of Ownership</t>
  </si>
  <si>
    <t xml:space="preserve">Total Improvements</t>
  </si>
  <si>
    <t xml:space="preserve">Present Value</t>
  </si>
  <si>
    <t xml:space="preserve">Month 1</t>
  </si>
  <si>
    <t xml:space="preserve">Month 2</t>
  </si>
  <si>
    <t xml:space="preserve">Month 3</t>
  </si>
  <si>
    <t xml:space="preserve">Month 4</t>
  </si>
  <si>
    <t xml:space="preserve">Month 5</t>
  </si>
  <si>
    <t xml:space="preserve">Month 6</t>
  </si>
  <si>
    <t xml:space="preserve">Month 7</t>
  </si>
  <si>
    <t xml:space="preserve">Month 8</t>
  </si>
  <si>
    <t xml:space="preserve">Month 9</t>
  </si>
  <si>
    <t xml:space="preserve">Month 10</t>
  </si>
  <si>
    <t xml:space="preserve">Month 11</t>
  </si>
  <si>
    <t xml:space="preserve">Month 12</t>
  </si>
  <si>
    <t xml:space="preserve">Month 13</t>
  </si>
  <si>
    <t xml:space="preserve">Month 14</t>
  </si>
  <si>
    <t xml:space="preserve">Month 15</t>
  </si>
  <si>
    <t xml:space="preserve">Month 16</t>
  </si>
  <si>
    <t xml:space="preserve">Month 17</t>
  </si>
  <si>
    <t xml:space="preserve">Month 18</t>
  </si>
  <si>
    <t xml:space="preserve">Month 19</t>
  </si>
  <si>
    <t xml:space="preserve">Month 20</t>
  </si>
  <si>
    <t xml:space="preserve">Month 21</t>
  </si>
  <si>
    <t xml:space="preserve">Month 22</t>
  </si>
  <si>
    <t xml:space="preserve">Month 23</t>
  </si>
  <si>
    <t xml:space="preserve">Month 24</t>
  </si>
  <si>
    <t xml:space="preserve">Month 25</t>
  </si>
  <si>
    <t xml:space="preserve">Month 26</t>
  </si>
  <si>
    <t xml:space="preserve">Month 27</t>
  </si>
  <si>
    <t xml:space="preserve">Month 28</t>
  </si>
  <si>
    <t xml:space="preserve">Month 29</t>
  </si>
  <si>
    <t xml:space="preserve">Month 30</t>
  </si>
  <si>
    <t xml:space="preserve">Month 31</t>
  </si>
  <si>
    <t xml:space="preserve">Month 32</t>
  </si>
  <si>
    <t xml:space="preserve">Month 33</t>
  </si>
  <si>
    <t xml:space="preserve">Month 34</t>
  </si>
  <si>
    <t xml:space="preserve">Month 35</t>
  </si>
  <si>
    <t xml:space="preserve">Month 36</t>
  </si>
  <si>
    <t xml:space="preserve">Month 37</t>
  </si>
  <si>
    <t xml:space="preserve">Month 38</t>
  </si>
  <si>
    <t xml:space="preserve">Month 39</t>
  </si>
  <si>
    <t xml:space="preserve">Month 40</t>
  </si>
  <si>
    <t xml:space="preserve">Month 41</t>
  </si>
  <si>
    <t xml:space="preserve">Month 42</t>
  </si>
  <si>
    <t xml:space="preserve">Month 43</t>
  </si>
  <si>
    <t xml:space="preserve">Month 44</t>
  </si>
  <si>
    <t xml:space="preserve">Month 45</t>
  </si>
  <si>
    <t xml:space="preserve">Month 46</t>
  </si>
  <si>
    <t xml:space="preserve">Month 47</t>
  </si>
  <si>
    <t xml:space="preserve">Month 48</t>
  </si>
  <si>
    <t xml:space="preserve">Month 49</t>
  </si>
  <si>
    <t xml:space="preserve">Month 50</t>
  </si>
  <si>
    <t xml:space="preserve">Month 51</t>
  </si>
  <si>
    <t xml:space="preserve">Month 52</t>
  </si>
  <si>
    <t xml:space="preserve">Month 53</t>
  </si>
  <si>
    <t xml:space="preserve">Month 54</t>
  </si>
  <si>
    <t xml:space="preserve">Month 55</t>
  </si>
  <si>
    <t xml:space="preserve">Month 56</t>
  </si>
  <si>
    <t xml:space="preserve">Month 57</t>
  </si>
  <si>
    <t xml:space="preserve">Month 58</t>
  </si>
  <si>
    <t xml:space="preserve">Month 59</t>
  </si>
  <si>
    <t xml:space="preserve">Month 60</t>
  </si>
  <si>
    <t xml:space="preserve">Check</t>
  </si>
  <si>
    <t xml:space="preserve">Impact Net of Tax</t>
  </si>
  <si>
    <t xml:space="preserve">After Tax Benefit (Based on Average)</t>
  </si>
  <si>
    <t xml:space="preserve">Payback Period</t>
  </si>
  <si>
    <t xml:space="preserve">ROI Breakdown</t>
  </si>
  <si>
    <t xml:space="preserve">Revenue Enhancement</t>
  </si>
  <si>
    <t xml:space="preserve">Cost Reduction</t>
  </si>
  <si>
    <t xml:space="preserve">Asset Related</t>
  </si>
  <si>
    <t xml:space="preserve">Cash Flow (no Tax Consequences)</t>
  </si>
  <si>
    <t xml:space="preserve">Software</t>
  </si>
  <si>
    <t xml:space="preserve">Maintenance</t>
  </si>
  <si>
    <t xml:space="preserve">Implementation</t>
  </si>
  <si>
    <t xml:space="preserve">Training</t>
  </si>
  <si>
    <t xml:space="preserve">Tax Consequences</t>
  </si>
  <si>
    <t xml:space="preserve">Effective Tax Rate</t>
  </si>
  <si>
    <t xml:space="preserve">Total Improvements (Net of Tax)</t>
  </si>
  <si>
    <t xml:space="preserve">Cost of Ownership (Net of Tax benefit)</t>
  </si>
  <si>
    <t xml:space="preserve">Software*</t>
  </si>
  <si>
    <t xml:space="preserve">Implementation*</t>
  </si>
  <si>
    <t xml:space="preserve">Total Savings after Taxes</t>
  </si>
  <si>
    <t xml:space="preserve">Weighted Ave. shares outstanding</t>
  </si>
  <si>
    <t xml:space="preserve">Projected EPS</t>
  </si>
  <si>
    <t xml:space="preserve">Fully Dilute Before</t>
  </si>
  <si>
    <t xml:space="preserve">additional EPS</t>
  </si>
  <si>
    <t xml:space="preserve">Incremental EPS Performance</t>
  </si>
  <si>
    <t xml:space="preserve">Software Cost Input</t>
  </si>
  <si>
    <t xml:space="preserve">Year 0</t>
  </si>
  <si>
    <t xml:space="preserve">Notes</t>
  </si>
  <si>
    <t xml:space="preserve">Initial Investment - Software Cost</t>
  </si>
  <si>
    <t xml:space="preserve">Software License Fees</t>
  </si>
  <si>
    <t xml:space="preserve">PerfectMarket Platform Enterprise Edition for Solaris V2.0</t>
  </si>
  <si>
    <t xml:space="preserve">Includes 40+ reporting/analysis templates</t>
  </si>
  <si>
    <t xml:space="preserve">Post and Reply (eRFQ)</t>
  </si>
  <si>
    <t xml:space="preserve">Reverse Price Auction</t>
  </si>
  <si>
    <t xml:space="preserve">Reverse (any single dimension) auction</t>
  </si>
  <si>
    <t xml:space="preserve">Multiple Dimension matched sourcing (equal weighting)</t>
  </si>
  <si>
    <t xml:space="preserve">Multiple Weighted Tradeoffs, Optimization with Custom Indicative Bidding, Scored/Ordered results</t>
  </si>
  <si>
    <t xml:space="preserve">Multiple Weighted Tradeoffs, Optimization with Fully Automated firm/indicative Custom Bidding, multivariate reverse auction, Scored/Ordered Results</t>
  </si>
  <si>
    <t xml:space="preserve">Exchange (Price Only) w/self clearing</t>
  </si>
  <si>
    <t xml:space="preserve">Exchange, Multiple Weighted Tradeoffs, Custom Automated Bidding, Selectable self-clearing </t>
  </si>
  <si>
    <t xml:space="preserve">PerfectMarket Add-ons</t>
  </si>
  <si>
    <t xml:space="preserve">Multi-Line-Item Bill of Materials w/Packaged results</t>
  </si>
  <si>
    <t xml:space="preserve">Supplier Ratings (Open Ratings)</t>
  </si>
  <si>
    <t xml:space="preserve">Internal Ratings </t>
  </si>
  <si>
    <t xml:space="preserve">Wireless Notification</t>
  </si>
  <si>
    <t xml:space="preserve">Authorization Engine</t>
  </si>
  <si>
    <t xml:space="preserve">Market Definition Tool</t>
  </si>
  <si>
    <t xml:space="preserve">Total Initial Investment - Software Cost</t>
  </si>
  <si>
    <t xml:space="preserve">Annual Software Maintenance. Fee</t>
  </si>
  <si>
    <t xml:space="preserve">Assumption - 18% of Initial Software Cost; No cost for year 1</t>
  </si>
  <si>
    <t xml:space="preserve">Total Maintenance</t>
  </si>
  <si>
    <t xml:space="preserve">Total Software &amp; Maintenance</t>
  </si>
  <si>
    <t xml:space="preserve">Professional Services</t>
  </si>
  <si>
    <t xml:space="preserve">Initial Implementation and Configuration of Applications</t>
  </si>
  <si>
    <t xml:space="preserve">Ongoing Consulting</t>
  </si>
  <si>
    <t xml:space="preserve">Total Initial Investments</t>
  </si>
  <si>
    <t xml:space="preserve">Total Training</t>
  </si>
  <si>
    <t xml:space="preserve">Total Consulting Services &amp; Training</t>
  </si>
  <si>
    <t xml:space="preserve">Total 5-Year Project Investment</t>
  </si>
  <si>
    <t xml:space="preserve">UNION PACIFIC</t>
  </si>
  <si>
    <t xml:space="preserve">CONSOLIDATED INCOME STATEMENT</t>
  </si>
  <si>
    <t xml:space="preserve">Input Cell</t>
  </si>
  <si>
    <t xml:space="preserve">FOR YEAR TO DATE ENDED - 12/31/00</t>
  </si>
  <si>
    <t xml:space="preserve">Revenue Enhancements / Cost Savings (Year 1)</t>
  </si>
  <si>
    <t xml:space="preserve">Proforma 12 mo. Income Statement</t>
  </si>
  <si>
    <t xml:space="preserve">Actual Months</t>
  </si>
  <si>
    <t xml:space="preserve">12 Mos Annulized</t>
  </si>
  <si>
    <t xml:space="preserve">UPC</t>
  </si>
  <si>
    <t xml:space="preserve">Estimate</t>
  </si>
  <si>
    <t xml:space="preserve">Performance</t>
  </si>
  <si>
    <t xml:space="preserve">Railroad revenues</t>
  </si>
  <si>
    <t xml:space="preserve">Trucking revenues</t>
  </si>
  <si>
    <t xml:space="preserve">Other Revenue</t>
  </si>
  <si>
    <t xml:space="preserve">Total Revenue</t>
  </si>
  <si>
    <t xml:space="preserve">Depreciation Overhead</t>
  </si>
  <si>
    <t xml:space="preserve">Gross Profit</t>
  </si>
  <si>
    <t xml:space="preserve">Salaries &amp; Wages</t>
  </si>
  <si>
    <t xml:space="preserve">Fuel Expense</t>
  </si>
  <si>
    <t xml:space="preserve">Utilities Expense</t>
  </si>
  <si>
    <t xml:space="preserve">Rent expense</t>
  </si>
  <si>
    <t xml:space="preserve">Materials &amp; Supplies</t>
  </si>
  <si>
    <t xml:space="preserve">Other expenses</t>
  </si>
  <si>
    <t xml:space="preserve">EBITA</t>
  </si>
  <si>
    <t xml:space="preserve">Depreciation &amp; Amortization</t>
  </si>
  <si>
    <t xml:space="preserve">Operating Income</t>
  </si>
  <si>
    <t xml:space="preserve">Interest Expense</t>
  </si>
  <si>
    <t xml:space="preserve">Interest Income</t>
  </si>
  <si>
    <t xml:space="preserve">Other (Income)/Expense</t>
  </si>
  <si>
    <t xml:space="preserve">Pre-Tax Income Before I/C Charges</t>
  </si>
  <si>
    <t xml:space="preserve">CAH Capital Charge</t>
  </si>
  <si>
    <t xml:space="preserve">CAH Capital Charge Offset</t>
  </si>
  <si>
    <t xml:space="preserve">Intercompany Interest (Income)/Expense</t>
  </si>
  <si>
    <t xml:space="preserve">Divisional Allocation - Royalty</t>
  </si>
  <si>
    <t xml:space="preserve">Pre-Tax Income Before Expense Allocation</t>
  </si>
  <si>
    <t xml:space="preserve">Expense Allocation In/Out</t>
  </si>
  <si>
    <t xml:space="preserve">Pre-Tax Income</t>
  </si>
  <si>
    <t xml:space="preserve">U.S. Federal Income Taxes</t>
  </si>
  <si>
    <t xml:space="preserve">State &amp; Foreign Income Taxes</t>
  </si>
  <si>
    <t xml:space="preserve">Net Income</t>
  </si>
  <si>
    <t xml:space="preserve">Fully Diluted Shares O/S</t>
  </si>
  <si>
    <t xml:space="preserve">Fully Diluted Earnings per Share</t>
  </si>
  <si>
    <t xml:space="preserve">Rail</t>
  </si>
  <si>
    <t xml:space="preserve">Trucking</t>
  </si>
  <si>
    <t xml:space="preserve">Salaries &amp; wages</t>
  </si>
  <si>
    <t xml:space="preserve">Materials &amp; supplies</t>
  </si>
  <si>
    <t xml:space="preserve">Fuel</t>
  </si>
  <si>
    <t xml:space="preserve">Utilities</t>
  </si>
  <si>
    <t xml:space="preserve">Rent</t>
  </si>
  <si>
    <t xml:space="preserve">Other</t>
  </si>
  <si>
    <t xml:space="preserve">ave # employees</t>
  </si>
  <si>
    <t xml:space="preserve">ave salary/ee</t>
  </si>
  <si>
    <t xml:space="preserve">Union Pacific</t>
  </si>
  <si>
    <t xml:space="preserve">CONSOLIDATED BALANCE SHEET</t>
  </si>
  <si>
    <t xml:space="preserve">AS OF DECEMBER 31, 2000</t>
  </si>
  <si>
    <t xml:space="preserve">Asset Related Projects</t>
  </si>
  <si>
    <t xml:space="preserve">Proforma Cons. Balance Sheet</t>
  </si>
  <si>
    <t xml:space="preserve">XZY</t>
  </si>
  <si>
    <t xml:space="preserve">Services, Inc</t>
  </si>
  <si>
    <t xml:space="preserve">ASSETS</t>
  </si>
  <si>
    <t xml:space="preserve">Cash, Cash Equivalents</t>
  </si>
  <si>
    <t xml:space="preserve">Accounts Receivable</t>
  </si>
  <si>
    <t xml:space="preserve">Accounts Receivable - x</t>
  </si>
  <si>
    <t xml:space="preserve">Accounts Receivable - y</t>
  </si>
  <si>
    <t xml:space="preserve">Accounts Receivable - z</t>
  </si>
  <si>
    <t xml:space="preserve">Accounts Receivable - a</t>
  </si>
  <si>
    <t xml:space="preserve">Allowance for Doubtful Accounts</t>
  </si>
  <si>
    <t xml:space="preserve">VAT (Value Added Tax) Receivable</t>
  </si>
  <si>
    <t xml:space="preserve">Inventory</t>
  </si>
  <si>
    <t xml:space="preserve">Prepaid Expenses</t>
  </si>
  <si>
    <t xml:space="preserve">Deferred Tax Benefit</t>
  </si>
  <si>
    <t xml:space="preserve">Other Current Assets</t>
  </si>
  <si>
    <t xml:space="preserve">Total Current Assets</t>
  </si>
  <si>
    <t xml:space="preserve">Land</t>
  </si>
  <si>
    <t xml:space="preserve">Buildings &amp; Improvements</t>
  </si>
  <si>
    <t xml:space="preserve">Machinery &amp; Equipment</t>
  </si>
  <si>
    <t xml:space="preserve">Furniture &amp; Fixtures</t>
  </si>
  <si>
    <t xml:space="preserve">Accumulated Depreciation</t>
  </si>
  <si>
    <t xml:space="preserve">Deposits on Capital Additions</t>
  </si>
  <si>
    <t xml:space="preserve">Net Property, Plant &amp; Equipment</t>
  </si>
  <si>
    <t xml:space="preserve">Investment in XZY</t>
  </si>
  <si>
    <t xml:space="preserve">Investment in Allpack</t>
  </si>
  <si>
    <t xml:space="preserve">Investment in Unipack Consold</t>
  </si>
  <si>
    <t xml:space="preserve">Investment in Toolrite</t>
  </si>
  <si>
    <t xml:space="preserve">Investment in Rexam</t>
  </si>
  <si>
    <t xml:space="preserve">Investment in XZY Caribe</t>
  </si>
  <si>
    <t xml:space="preserve">Investment in XZY/Delvco</t>
  </si>
  <si>
    <t xml:space="preserve">Investment in Tri-Line</t>
  </si>
  <si>
    <t xml:space="preserve">Investment in Cardinal Health GbR</t>
  </si>
  <si>
    <t xml:space="preserve">Investment in XZY West (Trimaras)</t>
  </si>
  <si>
    <t xml:space="preserve">Investment in Tri-Line USA</t>
  </si>
  <si>
    <t xml:space="preserve">Investments</t>
  </si>
  <si>
    <t xml:space="preserve">Advance to XZY</t>
  </si>
  <si>
    <t xml:space="preserve">Advance to XZY Caribe</t>
  </si>
  <si>
    <t xml:space="preserve">Advance to XZY West</t>
  </si>
  <si>
    <t xml:space="preserve">Advance to PPS</t>
  </si>
  <si>
    <t xml:space="preserve">Advance to XZY/Delvco</t>
  </si>
  <si>
    <t xml:space="preserve">Advance to Tri-Line</t>
  </si>
  <si>
    <t xml:space="preserve">Advance to Rexam</t>
  </si>
  <si>
    <t xml:space="preserve">Advance to Acquisition I</t>
  </si>
  <si>
    <t xml:space="preserve">Advance to Acquisition II</t>
  </si>
  <si>
    <t xml:space="preserve">Advance to Acquisition III</t>
  </si>
  <si>
    <t xml:space="preserve">Advance to Acquisition IV</t>
  </si>
  <si>
    <t xml:space="preserve">Advance to Tri-Line USA</t>
  </si>
  <si>
    <t xml:space="preserve">Advance to HMR</t>
  </si>
  <si>
    <t xml:space="preserve">Advance to Allpack  </t>
  </si>
  <si>
    <t xml:space="preserve">Advance to Unipack Consold</t>
  </si>
  <si>
    <t xml:space="preserve">Advance to Affiliates</t>
  </si>
  <si>
    <t xml:space="preserve">Goodwill</t>
  </si>
  <si>
    <t xml:space="preserve">Deferred Post Retirement Benefits</t>
  </si>
  <si>
    <t xml:space="preserve">Miscellaneous Assets</t>
  </si>
  <si>
    <t xml:space="preserve">Total Assets</t>
  </si>
  <si>
    <t xml:space="preserve">Services, Inc.</t>
  </si>
  <si>
    <t xml:space="preserve">LIABILITIES</t>
  </si>
  <si>
    <t xml:space="preserve">Bank Loan</t>
  </si>
  <si>
    <t xml:space="preserve">Notes Payable</t>
  </si>
  <si>
    <t xml:space="preserve">Accounts Payable</t>
  </si>
  <si>
    <t xml:space="preserve">Accounts Payable - ALP</t>
  </si>
  <si>
    <t xml:space="preserve">Accounts Payable - R.P. Scherer</t>
  </si>
  <si>
    <t xml:space="preserve">Accounts Payable - CAH</t>
  </si>
  <si>
    <t xml:space="preserve">Accrued Expenses</t>
  </si>
  <si>
    <t xml:space="preserve">I/C Receivable - CHH GmbH</t>
  </si>
  <si>
    <t xml:space="preserve">Federal Taxes Payable</t>
  </si>
  <si>
    <t xml:space="preserve">State &amp; Foreign Taxes Payable</t>
  </si>
  <si>
    <t xml:space="preserve">Current Portion - LTD</t>
  </si>
  <si>
    <t xml:space="preserve">Other Current Liabilities</t>
  </si>
  <si>
    <t xml:space="preserve">Total Current Liabilities</t>
  </si>
  <si>
    <t xml:space="preserve">Advance Due XZY</t>
  </si>
  <si>
    <t xml:space="preserve">Advance Due XZY Services</t>
  </si>
  <si>
    <t xml:space="preserve">I/C Payable to CHH Ltd.</t>
  </si>
  <si>
    <t xml:space="preserve">Notes Payable - CAH</t>
  </si>
  <si>
    <t xml:space="preserve">Due to PIPSI &amp; PIPSII</t>
  </si>
  <si>
    <t xml:space="preserve">Long Term Debt-Senior</t>
  </si>
  <si>
    <t xml:space="preserve">Long Term Deferred Taxes</t>
  </si>
  <si>
    <t xml:space="preserve">Other Long Term Liabilities</t>
  </si>
  <si>
    <t xml:space="preserve">STOCKHOLDERS' EQUITY</t>
  </si>
  <si>
    <t xml:space="preserve">Preferred Stock</t>
  </si>
  <si>
    <t xml:space="preserve">Common Stock</t>
  </si>
  <si>
    <t xml:space="preserve">Additional Paid In Capital</t>
  </si>
  <si>
    <t xml:space="preserve">Capital - Purchased Equity</t>
  </si>
  <si>
    <t xml:space="preserve">Retained Earnings - Equity Method</t>
  </si>
  <si>
    <t xml:space="preserve">Retained Earnings - FY2000 Non-Equity Method</t>
  </si>
  <si>
    <t xml:space="preserve">Retained Earnings - Current Year FY 01</t>
  </si>
  <si>
    <t xml:space="preserve">Retained Earnings - Equity for CHH GmbH</t>
  </si>
  <si>
    <t xml:space="preserve">Treasury Stock</t>
  </si>
  <si>
    <t xml:space="preserve">Cumulative Translation Adj</t>
  </si>
  <si>
    <t xml:space="preserve">Total Equity</t>
  </si>
  <si>
    <t xml:space="preserve">Total Liabilities &amp; Equity</t>
  </si>
  <si>
    <t xml:space="preserve">Shares Outstanding</t>
  </si>
  <si>
    <t xml:space="preserve">Project</t>
  </si>
  <si>
    <t xml:space="preserve">Revenue Enhancement due to better customer service and account management</t>
  </si>
  <si>
    <t xml:space="preserve">Rationale for Savings</t>
  </si>
  <si>
    <t xml:space="preserve">Sales and customer service will have better information regarding customer account history allowing faster response to </t>
  </si>
  <si>
    <t xml:space="preserve">customers and quicker issue resolution resulting in improved customer satisfaction. In additional, more time will be spent analyzing</t>
  </si>
  <si>
    <t xml:space="preserve">customer buying patterns and identifying addittional sales opportunities with the exisiting an new customers.</t>
  </si>
  <si>
    <t xml:space="preserve">Calculations</t>
  </si>
  <si>
    <t xml:space="preserve">Conservative Estimate </t>
  </si>
  <si>
    <t xml:space="preserve">Average Estimate </t>
  </si>
  <si>
    <t xml:space="preserve">Peak Performance</t>
  </si>
  <si>
    <t xml:space="preserve">Given  </t>
  </si>
  <si>
    <t xml:space="preserve">Current Revenue</t>
  </si>
  <si>
    <t xml:space="preserve">Gross Margin %</t>
  </si>
  <si>
    <t xml:space="preserve">Assumption  </t>
  </si>
  <si>
    <t xml:space="preserve">Increase in Sales</t>
  </si>
  <si>
    <t xml:space="preserve">Calculation</t>
  </si>
  <si>
    <t xml:space="preserve">Additional Revenue</t>
  </si>
  <si>
    <t xml:space="preserve">Less:  Cost of Sales</t>
  </si>
  <si>
    <t xml:space="preserve">=</t>
  </si>
  <si>
    <t xml:space="preserve">Increased Net Income</t>
  </si>
  <si>
    <t xml:space="preserve">Impact Factors</t>
  </si>
  <si>
    <t xml:space="preserve">Savings Summary</t>
  </si>
  <si>
    <t xml:space="preserve">Revenue Enhancement due to better margin and discount management</t>
  </si>
  <si>
    <t xml:space="preserve">Higher revenues can be generated by managing sales channels and focusing on driving business through higher margin customers.</t>
  </si>
  <si>
    <t xml:space="preserve">Incentives and discounts can be more effectively managed to drive higher margin business</t>
  </si>
  <si>
    <t xml:space="preserve">Exisiting Gross Margin %</t>
  </si>
  <si>
    <t xml:space="preserve">Increase in Revenue</t>
  </si>
  <si>
    <t xml:space="preserve">XZY will have much better information to plan and control expenses. XZY will be able to better trace shifts in cost structure,</t>
  </si>
  <si>
    <t xml:space="preserve">track performance by business and geography and perform cost-center-analysis and respond to variances faster.</t>
  </si>
  <si>
    <t xml:space="preserve">Overall Expense Reduction</t>
  </si>
  <si>
    <t xml:space="preserve">Times improvement</t>
  </si>
  <si>
    <t xml:space="preserve">Expense Reduction</t>
  </si>
  <si>
    <t xml:space="preserve">Better Vendor Matching</t>
  </si>
  <si>
    <t xml:space="preserve">Gains due to improved negotiation leverage, vendor matching, and additional vendor participation</t>
  </si>
  <si>
    <t xml:space="preserve">Total Purchased Goods</t>
  </si>
  <si>
    <t xml:space="preserve">Reduction in Maverick Spend</t>
  </si>
  <si>
    <t xml:space="preserve">Savings due to reductions in maverick spend (spending on approved vendors)</t>
  </si>
  <si>
    <t xml:space="preserve">Overall savings</t>
  </si>
  <si>
    <t xml:space="preserve">Times savings</t>
  </si>
  <si>
    <t xml:space="preserve">Total Savings</t>
  </si>
  <si>
    <t xml:space="preserve">Reduction in Capital Charge for Working Capital</t>
  </si>
  <si>
    <t xml:space="preserve">Reduction in working capital resulting in lower charges for cost of capital</t>
  </si>
  <si>
    <t xml:space="preserve">Reduction in S&amp;A</t>
  </si>
  <si>
    <t xml:space="preserve">Total Expense Reduction</t>
  </si>
  <si>
    <t xml:space="preserve">Times Cost of Capital</t>
  </si>
  <si>
    <r>
      <rPr>
        <b val="true"/>
        <sz val="18"/>
        <rFont val="Arial"/>
        <family val="2"/>
      </rPr>
      <t xml:space="preserve">Purchase Price reduction - </t>
    </r>
    <r>
      <rPr>
        <b val="true"/>
        <i val="true"/>
        <sz val="18"/>
        <rFont val="Arial"/>
        <family val="2"/>
      </rPr>
      <t xml:space="preserve">Aggregation</t>
    </r>
  </si>
  <si>
    <t xml:space="preserve">Consolidation of company requirements across departments due to additional purchasing leverage</t>
  </si>
  <si>
    <t xml:space="preserve">Negotiable Spending</t>
  </si>
  <si>
    <t xml:space="preserve">Purchase Price Reduction Percent</t>
  </si>
  <si>
    <t xml:space="preserve">Total Purchases</t>
  </si>
  <si>
    <t xml:space="preserve">Times Reduction Percent</t>
  </si>
  <si>
    <t xml:space="preserve">portion of year</t>
  </si>
  <si>
    <t xml:space="preserve">Improved Planning and Budgeting and Expense Management (SG &amp; A)</t>
  </si>
  <si>
    <t xml:space="preserve">Selling &amp; Administrative Expense</t>
  </si>
  <si>
    <t xml:space="preserve">Sales Labor Reduction</t>
  </si>
  <si>
    <t xml:space="preserve">Reduction of one full time person performing consolidated reporting</t>
  </si>
  <si>
    <t xml:space="preserve">Sales Staff Salary</t>
  </si>
  <si>
    <t xml:space="preserve">Reduction Achieved</t>
  </si>
  <si>
    <t xml:space="preserve">Sales Staff Reduction</t>
  </si>
  <si>
    <t xml:space="preserve">Times Reduction Achieved</t>
  </si>
  <si>
    <t xml:space="preserve">Reduction in Net Accounts Receivable</t>
  </si>
  <si>
    <t xml:space="preserve">Reduction in Net A/R through better management of recievable. Issues resulting in customer holdback or discrepancies would </t>
  </si>
  <si>
    <t xml:space="preserve">improve customer relationships and lower A/R balances.</t>
  </si>
  <si>
    <t xml:space="preserve">Avg Days Outstanding - A/R</t>
  </si>
  <si>
    <t xml:space="preserve">Decrease in Avg Days Outstanding - A/R</t>
  </si>
  <si>
    <t xml:space="preserve">New Avg Days Outstanding - A/R</t>
  </si>
  <si>
    <t xml:space="preserve">Reduction in Net A/R</t>
  </si>
  <si>
    <t xml:space="preserve">A/R Expense Reduction - Cost of Capital</t>
  </si>
  <si>
    <t xml:space="preserve">Reduction in cost of goods purchased will result in reduced ending inventory balances</t>
  </si>
  <si>
    <t xml:space="preserve">Increased time to market will result in less physical units held in ending inventory</t>
  </si>
  <si>
    <t xml:space="preserve">Inventory Reduction Percentage</t>
  </si>
  <si>
    <t xml:space="preserve">Reduction in Inventories</t>
  </si>
  <si>
    <t xml:space="preserve">Times Inventory Carrying Cost</t>
  </si>
  <si>
    <t xml:space="preserve">Inventory Expense Reduction </t>
  </si>
  <si>
    <r>
      <rPr>
        <b val="true"/>
        <sz val="18"/>
        <rFont val="Arial"/>
        <family val="2"/>
      </rPr>
      <t xml:space="preserve">Company Detail Input</t>
    </r>
    <r>
      <rPr>
        <b val="true"/>
        <i val="true"/>
        <sz val="18"/>
        <rFont val="Arial"/>
        <family val="2"/>
      </rPr>
      <t xml:space="preserve"> (Assumptions)</t>
    </r>
  </si>
  <si>
    <t xml:space="preserve">Metric</t>
  </si>
  <si>
    <t xml:space="preserve">Input Variables</t>
  </si>
  <si>
    <t xml:space="preserve">Amount</t>
  </si>
  <si>
    <t xml:space="preserve">Comments</t>
  </si>
  <si>
    <t xml:space="preserve">Financial Information</t>
  </si>
  <si>
    <t xml:space="preserve">Revenue</t>
  </si>
  <si>
    <t xml:space="preserve">Material Portion of COGS</t>
  </si>
  <si>
    <t xml:space="preserve">Direct Labor Portion of COGS</t>
  </si>
  <si>
    <t xml:space="preserve">Overhead portion of COGS</t>
  </si>
  <si>
    <t xml:space="preserve">Total COGS</t>
  </si>
  <si>
    <t xml:space="preserve">Variances</t>
  </si>
  <si>
    <t xml:space="preserve">Variable SG&amp;A</t>
  </si>
  <si>
    <t xml:space="preserve">Fixed SG&amp;A</t>
  </si>
  <si>
    <t xml:space="preserve">EBIT</t>
  </si>
  <si>
    <t xml:space="preserve">EBITDA</t>
  </si>
  <si>
    <t xml:space="preserve">Average A/R balance</t>
  </si>
  <si>
    <t xml:space="preserve">Detailed Departmental Financial Data</t>
  </si>
  <si>
    <t xml:space="preserve">R&amp;D Expense</t>
  </si>
  <si>
    <t xml:space="preserve">Procurement Expense</t>
  </si>
  <si>
    <t xml:space="preserve">Customer Service Expense</t>
  </si>
  <si>
    <t xml:space="preserve">IT Expense</t>
  </si>
  <si>
    <t xml:space="preserve">Quality Expense</t>
  </si>
  <si>
    <t xml:space="preserve">Selling Expense</t>
  </si>
  <si>
    <t xml:space="preserve">Finance Expense</t>
  </si>
  <si>
    <t xml:space="preserve">Distribution Expense</t>
  </si>
  <si>
    <t xml:space="preserve">Freight Expense</t>
  </si>
  <si>
    <t xml:space="preserve">Inbound Freight</t>
  </si>
  <si>
    <t xml:space="preserve">Inbound Expedited Freight</t>
  </si>
  <si>
    <t xml:space="preserve">Interplant Freight</t>
  </si>
  <si>
    <t xml:space="preserve">Interplant Expedited Freight</t>
  </si>
  <si>
    <t xml:space="preserve">Outbound Freight</t>
  </si>
  <si>
    <t xml:space="preserve">Outbound Expedited Freight</t>
  </si>
  <si>
    <t xml:space="preserve">Raw Material</t>
  </si>
  <si>
    <t xml:space="preserve">WIP</t>
  </si>
  <si>
    <t xml:space="preserve">Finished Goods</t>
  </si>
  <si>
    <t xml:space="preserve">Spares/Parts</t>
  </si>
  <si>
    <t xml:space="preserve">Returns</t>
  </si>
  <si>
    <t xml:space="preserve">Obsolete</t>
  </si>
  <si>
    <t xml:space="preserve">Labor Rates</t>
  </si>
  <si>
    <t xml:space="preserve">Mfg Direct Labor</t>
  </si>
  <si>
    <t xml:space="preserve">Mfg. Indirect and Overhead</t>
  </si>
  <si>
    <t xml:space="preserve">SG&amp;A - Professional </t>
  </si>
  <si>
    <t xml:space="preserve">SG&amp;A - Staff</t>
  </si>
  <si>
    <t xml:space="preserve">Financial Metrics</t>
  </si>
  <si>
    <t xml:space="preserve">Inventory Carrying Costs</t>
  </si>
  <si>
    <t xml:space="preserve">Cost of Capital</t>
  </si>
  <si>
    <t xml:space="preserve">Total Spend</t>
  </si>
  <si>
    <t xml:space="preserve">Operational</t>
  </si>
  <si>
    <t xml:space="preserve">Design</t>
  </si>
  <si>
    <t xml:space="preserve">Approximately how many new products are developed per year?</t>
  </si>
  <si>
    <t xml:space="preserve">Average time to bring a new product to market?</t>
  </si>
  <si>
    <t xml:space="preserve">Percentage of revenue from new products produced</t>
  </si>
  <si>
    <t xml:space="preserve">Estimate the gross margin of new products.</t>
  </si>
  <si>
    <t xml:space="preserve">What is the length of the lifecycle of a new product?</t>
  </si>
  <si>
    <t xml:space="preserve">Estimate the number of people involved in the development process.</t>
  </si>
  <si>
    <t xml:space="preserve">Estimate the percentage of obsolescence due to poor end of life planning. (This is probably more seasonal at Carters – see 4 C below)</t>
  </si>
  <si>
    <t xml:space="preserve">Order Fulfillment</t>
  </si>
  <si>
    <t xml:space="preserve">Number of Customers</t>
  </si>
  <si>
    <t xml:space="preserve">Percentage of revenue from top 10 customers</t>
  </si>
  <si>
    <t xml:space="preserve">Number of Customer Orders processed </t>
  </si>
  <si>
    <t xml:space="preserve">Percentage of orders received by type.</t>
  </si>
  <si>
    <t xml:space="preserve">Backorder/stock out history</t>
  </si>
  <si>
    <t xml:space="preserve">Order Fill Rate</t>
  </si>
  <si>
    <t xml:space="preserve">Number of Customer Service Personnel</t>
  </si>
  <si>
    <t xml:space="preserve">Source</t>
  </si>
  <si>
    <t xml:space="preserve">Number of domestic suppliers</t>
  </si>
  <si>
    <t xml:space="preserve">Number of foreign suppliers</t>
  </si>
  <si>
    <t xml:space="preserve">Number of POs processed</t>
  </si>
  <si>
    <t xml:space="preserve">Number of Pos Expedited</t>
  </si>
  <si>
    <t xml:space="preserve">Cycle time from Invoice to Pay</t>
  </si>
  <si>
    <t xml:space="preserve">What is the average supplier lead-time?</t>
  </si>
  <si>
    <t xml:space="preserve">What is the supplier lead-time variability?</t>
  </si>
  <si>
    <t xml:space="preserve">Supplier delivery performance % past due</t>
  </si>
  <si>
    <t xml:space="preserve">Supplier Quality performance % rejects</t>
  </si>
  <si>
    <t xml:space="preserve">Make</t>
  </si>
  <si>
    <t xml:space="preserve">Budgeted Production Quantities</t>
  </si>
  <si>
    <t xml:space="preserve">Total Capacity</t>
  </si>
  <si>
    <t xml:space="preserve">Current Capacity Utilization (%)</t>
  </si>
  <si>
    <t xml:space="preserve">Realistic Maximum Capacity (%)</t>
  </si>
  <si>
    <t xml:space="preserve">Number of Direct Sales Personnel</t>
  </si>
  <si>
    <t xml:space="preserve">Average % of Time Spent with Customers by Sales Personnel (%)</t>
  </si>
  <si>
    <t xml:space="preserve">Percentage of Overtime Worked (%)</t>
  </si>
  <si>
    <t xml:space="preserve">Amount of Changeovers</t>
  </si>
  <si>
    <t xml:space="preserve">Time of one changeover (in hours)</t>
  </si>
  <si>
    <t xml:space="preserve">Average Hours per Week Customer Service Personnel Spent on Customer Inquiries</t>
  </si>
  <si>
    <t xml:space="preserve">Average Salary per Customer Service Employee</t>
  </si>
  <si>
    <t xml:space="preserve">How much Spent on Transportation for Materials Rushed</t>
  </si>
  <si>
    <t xml:space="preserve">Performance Metrics</t>
  </si>
  <si>
    <t xml:space="preserve">Amount of Working Days from Order-to-Cash</t>
  </si>
  <si>
    <t xml:space="preserve">Average DSO</t>
  </si>
  <si>
    <t xml:space="preserve">Cost of New Factory or Equipment </t>
  </si>
  <si>
    <t xml:space="preserve">Expected Annual Growth in Output (%)</t>
  </si>
  <si>
    <t xml:space="preserve">Internal ROI (%)</t>
  </si>
  <si>
    <t xml:space="preserve">Inventory Turns</t>
  </si>
  <si>
    <t xml:space="preserve">Finished Goods Inventory Days on Hand</t>
  </si>
  <si>
    <t xml:space="preserve">ASSUMPTIONS</t>
  </si>
  <si>
    <t xml:space="preserve">Incr. in Revenue from Major Customers due to Preferred Vendor Status (%)</t>
  </si>
  <si>
    <t xml:space="preserve">Customer Incr due to incr. loyalty (%)</t>
  </si>
  <si>
    <t xml:space="preserve">% of efficiencies obtained in the NPI process using PS </t>
  </si>
  <si>
    <t xml:space="preserve">Incr. in Orders due to faster delivery (%)</t>
  </si>
  <si>
    <t xml:space="preserve">Target Capacity with PS </t>
  </si>
  <si>
    <t xml:space="preserve">Target Amount of Time Spent with Customers (%)</t>
  </si>
  <si>
    <t xml:space="preserve">Total decrease in material costs </t>
  </si>
  <si>
    <t xml:space="preserve">Target % of Obsolescence as a % of COG</t>
  </si>
  <si>
    <t xml:space="preserve">Total (%) Increase Units with RPS</t>
  </si>
  <si>
    <t xml:space="preserve">Target Overtime Percentage (%)</t>
  </si>
  <si>
    <t xml:space="preserve">Decrease in the number of Changeovers</t>
  </si>
  <si>
    <t xml:space="preserve">Incr. in efficiencies sales staff due to PS </t>
  </si>
  <si>
    <t xml:space="preserve">Expected Weeks Worked (%)</t>
  </si>
  <si>
    <t xml:space="preserve">Target Customers order inquiry Phone Call time Week</t>
  </si>
  <si>
    <t xml:space="preserve">Average Hours Worked per Year</t>
  </si>
  <si>
    <t xml:space="preserve">(%) Decrease in expedited trans.due to Better Planning:</t>
  </si>
  <si>
    <t xml:space="preserve">Working Days per Year:</t>
  </si>
  <si>
    <t xml:space="preserve">Target Decrease in Working Days from Order to Cash (%)</t>
  </si>
  <si>
    <t xml:space="preserve">Expected Decrease in DSO due to Customer Loyalty (%)</t>
  </si>
  <si>
    <t xml:space="preserve">Expected increase in Inventory turns (%).</t>
  </si>
  <si>
    <t xml:space="preserve">Increase in Maximum Quantity due to Efficiencies (%)</t>
  </si>
  <si>
    <t xml:space="preserve">Month of Fiscal Year Project Completed</t>
  </si>
  <si>
    <t xml:space="preserve">CALCULATIONS</t>
  </si>
  <si>
    <t xml:space="preserve">Revenue per Order</t>
  </si>
  <si>
    <t xml:space="preserve">Unit Price</t>
  </si>
  <si>
    <t xml:space="preserve">Average Days Sales Outstanding</t>
  </si>
  <si>
    <t xml:space="preserve">Inventory Days of Supply</t>
  </si>
  <si>
    <t xml:space="preserve">Cash to Cash Cycle</t>
  </si>
  <si>
    <t xml:space="preserve">Raw Turns</t>
  </si>
  <si>
    <t xml:space="preserve">WIP Turns</t>
  </si>
  <si>
    <t xml:space="preserve">FG Turns</t>
  </si>
  <si>
    <t xml:space="preserve">R&amp;D aas a % of Net Sales</t>
  </si>
  <si>
    <t xml:space="preserve">Material Cost as a percent of TTL Mfg. Cost</t>
  </si>
  <si>
    <t xml:space="preserve">Labor Cost as a percent of TTL Mfg. Cost</t>
  </si>
  <si>
    <t xml:space="preserve">Overhead Cost as a percent of TTL Mfg. Cost</t>
  </si>
  <si>
    <t xml:space="preserve">EBIT as a percent of Net Sales</t>
  </si>
  <si>
    <t xml:space="preserve">Obsolete Inventory as a % of Net Sales</t>
  </si>
  <si>
    <t xml:space="preserve">Company Detail Input</t>
  </si>
  <si>
    <t xml:space="preserve">Input Categories</t>
  </si>
  <si>
    <t xml:space="preserve">Option 1</t>
  </si>
  <si>
    <t xml:space="preserve">Option 2</t>
  </si>
  <si>
    <t xml:space="preserve">Option 3</t>
  </si>
  <si>
    <t xml:space="preserve">SOLUTION IDENTIFICATI0N</t>
  </si>
  <si>
    <t xml:space="preserve">Conservative Estimate in (000)</t>
  </si>
  <si>
    <t xml:space="preserve">Average Estimate in (000)</t>
  </si>
  <si>
    <t xml:space="preserve">Peak Performance in (000)</t>
  </si>
  <si>
    <t xml:space="preserve">Cost of Goods Sold (% of Revenue)</t>
  </si>
  <si>
    <t xml:space="preserve">Total Sales</t>
  </si>
  <si>
    <t xml:space="preserve">x</t>
  </si>
  <si>
    <t xml:space="preserve">Other:  Cost of Sales</t>
  </si>
  <si>
    <t xml:space="preserve">Share from High-Volume Customers (%)</t>
  </si>
  <si>
    <t xml:space="preserve">Months to needed bring new product to market</t>
  </si>
  <si>
    <t xml:space="preserve">Forecasted monthly revenue for new products</t>
  </si>
  <si>
    <t xml:space="preserve">Amount of Orders Shipped per Year</t>
  </si>
  <si>
    <t xml:space="preserve">Total Amount of Inventory</t>
  </si>
  <si>
    <t xml:space="preserve">Carrying Cost of Inventory Balance (%)</t>
  </si>
  <si>
    <t xml:space="preserve">Total (%) of Cost of Goods Sold for Obsolesence</t>
  </si>
  <si>
    <t xml:space="preserve">Total Fixed Expenses</t>
  </si>
  <si>
    <t xml:space="preserve">Total Direct Labor</t>
  </si>
  <si>
    <t xml:space="preserve">Total Planning Labor Costs</t>
  </si>
  <si>
    <t xml:space="preserve">Average Target Salary per Sales Person</t>
  </si>
  <si>
    <t xml:space="preserve">Total Assets  (Machinery &amp; Equipment)</t>
  </si>
  <si>
    <t xml:space="preserve">Target % of Obsolesence as a % of COG</t>
  </si>
  <si>
    <t xml:space="preserve">Units per Inventory Turn</t>
  </si>
  <si>
    <t xml:space="preserve">(%) Increase in units due to Decr. in Cycle time</t>
  </si>
  <si>
    <t xml:space="preserve">Expected Decrease in Inventory (%)</t>
  </si>
  <si>
    <t xml:space="preserve">Unit Cost</t>
  </si>
  <si>
    <t xml:space="preserve">Labor costs per hour</t>
  </si>
  <si>
    <t xml:space="preserve">Projected Inventory Turns</t>
  </si>
  <si>
    <t xml:space="preserve">A/R Days Outstanding</t>
  </si>
  <si>
    <t xml:space="preserve">Project Name</t>
  </si>
  <si>
    <t xml:space="preserve">Conservative Estimate</t>
  </si>
  <si>
    <t xml:space="preserve">Average Estimate</t>
  </si>
  <si>
    <t xml:space="preserve">Total Savings via Revenue Enhancement</t>
  </si>
  <si>
    <t xml:space="preserve">Total Sourcing Reductions</t>
  </si>
  <si>
    <t xml:space="preserve">Total Strategic Sourcing Spend</t>
  </si>
  <si>
    <t xml:space="preserve">Sourcing Reductions as % Total Sourcing Spend</t>
  </si>
  <si>
    <t xml:space="preserve">Total Savings by Using Perfect Solution</t>
  </si>
  <si>
    <t xml:space="preserve">Assumptions</t>
  </si>
  <si>
    <t xml:space="preserve">Current Revenue (000s)</t>
  </si>
  <si>
    <t xml:space="preserve">Cost of Goods Sold (000s)</t>
  </si>
  <si>
    <t xml:space="preserve">Revenue enhancements due to reduced cycle time (time to market)</t>
  </si>
  <si>
    <t xml:space="preserve">R1</t>
  </si>
  <si>
    <t xml:space="preserve">R2</t>
  </si>
  <si>
    <t xml:space="preserve">Expense Reductions Inputs</t>
  </si>
  <si>
    <t xml:space="preserve">E1</t>
  </si>
  <si>
    <t xml:space="preserve">E2</t>
  </si>
  <si>
    <t xml:space="preserve">E3</t>
  </si>
  <si>
    <t xml:space="preserve">E4</t>
  </si>
  <si>
    <t xml:space="preserve">E5</t>
  </si>
  <si>
    <t xml:space="preserve">Labor Cost (Actual)</t>
  </si>
  <si>
    <t xml:space="preserve">E6</t>
  </si>
  <si>
    <t xml:space="preserve">Purchasing Employees as % of Total Employees</t>
  </si>
  <si>
    <t xml:space="preserve">E7</t>
  </si>
  <si>
    <t xml:space="preserve">E8</t>
  </si>
  <si>
    <t xml:space="preserve">Asset Enhancements</t>
  </si>
  <si>
    <t xml:space="preserve">A1</t>
  </si>
  <si>
    <t xml:space="preserve">A2</t>
  </si>
  <si>
    <t xml:space="preserve">Addressable Direct Sourcing Spend</t>
  </si>
  <si>
    <t xml:space="preserve">Direct Sourcing %</t>
  </si>
  <si>
    <t xml:space="preserve">Direct Sourcing $</t>
  </si>
  <si>
    <t xml:space="preserve">Capital Spending</t>
  </si>
  <si>
    <t xml:space="preserve">Total Addressable Sourcing Spend</t>
  </si>
  <si>
    <r>
      <rPr>
        <b val="true"/>
        <sz val="18"/>
        <rFont val="Arial"/>
        <family val="2"/>
      </rPr>
      <t xml:space="preserve">Purchasing Labor Reduction </t>
    </r>
    <r>
      <rPr>
        <b val="true"/>
        <i val="true"/>
        <sz val="18"/>
        <rFont val="Arial"/>
        <family val="2"/>
      </rPr>
      <t xml:space="preserve">(Automation)</t>
    </r>
  </si>
  <si>
    <t xml:space="preserve">Reduction in headcount due to increased efficiencies gained from automation</t>
  </si>
  <si>
    <t xml:space="preserve">Total labor cost</t>
  </si>
  <si>
    <t xml:space="preserve">Purchasing Department Cost</t>
  </si>
  <si>
    <t xml:space="preserve">UP Estimated Cost Per Employee</t>
  </si>
  <si>
    <t xml:space="preserve">Implied Number of Purchasing Employees</t>
  </si>
  <si>
    <t xml:space="preserve">Estimated Reduction</t>
  </si>
  <si>
    <t xml:space="preserve">Implied Number of Purchasing EE's Reduced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</si>
</sst>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_(* #,##0.00_);_(* \(#,##0.00\);_(* \-??_);_(@_)"/>
    <numFmt numFmtId="166" formatCode="_(* #,##0_);_(* \(#,##0\);_(* \-??_);_(@_)"/>
    <numFmt numFmtId="167" formatCode="_(\$* #,##0_);_(\$* \(#,##0\);_(\$* \-_);_(@_)"/>
    <numFmt numFmtId="168" formatCode="_(\$* #,##0.00_);_(\$* \(#,##0.00\);_(\$* \-??_);_(@_)"/>
    <numFmt numFmtId="169" formatCode="_(\$* #,##0_);_(\$* \(#,##0\);_(\$* \-??_);_(@_)"/>
    <numFmt numFmtId="170" formatCode="\$#,##0_);&quot;($&quot;#,##0\)"/>
    <numFmt numFmtId="171" formatCode="\$#,##0_);[RED]&quot;($&quot;#,##0\)"/>
    <numFmt numFmtId="172" formatCode="0%"/>
    <numFmt numFmtId="173" formatCode="0.0%"/>
    <numFmt numFmtId="174" formatCode="\$#,##0.00"/>
    <numFmt numFmtId="175" formatCode="0.00%"/>
    <numFmt numFmtId="176" formatCode="0.00"/>
    <numFmt numFmtId="177" formatCode="_(* #,##0_);_(* \(#,##0\);_(* \-_);_(@_)"/>
    <numFmt numFmtId="178" formatCode="_(* #,##0.00_);_(* \(#,##0.00\);_(* \-_);_(@_)"/>
    <numFmt numFmtId="179" formatCode="[$-409]#,##0.00_);\(#,##0.00\)"/>
    <numFmt numFmtId="180" formatCode="\$#,##0.00_);[RED]&quot;($&quot;#,##0.00\)"/>
    <numFmt numFmtId="181" formatCode="#,##0"/>
    <numFmt numFmtId="182" formatCode="[$-409]#,##0_);[RED]\(#,##0\)"/>
    <numFmt numFmtId="183" formatCode="@"/>
    <numFmt numFmtId="184" formatCode="\$#,##0"/>
    <numFmt numFmtId="185" formatCode="[$-409]mmm\-yy"/>
    <numFmt numFmtId="186" formatCode="0"/>
    <numFmt numFmtId="187" formatCode="[$-409]#,##0_);\(#,##0\)"/>
    <numFmt numFmtId="188" formatCode="#,##0.00"/>
    <numFmt numFmtId="189" formatCode="0.0"/>
  </numFmts>
  <fonts count="7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FF"/>
      <name val="Arial"/>
      <family val="0"/>
    </font>
    <font>
      <sz val="8"/>
      <color rgb="FF000000"/>
      <name val="Arial"/>
      <family val="0"/>
    </font>
    <font>
      <sz val="10"/>
      <color rgb="FFFF0000"/>
      <name val="MS Sans Serif"/>
      <family val="0"/>
    </font>
    <font>
      <sz val="8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8"/>
      <name val="Arial"/>
      <family val="2"/>
    </font>
    <font>
      <b val="true"/>
      <sz val="11"/>
      <color rgb="FFFFFFFF"/>
      <name val="Arial"/>
      <family val="2"/>
    </font>
    <font>
      <sz val="9"/>
      <color rgb="FFFFFFFF"/>
      <name val="Arial"/>
      <family val="2"/>
    </font>
    <font>
      <b val="true"/>
      <sz val="10"/>
      <name val="Arial"/>
      <family val="2"/>
    </font>
    <font>
      <b val="true"/>
      <i val="true"/>
      <sz val="10"/>
      <color rgb="FF000000"/>
      <name val="Arial"/>
      <family val="2"/>
    </font>
    <font>
      <sz val="10"/>
      <name val="Arial"/>
      <family val="2"/>
    </font>
    <font>
      <b val="true"/>
      <sz val="10"/>
      <color rgb="FF000080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00"/>
      <name val="Arial"/>
      <family val="2"/>
    </font>
    <font>
      <i val="true"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11"/>
      <name val="Arial"/>
      <family val="2"/>
    </font>
    <font>
      <b val="true"/>
      <sz val="10"/>
      <color rgb="FF000080"/>
      <name val="Arial"/>
      <family val="0"/>
    </font>
    <font>
      <b val="true"/>
      <sz val="10"/>
      <color rgb="FF000000"/>
      <name val="Arial"/>
      <family val="0"/>
    </font>
    <font>
      <sz val="9"/>
      <color rgb="FFFFFFFF"/>
      <name val="Arial"/>
      <family val="0"/>
    </font>
    <font>
      <b val="true"/>
      <i val="true"/>
      <sz val="10"/>
      <color rgb="FF000000"/>
      <name val="Arial"/>
      <family val="0"/>
    </font>
    <font>
      <b val="true"/>
      <u val="single"/>
      <sz val="10"/>
      <name val="Arial"/>
      <family val="2"/>
    </font>
    <font>
      <sz val="10"/>
      <color rgb="FF000080"/>
      <name val="Arial"/>
      <family val="2"/>
    </font>
    <font>
      <sz val="9"/>
      <name val="Times New Roman"/>
      <family val="1"/>
    </font>
    <font>
      <u val="single"/>
      <sz val="8"/>
      <name val="Arial"/>
      <family val="2"/>
    </font>
    <font>
      <b val="true"/>
      <sz val="9"/>
      <name val="Times New Roman"/>
      <family val="1"/>
    </font>
    <font>
      <b val="true"/>
      <u val="single"/>
      <sz val="9"/>
      <name val="Times New Roman"/>
      <family val="1"/>
    </font>
    <font>
      <sz val="8"/>
      <name val="Times New Roman"/>
      <family val="1"/>
    </font>
    <font>
      <u val="single"/>
      <sz val="8"/>
      <name val="Times New Roman"/>
      <family val="1"/>
    </font>
    <font>
      <i val="true"/>
      <sz val="9"/>
      <name val="Times New Roman"/>
      <family val="1"/>
    </font>
    <font>
      <b val="true"/>
      <i val="true"/>
      <sz val="9"/>
      <name val="Times New Roman"/>
      <family val="1"/>
    </font>
    <font>
      <u val="double"/>
      <sz val="9"/>
      <name val="Times New Roman"/>
      <family val="1"/>
    </font>
    <font>
      <sz val="10"/>
      <name val="Times New Roman"/>
      <family val="1"/>
    </font>
    <font>
      <b val="true"/>
      <sz val="9"/>
      <name val="Arial"/>
      <family val="2"/>
    </font>
    <font>
      <b val="true"/>
      <u val="single"/>
      <sz val="9"/>
      <name val="Arial"/>
      <family val="2"/>
    </font>
    <font>
      <i val="true"/>
      <sz val="9"/>
      <name val="Arial"/>
      <family val="2"/>
    </font>
    <font>
      <u val="double"/>
      <sz val="9"/>
      <name val="Arial"/>
      <family val="2"/>
    </font>
    <font>
      <b val="true"/>
      <i val="true"/>
      <sz val="9"/>
      <name val="Arial"/>
      <family val="2"/>
    </font>
    <font>
      <sz val="7"/>
      <name val="Arial"/>
      <family val="2"/>
    </font>
    <font>
      <sz val="11"/>
      <name val="Garamond"/>
      <family val="1"/>
    </font>
    <font>
      <b val="true"/>
      <i val="true"/>
      <u val="single"/>
      <sz val="16"/>
      <name val="Garamond"/>
      <family val="1"/>
    </font>
    <font>
      <b val="true"/>
      <i val="true"/>
      <u val="single"/>
      <sz val="12"/>
      <name val="Garamond"/>
      <family val="1"/>
    </font>
    <font>
      <sz val="12"/>
      <name val="Garamond"/>
      <family val="1"/>
    </font>
    <font>
      <b val="true"/>
      <i val="true"/>
      <u val="single"/>
      <sz val="11"/>
      <name val="Garamond"/>
      <family val="1"/>
    </font>
    <font>
      <b val="true"/>
      <sz val="11"/>
      <name val="Garamond"/>
      <family val="1"/>
    </font>
    <font>
      <b val="true"/>
      <sz val="11"/>
      <color rgb="FF0000FF"/>
      <name val="Garamond"/>
      <family val="1"/>
    </font>
    <font>
      <b val="true"/>
      <sz val="11"/>
      <color rgb="FF00FF00"/>
      <name val="Garamond"/>
      <family val="1"/>
    </font>
    <font>
      <b val="true"/>
      <sz val="11"/>
      <color rgb="FFFF0000"/>
      <name val="Garamond"/>
      <family val="1"/>
    </font>
    <font>
      <sz val="14"/>
      <name val="Garamond"/>
      <family val="1"/>
    </font>
    <font>
      <b val="true"/>
      <sz val="14"/>
      <name val="Garamond"/>
      <family val="1"/>
    </font>
    <font>
      <sz val="11"/>
      <name val="Arial"/>
      <family val="2"/>
    </font>
    <font>
      <sz val="14"/>
      <name val="Arial"/>
      <family val="2"/>
    </font>
    <font>
      <sz val="11"/>
      <color rgb="FFFFFFFF"/>
      <name val="Arial"/>
      <family val="2"/>
    </font>
    <font>
      <b val="true"/>
      <sz val="11"/>
      <color rgb="FF0000FF"/>
      <name val="Arial"/>
      <family val="2"/>
    </font>
    <font>
      <b val="true"/>
      <sz val="11"/>
      <color rgb="FF00FF00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1"/>
      <name val="Arial"/>
      <family val="2"/>
    </font>
    <font>
      <b val="true"/>
      <i val="true"/>
      <sz val="18"/>
      <name val="Arial"/>
      <family val="2"/>
    </font>
    <font>
      <sz val="12"/>
      <name val="Times New Roman"/>
      <family val="1"/>
    </font>
    <font>
      <sz val="14"/>
      <color rgb="FFFFFFF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666699"/>
      <name val="Arial"/>
      <family val="2"/>
    </font>
    <font>
      <b val="true"/>
      <sz val="10"/>
      <color rgb="FF0000FF"/>
      <name val="Arial"/>
      <family val="2"/>
    </font>
    <font>
      <b val="true"/>
      <i val="true"/>
      <u val="single"/>
      <sz val="8"/>
      <name val="Arial"/>
      <family val="2"/>
    </font>
    <font>
      <b val="true"/>
      <sz val="8"/>
      <color rgb="FF0000FF"/>
      <name val="Arial"/>
      <family val="2"/>
    </font>
    <font>
      <b val="true"/>
      <sz val="8"/>
      <color rgb="FF00FF00"/>
      <name val="Arial"/>
      <family val="2"/>
    </font>
    <font>
      <b val="true"/>
      <sz val="8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808080"/>
        <bgColor rgb="FF969696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00FF"/>
        <bgColor rgb="FFFF00FF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FFCC99"/>
        <bgColor rgb="FFC0C0C0"/>
      </patternFill>
    </fill>
  </fills>
  <borders count="5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double"/>
      <right style="medium"/>
      <top/>
      <bottom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medium"/>
      <top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double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 style="medium"/>
      <top/>
      <bottom style="thin"/>
      <diagonal/>
    </border>
    <border diagonalUp="false" diagonalDown="false">
      <left style="medium"/>
      <right/>
      <top style="double"/>
      <bottom style="double"/>
      <diagonal/>
    </border>
    <border diagonalUp="false" diagonalDown="false">
      <left/>
      <right style="thin"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 style="double"/>
      <right style="medium"/>
      <top style="double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double"/>
      <right style="medium"/>
      <top style="thin"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2" borderId="0" applyFont="true" applyBorder="false" applyAlignment="false" applyProtection="false"/>
    <xf numFmtId="164" fontId="5" fillId="0" borderId="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applyFont="true" applyBorder="false" applyAlignment="false" applyProtection="false"/>
    <xf numFmtId="164" fontId="7" fillId="2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5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5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3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5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5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5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1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15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1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9" fillId="2" borderId="2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2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3" fillId="3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2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5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7" fillId="2" borderId="1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2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5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3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4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5" fillId="4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4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5" fillId="4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4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4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5" fillId="0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4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4" borderId="4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5" fillId="4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4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5" fillId="4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5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14" fillId="2" borderId="6" xfId="1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7" fontId="15" fillId="0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5" fillId="0" borderId="4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15" fillId="0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15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5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4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3" fillId="0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5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5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2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7" fontId="2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2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2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left" vertical="bottom" textRotation="0" wrapText="true" indent="2" shrinkToFit="false"/>
      <protection locked="true" hidden="false"/>
    </xf>
    <xf numFmtId="164" fontId="24" fillId="0" borderId="0" xfId="0" applyFont="true" applyBorder="true" applyAlignment="true" applyProtection="false">
      <alignment horizontal="left" vertical="bottom" textRotation="0" wrapText="true" indent="2" shrinkToFit="false"/>
      <protection locked="true" hidden="false"/>
    </xf>
    <xf numFmtId="164" fontId="33" fillId="0" borderId="0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77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2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4" fillId="2" borderId="4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4" fillId="2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5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4" fillId="5" borderId="4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4" fillId="5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2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4" fillId="2" borderId="4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24" fillId="2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3" fillId="2" borderId="4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3" fillId="2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6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3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6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2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7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4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7" fontId="4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2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82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4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3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7" fontId="4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7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2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1" fillId="7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7" fontId="2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1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2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4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1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2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3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3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3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2" borderId="5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8" fillId="2" borderId="5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8" fillId="2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2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5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8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2" borderId="3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3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2" borderId="4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8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50" fillId="2" borderId="5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8" fillId="2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2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2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8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8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3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8" fillId="3" borderId="5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1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3" borderId="5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9" fillId="3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3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3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5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4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9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5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9" fillId="2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2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2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2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9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5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5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5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9" fillId="2" borderId="5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8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5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5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3" borderId="5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2" borderId="5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5" fillId="2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5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5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59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5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59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59" fillId="0" borderId="0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5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59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25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59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59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81" fontId="5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14" shrinkToFit="false"/>
      <protection locked="true" hidden="false"/>
    </xf>
    <xf numFmtId="186" fontId="5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5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5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2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5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2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8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1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1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4" fillId="6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2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3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4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5" fontId="2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4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4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4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9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5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5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rray" xfId="20"/>
    <cellStyle name="Array Enter" xfId="21"/>
    <cellStyle name="MacroCode" xfId="22"/>
    <cellStyle name="Red Text" xfId="23"/>
    <cellStyle name="TopGrey" xfId="2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18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19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1</xdr:row>
      <xdr:rowOff>0</xdr:rowOff>
    </xdr:from>
    <xdr:to>
      <xdr:col>3</xdr:col>
      <xdr:colOff>574560</xdr:colOff>
      <xdr:row>2</xdr:row>
      <xdr:rowOff>218880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40120" y="162000"/>
          <a:ext cx="1691280" cy="447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1693080</xdr:colOff>
      <xdr:row>0</xdr:row>
      <xdr:rowOff>447840</xdr:rowOff>
    </xdr:to>
    <xdr:pic>
      <xdr:nvPicPr>
        <xdr:cNvPr id="9" name="Picture 7" descr=""/>
        <xdr:cNvPicPr/>
      </xdr:nvPicPr>
      <xdr:blipFill>
        <a:blip r:embed="rId1"/>
        <a:stretch/>
      </xdr:blipFill>
      <xdr:spPr>
        <a:xfrm>
          <a:off x="0" y="0"/>
          <a:ext cx="169308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1693080</xdr:colOff>
      <xdr:row>0</xdr:row>
      <xdr:rowOff>447840</xdr:rowOff>
    </xdr:to>
    <xdr:pic>
      <xdr:nvPicPr>
        <xdr:cNvPr id="10" name="Picture 2" descr=""/>
        <xdr:cNvPicPr/>
      </xdr:nvPicPr>
      <xdr:blipFill>
        <a:blip r:embed="rId1"/>
        <a:stretch/>
      </xdr:blipFill>
      <xdr:spPr>
        <a:xfrm>
          <a:off x="0" y="0"/>
          <a:ext cx="169308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1693080</xdr:colOff>
      <xdr:row>0</xdr:row>
      <xdr:rowOff>447840</xdr:rowOff>
    </xdr:to>
    <xdr:pic>
      <xdr:nvPicPr>
        <xdr:cNvPr id="11" name="Picture 2" descr=""/>
        <xdr:cNvPicPr/>
      </xdr:nvPicPr>
      <xdr:blipFill>
        <a:blip r:embed="rId1"/>
        <a:stretch/>
      </xdr:blipFill>
      <xdr:spPr>
        <a:xfrm>
          <a:off x="0" y="0"/>
          <a:ext cx="169308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1693080</xdr:colOff>
      <xdr:row>0</xdr:row>
      <xdr:rowOff>447840</xdr:rowOff>
    </xdr:to>
    <xdr:pic>
      <xdr:nvPicPr>
        <xdr:cNvPr id="12" name="Picture 6" descr=""/>
        <xdr:cNvPicPr/>
      </xdr:nvPicPr>
      <xdr:blipFill>
        <a:blip r:embed="rId1"/>
        <a:stretch/>
      </xdr:blipFill>
      <xdr:spPr>
        <a:xfrm>
          <a:off x="0" y="0"/>
          <a:ext cx="169308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1693080</xdr:colOff>
      <xdr:row>0</xdr:row>
      <xdr:rowOff>447840</xdr:rowOff>
    </xdr:to>
    <xdr:pic>
      <xdr:nvPicPr>
        <xdr:cNvPr id="13" name="Picture 6" descr=""/>
        <xdr:cNvPicPr/>
      </xdr:nvPicPr>
      <xdr:blipFill>
        <a:blip r:embed="rId1"/>
        <a:stretch/>
      </xdr:blipFill>
      <xdr:spPr>
        <a:xfrm>
          <a:off x="0" y="0"/>
          <a:ext cx="169308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1693080</xdr:colOff>
      <xdr:row>0</xdr:row>
      <xdr:rowOff>447840</xdr:rowOff>
    </xdr:to>
    <xdr:pic>
      <xdr:nvPicPr>
        <xdr:cNvPr id="14" name="Picture 6" descr=""/>
        <xdr:cNvPicPr/>
      </xdr:nvPicPr>
      <xdr:blipFill>
        <a:blip r:embed="rId1"/>
        <a:stretch/>
      </xdr:blipFill>
      <xdr:spPr>
        <a:xfrm>
          <a:off x="0" y="0"/>
          <a:ext cx="169308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1693080</xdr:colOff>
      <xdr:row>0</xdr:row>
      <xdr:rowOff>447840</xdr:rowOff>
    </xdr:to>
    <xdr:pic>
      <xdr:nvPicPr>
        <xdr:cNvPr id="15" name="Picture 6" descr=""/>
        <xdr:cNvPicPr/>
      </xdr:nvPicPr>
      <xdr:blipFill>
        <a:blip r:embed="rId1"/>
        <a:stretch/>
      </xdr:blipFill>
      <xdr:spPr>
        <a:xfrm>
          <a:off x="0" y="0"/>
          <a:ext cx="169308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1693080</xdr:colOff>
      <xdr:row>0</xdr:row>
      <xdr:rowOff>447840</xdr:rowOff>
    </xdr:to>
    <xdr:pic>
      <xdr:nvPicPr>
        <xdr:cNvPr id="16" name="Picture 10" descr=""/>
        <xdr:cNvPicPr/>
      </xdr:nvPicPr>
      <xdr:blipFill>
        <a:blip r:embed="rId1"/>
        <a:stretch/>
      </xdr:blipFill>
      <xdr:spPr>
        <a:xfrm>
          <a:off x="0" y="0"/>
          <a:ext cx="169308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1693080</xdr:colOff>
      <xdr:row>0</xdr:row>
      <xdr:rowOff>447840</xdr:rowOff>
    </xdr:to>
    <xdr:pic>
      <xdr:nvPicPr>
        <xdr:cNvPr id="17" name="Picture 6" descr=""/>
        <xdr:cNvPicPr/>
      </xdr:nvPicPr>
      <xdr:blipFill>
        <a:blip r:embed="rId1"/>
        <a:stretch/>
      </xdr:blipFill>
      <xdr:spPr>
        <a:xfrm>
          <a:off x="0" y="0"/>
          <a:ext cx="169308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1693080</xdr:colOff>
      <xdr:row>0</xdr:row>
      <xdr:rowOff>447840</xdr:rowOff>
    </xdr:to>
    <xdr:pic>
      <xdr:nvPicPr>
        <xdr:cNvPr id="18" name="Picture 6" descr=""/>
        <xdr:cNvPicPr/>
      </xdr:nvPicPr>
      <xdr:blipFill>
        <a:blip r:embed="rId1"/>
        <a:stretch/>
      </xdr:blipFill>
      <xdr:spPr>
        <a:xfrm>
          <a:off x="0" y="0"/>
          <a:ext cx="169308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1</xdr:row>
      <xdr:rowOff>0</xdr:rowOff>
    </xdr:from>
    <xdr:to>
      <xdr:col>3</xdr:col>
      <xdr:colOff>574560</xdr:colOff>
      <xdr:row>2</xdr:row>
      <xdr:rowOff>218880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240120" y="162000"/>
          <a:ext cx="1691280" cy="447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1</xdr:row>
      <xdr:rowOff>0</xdr:rowOff>
    </xdr:from>
    <xdr:to>
      <xdr:col>3</xdr:col>
      <xdr:colOff>574560</xdr:colOff>
      <xdr:row>2</xdr:row>
      <xdr:rowOff>218880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240120" y="162000"/>
          <a:ext cx="1691280" cy="447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9360</xdr:rowOff>
    </xdr:from>
    <xdr:to>
      <xdr:col>0</xdr:col>
      <xdr:colOff>1693080</xdr:colOff>
      <xdr:row>0</xdr:row>
      <xdr:rowOff>457200</xdr:rowOff>
    </xdr:to>
    <xdr:pic>
      <xdr:nvPicPr>
        <xdr:cNvPr id="3" name="Picture 25" descr=""/>
        <xdr:cNvPicPr/>
      </xdr:nvPicPr>
      <xdr:blipFill>
        <a:blip r:embed="rId1"/>
        <a:stretch/>
      </xdr:blipFill>
      <xdr:spPr>
        <a:xfrm>
          <a:off x="0" y="9360"/>
          <a:ext cx="169308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10440</xdr:rowOff>
    </xdr:from>
    <xdr:to>
      <xdr:col>0</xdr:col>
      <xdr:colOff>1692720</xdr:colOff>
      <xdr:row>0</xdr:row>
      <xdr:rowOff>458280</xdr:rowOff>
    </xdr:to>
    <xdr:pic>
      <xdr:nvPicPr>
        <xdr:cNvPr id="4" name="Picture 30" descr=""/>
        <xdr:cNvPicPr/>
      </xdr:nvPicPr>
      <xdr:blipFill>
        <a:blip r:embed="rId1"/>
        <a:stretch/>
      </xdr:blipFill>
      <xdr:spPr>
        <a:xfrm>
          <a:off x="0" y="10440"/>
          <a:ext cx="169272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1694520</xdr:colOff>
      <xdr:row>0</xdr:row>
      <xdr:rowOff>447840</xdr:rowOff>
    </xdr:to>
    <xdr:pic>
      <xdr:nvPicPr>
        <xdr:cNvPr id="5" name="Picture 54" descr=""/>
        <xdr:cNvPicPr/>
      </xdr:nvPicPr>
      <xdr:blipFill>
        <a:blip r:embed="rId1"/>
        <a:stretch/>
      </xdr:blipFill>
      <xdr:spPr>
        <a:xfrm>
          <a:off x="0" y="0"/>
          <a:ext cx="169452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1078200</xdr:colOff>
      <xdr:row>0</xdr:row>
      <xdr:rowOff>448200</xdr:rowOff>
    </xdr:to>
    <xdr:pic>
      <xdr:nvPicPr>
        <xdr:cNvPr id="6" name="Picture 6" descr=""/>
        <xdr:cNvPicPr/>
      </xdr:nvPicPr>
      <xdr:blipFill>
        <a:blip r:embed="rId1"/>
        <a:stretch/>
      </xdr:blipFill>
      <xdr:spPr>
        <a:xfrm>
          <a:off x="0" y="0"/>
          <a:ext cx="1691640" cy="448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109800</xdr:colOff>
      <xdr:row>0</xdr:row>
      <xdr:rowOff>104760</xdr:rowOff>
    </xdr:from>
    <xdr:to>
      <xdr:col>0</xdr:col>
      <xdr:colOff>1802520</xdr:colOff>
      <xdr:row>0</xdr:row>
      <xdr:rowOff>552600</xdr:rowOff>
    </xdr:to>
    <xdr:pic>
      <xdr:nvPicPr>
        <xdr:cNvPr id="7" name="Picture 25" descr=""/>
        <xdr:cNvPicPr/>
      </xdr:nvPicPr>
      <xdr:blipFill>
        <a:blip r:embed="rId1"/>
        <a:stretch/>
      </xdr:blipFill>
      <xdr:spPr>
        <a:xfrm>
          <a:off x="109800" y="104760"/>
          <a:ext cx="169272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140760</xdr:colOff>
      <xdr:row>0</xdr:row>
      <xdr:rowOff>104760</xdr:rowOff>
    </xdr:from>
    <xdr:to>
      <xdr:col>0</xdr:col>
      <xdr:colOff>1833480</xdr:colOff>
      <xdr:row>0</xdr:row>
      <xdr:rowOff>552600</xdr:rowOff>
    </xdr:to>
    <xdr:pic>
      <xdr:nvPicPr>
        <xdr:cNvPr id="8" name="Picture 7" descr=""/>
        <xdr:cNvPicPr/>
      </xdr:nvPicPr>
      <xdr:blipFill>
        <a:blip r:embed="rId1"/>
        <a:stretch/>
      </xdr:blipFill>
      <xdr:spPr>
        <a:xfrm>
          <a:off x="140760" y="104760"/>
          <a:ext cx="1692720" cy="447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25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S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3" min="3" style="0" width="15.85"/>
    <col collapsed="false" customWidth="true" hidden="false" outlineLevel="0" max="4" min="4" style="0" width="12.7"/>
    <col collapsed="false" customWidth="true" hidden="false" outlineLevel="0" max="6" min="5" style="0" width="1.7"/>
    <col collapsed="false" customWidth="true" hidden="false" outlineLevel="0" max="7" min="7" style="0" width="12.7"/>
    <col collapsed="false" customWidth="true" hidden="false" outlineLevel="0" max="8" min="8" style="0" width="1.7"/>
    <col collapsed="false" customWidth="true" hidden="false" outlineLevel="0" max="9" min="9" style="0" width="12.7"/>
    <col collapsed="false" customWidth="true" hidden="false" outlineLevel="0" max="10" min="10" style="0" width="1.7"/>
    <col collapsed="false" customWidth="true" hidden="false" outlineLevel="0" max="11" min="11" style="0" width="12.7"/>
    <col collapsed="false" customWidth="true" hidden="false" outlineLevel="0" max="12" min="12" style="0" width="1.7"/>
    <col collapsed="false" customWidth="true" hidden="false" outlineLevel="0" max="13" min="13" style="0" width="12.7"/>
    <col collapsed="false" customWidth="true" hidden="false" outlineLevel="0" max="14" min="14" style="0" width="1.7"/>
    <col collapsed="false" customWidth="true" hidden="false" outlineLevel="0" max="15" min="15" style="0" width="12.7"/>
    <col collapsed="false" customWidth="true" hidden="false" outlineLevel="0" max="16" min="16" style="0" width="1.7"/>
    <col collapsed="false" customWidth="true" hidden="false" outlineLevel="0" max="17" min="17" style="0" width="12.7"/>
    <col collapsed="false" customWidth="true" hidden="false" outlineLevel="0" max="19" min="18" style="0" width="1.7"/>
  </cols>
  <sheetData>
    <row r="2" customFormat="false" ht="18" hidden="false" customHeight="false" outlineLevel="0" collapsed="false">
      <c r="I2" s="1" t="s">
        <v>0</v>
      </c>
    </row>
    <row r="3" customFormat="false" ht="18" hidden="false" customHeight="false" outlineLevel="0" collapsed="false">
      <c r="I3" s="1" t="s">
        <v>1</v>
      </c>
    </row>
    <row r="4" customFormat="false" ht="12.75" hidden="false" customHeight="false" outlineLevel="0" collapsed="false"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</row>
    <row r="5" customFormat="false" ht="12.75" hidden="false" customHeight="false" outlineLevel="0" collapsed="false">
      <c r="B5" s="4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2"/>
    </row>
    <row r="6" customFormat="false" ht="12.75" hidden="false" customHeight="false" outlineLevel="0" collapsed="false">
      <c r="B6" s="8"/>
      <c r="C6" s="9" t="s">
        <v>2</v>
      </c>
      <c r="D6" s="9"/>
      <c r="E6" s="2"/>
      <c r="F6" s="2"/>
      <c r="G6" s="10" t="s">
        <v>3</v>
      </c>
      <c r="H6" s="10"/>
      <c r="I6" s="10" t="s">
        <v>4</v>
      </c>
      <c r="J6" s="10"/>
      <c r="K6" s="10" t="s">
        <v>5</v>
      </c>
      <c r="L6" s="10"/>
      <c r="M6" s="10" t="s">
        <v>6</v>
      </c>
      <c r="N6" s="10"/>
      <c r="O6" s="10" t="s">
        <v>7</v>
      </c>
      <c r="P6" s="10"/>
      <c r="Q6" s="10" t="s">
        <v>8</v>
      </c>
      <c r="R6" s="11"/>
      <c r="S6" s="2"/>
    </row>
    <row r="7" customFormat="false" ht="12.75" hidden="false" customHeight="false" outlineLevel="0" collapsed="false">
      <c r="B7" s="8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11"/>
      <c r="S7" s="2"/>
    </row>
    <row r="8" customFormat="false" ht="12.75" hidden="false" customHeight="false" outlineLevel="0" collapsed="false">
      <c r="B8" s="8"/>
      <c r="C8" s="2" t="str">
        <f aca="false">+'ROI Breakdown'!B23</f>
        <v>Software</v>
      </c>
      <c r="D8" s="2"/>
      <c r="E8" s="2"/>
      <c r="F8" s="2"/>
      <c r="G8" s="12" t="n">
        <f aca="false">+'ROI Breakdown'!D23</f>
        <v>725000</v>
      </c>
      <c r="H8" s="12"/>
      <c r="I8" s="12" t="n">
        <f aca="false">+'ROI Breakdown'!F23</f>
        <v>0</v>
      </c>
      <c r="J8" s="12"/>
      <c r="K8" s="12" t="n">
        <f aca="false">+'ROI Breakdown'!H23</f>
        <v>0</v>
      </c>
      <c r="L8" s="12"/>
      <c r="M8" s="12" t="n">
        <f aca="false">+'ROI Breakdown'!J23</f>
        <v>0</v>
      </c>
      <c r="N8" s="12"/>
      <c r="O8" s="12" t="n">
        <f aca="false">+'ROI Breakdown'!L23</f>
        <v>0</v>
      </c>
      <c r="P8" s="12"/>
      <c r="Q8" s="12" t="n">
        <f aca="false">SUM(G8:O8)</f>
        <v>725000</v>
      </c>
      <c r="R8" s="11"/>
      <c r="S8" s="2"/>
    </row>
    <row r="9" customFormat="false" ht="12.75" hidden="false" customHeight="false" outlineLevel="0" collapsed="false">
      <c r="B9" s="8"/>
      <c r="C9" s="2" t="str">
        <f aca="false">+'ROI Breakdown'!B25</f>
        <v>Implementation</v>
      </c>
      <c r="D9" s="2"/>
      <c r="E9" s="2"/>
      <c r="F9" s="2"/>
      <c r="G9" s="12" t="n">
        <f aca="false">+'ROI Breakdown'!D25</f>
        <v>362500</v>
      </c>
      <c r="H9" s="12"/>
      <c r="I9" s="12" t="n">
        <f aca="false">+'ROI Breakdown'!F25</f>
        <v>72500</v>
      </c>
      <c r="J9" s="12"/>
      <c r="K9" s="12" t="n">
        <f aca="false">+'ROI Breakdown'!H25</f>
        <v>72500</v>
      </c>
      <c r="L9" s="12"/>
      <c r="M9" s="12" t="n">
        <f aca="false">+'ROI Breakdown'!J25</f>
        <v>72500</v>
      </c>
      <c r="N9" s="12"/>
      <c r="O9" s="12" t="n">
        <f aca="false">+'ROI Breakdown'!L25</f>
        <v>72500</v>
      </c>
      <c r="P9" s="12"/>
      <c r="Q9" s="12" t="n">
        <f aca="false">SUM(G9:O9)</f>
        <v>652500</v>
      </c>
      <c r="R9" s="11"/>
      <c r="S9" s="2"/>
    </row>
    <row r="10" customFormat="false" ht="12.75" hidden="false" customHeight="false" outlineLevel="0" collapsed="false">
      <c r="B10" s="8"/>
      <c r="C10" s="2" t="str">
        <f aca="false">+'ROI Breakdown'!B26</f>
        <v>Training</v>
      </c>
      <c r="D10" s="2"/>
      <c r="E10" s="2"/>
      <c r="F10" s="2"/>
      <c r="G10" s="12" t="n">
        <f aca="false">+'ROI Breakdown'!D26</f>
        <v>0</v>
      </c>
      <c r="H10" s="12"/>
      <c r="I10" s="12" t="n">
        <f aca="false">+'ROI Breakdown'!F26</f>
        <v>0</v>
      </c>
      <c r="J10" s="12"/>
      <c r="K10" s="12" t="n">
        <f aca="false">+'ROI Breakdown'!H26</f>
        <v>0</v>
      </c>
      <c r="L10" s="12"/>
      <c r="M10" s="12" t="n">
        <f aca="false">+'ROI Breakdown'!J26</f>
        <v>0</v>
      </c>
      <c r="N10" s="12"/>
      <c r="O10" s="12" t="n">
        <f aca="false">+'ROI Breakdown'!L26</f>
        <v>0</v>
      </c>
      <c r="P10" s="12"/>
      <c r="Q10" s="12" t="n">
        <f aca="false">SUM(G10:O10)</f>
        <v>0</v>
      </c>
      <c r="R10" s="11"/>
      <c r="S10" s="2"/>
    </row>
    <row r="11" customFormat="false" ht="12.75" hidden="false" customHeight="false" outlineLevel="0" collapsed="false">
      <c r="B11" s="8"/>
      <c r="C11" s="2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3" t="s">
        <v>9</v>
      </c>
      <c r="P11" s="13"/>
      <c r="Q11" s="13"/>
      <c r="R11" s="11"/>
      <c r="S11" s="2"/>
    </row>
    <row r="12" customFormat="false" ht="12.75" hidden="false" customHeight="false" outlineLevel="0" collapsed="false">
      <c r="B12" s="8"/>
      <c r="C12" s="2" t="str">
        <f aca="false">+'ROI Breakdown'!B24</f>
        <v>Maintenance</v>
      </c>
      <c r="D12" s="2"/>
      <c r="E12" s="2"/>
      <c r="F12" s="2"/>
      <c r="G12" s="12" t="n">
        <f aca="false">+'ROI Breakdown'!D24</f>
        <v>130500</v>
      </c>
      <c r="H12" s="12"/>
      <c r="I12" s="12" t="n">
        <f aca="false">+'ROI Breakdown'!F24</f>
        <v>130500</v>
      </c>
      <c r="J12" s="12"/>
      <c r="K12" s="12" t="n">
        <f aca="false">+'ROI Breakdown'!H24</f>
        <v>130500</v>
      </c>
      <c r="L12" s="12"/>
      <c r="M12" s="12" t="n">
        <f aca="false">+'ROI Breakdown'!J24</f>
        <v>130500</v>
      </c>
      <c r="N12" s="12"/>
      <c r="O12" s="12" t="n">
        <f aca="false">+'ROI Breakdown'!L24</f>
        <v>130500</v>
      </c>
      <c r="P12" s="12"/>
      <c r="Q12" s="12" t="n">
        <f aca="false">SUM(G12:O12)</f>
        <v>652500</v>
      </c>
      <c r="R12" s="11"/>
      <c r="S12" s="2"/>
    </row>
    <row r="13" customFormat="false" ht="13.5" hidden="false" customHeight="false" outlineLevel="0" collapsed="false">
      <c r="B13" s="8"/>
      <c r="C13" s="2" t="s">
        <v>10</v>
      </c>
      <c r="D13" s="2"/>
      <c r="E13" s="2"/>
      <c r="F13" s="2"/>
      <c r="G13" s="14" t="n">
        <f aca="false">SUM(G7:G12)</f>
        <v>1218000</v>
      </c>
      <c r="H13" s="14"/>
      <c r="I13" s="14" t="n">
        <f aca="false">SUM(I7:I12)</f>
        <v>203000</v>
      </c>
      <c r="J13" s="14"/>
      <c r="K13" s="14" t="n">
        <f aca="false">SUM(K7:K12)</f>
        <v>203000</v>
      </c>
      <c r="L13" s="14"/>
      <c r="M13" s="14" t="n">
        <f aca="false">SUM(M7:M12)</f>
        <v>203000</v>
      </c>
      <c r="N13" s="14"/>
      <c r="O13" s="14" t="n">
        <f aca="false">SUM(O7:O12)</f>
        <v>203000</v>
      </c>
      <c r="P13" s="15"/>
      <c r="Q13" s="14" t="n">
        <f aca="false">SUM(Q7:Q12)</f>
        <v>2030000</v>
      </c>
      <c r="R13" s="11"/>
      <c r="S13" s="2"/>
    </row>
    <row r="14" customFormat="false" ht="13.5" hidden="false" customHeight="false" outlineLevel="0" collapsed="false"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8"/>
      <c r="S14" s="2"/>
    </row>
    <row r="15" customFormat="false" ht="12.75" hidden="false" customHeight="false" outlineLevel="0" collapsed="false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customFormat="false" ht="12.75" hidden="false" customHeight="false" outlineLevel="0" collapsed="false"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7"/>
      <c r="S16" s="2"/>
    </row>
    <row r="17" customFormat="false" ht="12.75" hidden="false" customHeight="false" outlineLevel="0" collapsed="false">
      <c r="B17" s="8"/>
      <c r="C17" s="9" t="s">
        <v>11</v>
      </c>
      <c r="D17" s="9"/>
      <c r="E17" s="2"/>
      <c r="F17" s="2"/>
      <c r="G17" s="10" t="s">
        <v>3</v>
      </c>
      <c r="H17" s="10"/>
      <c r="I17" s="10" t="s">
        <v>4</v>
      </c>
      <c r="J17" s="10"/>
      <c r="K17" s="10" t="s">
        <v>5</v>
      </c>
      <c r="L17" s="10"/>
      <c r="M17" s="10" t="s">
        <v>6</v>
      </c>
      <c r="N17" s="10"/>
      <c r="O17" s="10" t="s">
        <v>7</v>
      </c>
      <c r="P17" s="10"/>
      <c r="Q17" s="10" t="s">
        <v>8</v>
      </c>
      <c r="R17" s="11"/>
      <c r="S17" s="2"/>
    </row>
    <row r="18" customFormat="false" ht="12.75" hidden="false" customHeight="false" outlineLevel="0" collapsed="false"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11"/>
      <c r="S18" s="2"/>
    </row>
    <row r="19" customFormat="false" ht="12.75" hidden="false" customHeight="false" outlineLevel="0" collapsed="false">
      <c r="B19" s="8"/>
      <c r="C19" s="2" t="str">
        <f aca="false">+C9</f>
        <v>Implementation</v>
      </c>
      <c r="D19" s="2"/>
      <c r="E19" s="2"/>
      <c r="F19" s="2"/>
      <c r="G19" s="19" t="n">
        <f aca="false">+G9</f>
        <v>362500</v>
      </c>
      <c r="H19" s="2"/>
      <c r="I19" s="19" t="n">
        <f aca="false">+I9</f>
        <v>72500</v>
      </c>
      <c r="J19" s="2"/>
      <c r="K19" s="19" t="n">
        <f aca="false">+K9</f>
        <v>72500</v>
      </c>
      <c r="L19" s="2"/>
      <c r="M19" s="19" t="n">
        <f aca="false">+M9</f>
        <v>72500</v>
      </c>
      <c r="N19" s="2"/>
      <c r="O19" s="19" t="n">
        <f aca="false">+O9</f>
        <v>72500</v>
      </c>
      <c r="P19" s="19"/>
      <c r="Q19" s="12" t="n">
        <f aca="false">SUM(G19:O19)</f>
        <v>652500</v>
      </c>
      <c r="R19" s="11"/>
      <c r="S19" s="2"/>
    </row>
    <row r="20" customFormat="false" ht="12.75" hidden="false" customHeight="false" outlineLevel="0" collapsed="false">
      <c r="B20" s="8"/>
      <c r="C20" s="2" t="str">
        <f aca="false">+C10</f>
        <v>Training</v>
      </c>
      <c r="D20" s="2"/>
      <c r="E20" s="2"/>
      <c r="F20" s="2"/>
      <c r="G20" s="19" t="n">
        <f aca="false">+G10</f>
        <v>0</v>
      </c>
      <c r="H20" s="2"/>
      <c r="I20" s="19" t="n">
        <f aca="false">+I10</f>
        <v>0</v>
      </c>
      <c r="J20" s="2"/>
      <c r="K20" s="19" t="n">
        <f aca="false">+K10</f>
        <v>0</v>
      </c>
      <c r="L20" s="2"/>
      <c r="M20" s="19" t="n">
        <f aca="false">+M10</f>
        <v>0</v>
      </c>
      <c r="N20" s="2"/>
      <c r="O20" s="19" t="n">
        <f aca="false">+O10</f>
        <v>0</v>
      </c>
      <c r="P20" s="19"/>
      <c r="Q20" s="12" t="n">
        <f aca="false">SUM(G20:O20)</f>
        <v>0</v>
      </c>
      <c r="R20" s="11"/>
      <c r="S20" s="2"/>
    </row>
    <row r="21" customFormat="false" ht="12.75" hidden="false" customHeight="false" outlineLevel="0" collapsed="false">
      <c r="B21" s="8"/>
      <c r="C21" s="2" t="str">
        <f aca="false">+C12</f>
        <v>Maintenance</v>
      </c>
      <c r="D21" s="2"/>
      <c r="E21" s="2"/>
      <c r="F21" s="2"/>
      <c r="G21" s="19" t="n">
        <f aca="false">+G12</f>
        <v>130500</v>
      </c>
      <c r="H21" s="2"/>
      <c r="I21" s="19" t="n">
        <f aca="false">+I12</f>
        <v>130500</v>
      </c>
      <c r="J21" s="2"/>
      <c r="K21" s="19" t="n">
        <f aca="false">+K12</f>
        <v>130500</v>
      </c>
      <c r="L21" s="2"/>
      <c r="M21" s="19" t="n">
        <f aca="false">+M12</f>
        <v>130500</v>
      </c>
      <c r="N21" s="2"/>
      <c r="O21" s="19" t="n">
        <f aca="false">+O12</f>
        <v>130500</v>
      </c>
      <c r="P21" s="19"/>
      <c r="Q21" s="12" t="n">
        <f aca="false">SUM(G21:O21)</f>
        <v>652500</v>
      </c>
      <c r="R21" s="11"/>
      <c r="S21" s="2"/>
    </row>
    <row r="22" customFormat="false" ht="12.75" hidden="false" customHeight="false" outlineLevel="0" collapsed="false">
      <c r="B22" s="8"/>
      <c r="C22" s="2" t="s">
        <v>12</v>
      </c>
      <c r="D22" s="2"/>
      <c r="E22" s="2"/>
      <c r="F22" s="2"/>
      <c r="G22" s="2"/>
      <c r="H22" s="2"/>
      <c r="I22" s="12" t="n">
        <f aca="false">G8/3</f>
        <v>241666.666666667</v>
      </c>
      <c r="J22" s="2"/>
      <c r="K22" s="19" t="n">
        <f aca="false">+I22</f>
        <v>241666.666666667</v>
      </c>
      <c r="L22" s="2"/>
      <c r="M22" s="19" t="n">
        <f aca="false">+I22</f>
        <v>241666.666666667</v>
      </c>
      <c r="N22" s="2"/>
      <c r="O22" s="2"/>
      <c r="P22" s="2"/>
      <c r="Q22" s="12" t="n">
        <f aca="false">SUM(G22:O22)</f>
        <v>725000</v>
      </c>
      <c r="R22" s="11"/>
      <c r="S22" s="2"/>
    </row>
    <row r="23" customFormat="false" ht="13.5" hidden="false" customHeight="false" outlineLevel="0" collapsed="false">
      <c r="B23" s="8"/>
      <c r="C23" s="2" t="s">
        <v>13</v>
      </c>
      <c r="D23" s="2"/>
      <c r="E23" s="2"/>
      <c r="F23" s="2"/>
      <c r="G23" s="14" t="n">
        <f aca="false">SUM(G19:G22)</f>
        <v>493000</v>
      </c>
      <c r="H23" s="14"/>
      <c r="I23" s="14" t="n">
        <f aca="false">SUM(I19:I22)</f>
        <v>444666.666666667</v>
      </c>
      <c r="J23" s="14"/>
      <c r="K23" s="14" t="n">
        <f aca="false">SUM(K19:K22)</f>
        <v>444666.666666667</v>
      </c>
      <c r="L23" s="14"/>
      <c r="M23" s="14" t="n">
        <f aca="false">SUM(M19:M22)</f>
        <v>444666.666666667</v>
      </c>
      <c r="N23" s="14"/>
      <c r="O23" s="14" t="n">
        <f aca="false">SUM(O19:O22)</f>
        <v>203000</v>
      </c>
      <c r="P23" s="15"/>
      <c r="Q23" s="14" t="n">
        <f aca="false">SUM(Q19:Q22)</f>
        <v>2030000</v>
      </c>
      <c r="R23" s="11"/>
      <c r="S23" s="2"/>
    </row>
    <row r="24" customFormat="false" ht="13.5" hidden="false" customHeight="false" outlineLevel="0" collapsed="false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8"/>
      <c r="S24" s="2"/>
    </row>
    <row r="25" customFormat="false" ht="12.75" hidden="false" customHeight="false" outlineLevel="0" collapsed="false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customFormat="false" ht="12.75" hidden="false" customHeight="false" outlineLevel="0" collapsed="false"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7"/>
      <c r="S26" s="2"/>
    </row>
    <row r="27" customFormat="false" ht="12.75" hidden="false" customHeight="false" outlineLevel="0" collapsed="false">
      <c r="B27" s="8"/>
      <c r="C27" s="9" t="s">
        <v>14</v>
      </c>
      <c r="D27" s="9"/>
      <c r="E27" s="2"/>
      <c r="F27" s="2"/>
      <c r="G27" s="10" t="s">
        <v>3</v>
      </c>
      <c r="H27" s="10"/>
      <c r="I27" s="10" t="s">
        <v>4</v>
      </c>
      <c r="J27" s="10"/>
      <c r="K27" s="10" t="s">
        <v>5</v>
      </c>
      <c r="L27" s="10"/>
      <c r="M27" s="10" t="s">
        <v>6</v>
      </c>
      <c r="N27" s="10"/>
      <c r="O27" s="10" t="s">
        <v>7</v>
      </c>
      <c r="P27" s="10"/>
      <c r="Q27" s="10" t="s">
        <v>8</v>
      </c>
      <c r="R27" s="11"/>
      <c r="S27" s="2"/>
    </row>
    <row r="28" customFormat="false" ht="12.75" hidden="false" customHeight="false" outlineLevel="0" collapsed="false">
      <c r="B28" s="8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1"/>
    </row>
    <row r="29" customFormat="false" ht="12.75" hidden="true" customHeight="false" outlineLevel="0" collapsed="false">
      <c r="B29" s="8"/>
      <c r="C29" s="9" t="s">
        <v>15</v>
      </c>
      <c r="D29" s="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11"/>
    </row>
    <row r="30" customFormat="false" ht="12.75" hidden="true" customHeight="false" outlineLevel="0" collapsed="false">
      <c r="B30" s="8"/>
      <c r="C30" s="20" t="s">
        <v>16</v>
      </c>
      <c r="D30" s="2"/>
      <c r="E30" s="2"/>
      <c r="F30" s="2"/>
      <c r="G30" s="12" t="n">
        <f aca="false">+R1!B29</f>
        <v>0</v>
      </c>
      <c r="H30" s="12"/>
      <c r="I30" s="12" t="n">
        <f aca="false">+R1!D29</f>
        <v>0</v>
      </c>
      <c r="J30" s="12"/>
      <c r="K30" s="12" t="n">
        <f aca="false">+R1!F29</f>
        <v>0</v>
      </c>
      <c r="L30" s="12"/>
      <c r="M30" s="12" t="n">
        <f aca="false">+R1!H29</f>
        <v>0</v>
      </c>
      <c r="N30" s="12"/>
      <c r="O30" s="12" t="n">
        <f aca="false">+R1!J29</f>
        <v>0</v>
      </c>
      <c r="P30" s="20"/>
      <c r="Q30" s="12" t="n">
        <f aca="false">SUM(G30:O30)</f>
        <v>0</v>
      </c>
      <c r="R30" s="11"/>
    </row>
    <row r="31" customFormat="false" ht="12.75" hidden="true" customHeight="false" outlineLevel="0" collapsed="false">
      <c r="B31" s="8"/>
      <c r="C31" s="2" t="s">
        <v>17</v>
      </c>
      <c r="D31" s="2"/>
      <c r="E31" s="2"/>
      <c r="F31" s="2"/>
      <c r="G31" s="12" t="n">
        <f aca="false">+R2!B27</f>
        <v>0</v>
      </c>
      <c r="H31" s="12"/>
      <c r="I31" s="12" t="n">
        <f aca="false">+R2!D27</f>
        <v>0</v>
      </c>
      <c r="J31" s="12"/>
      <c r="K31" s="12" t="n">
        <f aca="false">+R2!F27</f>
        <v>0</v>
      </c>
      <c r="L31" s="12"/>
      <c r="M31" s="12" t="n">
        <f aca="false">+R2!H27</f>
        <v>0</v>
      </c>
      <c r="N31" s="12"/>
      <c r="O31" s="12" t="n">
        <f aca="false">+R2!J27</f>
        <v>0</v>
      </c>
      <c r="P31" s="20"/>
      <c r="Q31" s="12" t="n">
        <f aca="false">SUM(G31:O31)</f>
        <v>0</v>
      </c>
      <c r="R31" s="11"/>
    </row>
    <row r="32" customFormat="false" ht="13.5" hidden="true" customHeight="false" outlineLevel="0" collapsed="false">
      <c r="B32" s="8"/>
      <c r="C32" s="2" t="s">
        <v>9</v>
      </c>
      <c r="D32" s="2" t="s">
        <v>8</v>
      </c>
      <c r="E32" s="2"/>
      <c r="F32" s="2"/>
      <c r="G32" s="21" t="n">
        <f aca="false">SUM(G30:G31)</f>
        <v>0</v>
      </c>
      <c r="H32" s="22"/>
      <c r="I32" s="21" t="n">
        <f aca="false">SUM(I30:I31)</f>
        <v>0</v>
      </c>
      <c r="J32" s="22"/>
      <c r="K32" s="21" t="n">
        <f aca="false">SUM(K30:K31)</f>
        <v>0</v>
      </c>
      <c r="L32" s="22"/>
      <c r="M32" s="21" t="n">
        <f aca="false">SUM(M30:M31)</f>
        <v>0</v>
      </c>
      <c r="N32" s="22"/>
      <c r="O32" s="21" t="n">
        <f aca="false">SUM(O30:O31)</f>
        <v>0</v>
      </c>
      <c r="P32" s="23"/>
      <c r="Q32" s="21" t="n">
        <f aca="false">SUM(Q30:Q31)</f>
        <v>0</v>
      </c>
      <c r="R32" s="11"/>
    </row>
    <row r="33" customFormat="false" ht="13.5" hidden="true" customHeight="false" outlineLevel="0" collapsed="false">
      <c r="B33" s="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1"/>
    </row>
    <row r="34" customFormat="false" ht="12.75" hidden="false" customHeight="false" outlineLevel="0" collapsed="false">
      <c r="B34" s="8"/>
      <c r="C34" s="9" t="s">
        <v>18</v>
      </c>
      <c r="D34" s="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11"/>
    </row>
    <row r="35" customFormat="false" ht="12.75" hidden="false" customHeight="false" outlineLevel="0" collapsed="false">
      <c r="B35" s="8"/>
      <c r="C35" s="24" t="s">
        <v>19</v>
      </c>
      <c r="D35" s="2"/>
      <c r="E35" s="2"/>
      <c r="F35" s="2"/>
      <c r="G35" s="12" t="n">
        <f aca="false">+E1!B26</f>
        <v>0</v>
      </c>
      <c r="H35" s="12"/>
      <c r="I35" s="12" t="n">
        <f aca="false">+E1!D26</f>
        <v>0</v>
      </c>
      <c r="J35" s="12"/>
      <c r="K35" s="12" t="n">
        <f aca="false">+E1!F26</f>
        <v>0</v>
      </c>
      <c r="L35" s="12"/>
      <c r="M35" s="12" t="n">
        <f aca="false">+E1!H26</f>
        <v>0</v>
      </c>
      <c r="N35" s="12"/>
      <c r="O35" s="12" t="n">
        <f aca="false">+E1!J26</f>
        <v>0</v>
      </c>
      <c r="P35" s="12"/>
      <c r="Q35" s="12" t="n">
        <f aca="false">SUM(G35:O35)</f>
        <v>0</v>
      </c>
      <c r="R35" s="11"/>
    </row>
    <row r="36" customFormat="false" ht="12.75" hidden="false" customHeight="false" outlineLevel="0" collapsed="false">
      <c r="B36" s="8"/>
      <c r="C36" s="24" t="s">
        <v>20</v>
      </c>
      <c r="D36" s="2"/>
      <c r="E36" s="2"/>
      <c r="F36" s="2"/>
      <c r="G36" s="12" t="n">
        <f aca="false">+E2!B26</f>
        <v>10457600</v>
      </c>
      <c r="H36" s="12"/>
      <c r="I36" s="12" t="n">
        <f aca="false">+E2!D26</f>
        <v>20915200</v>
      </c>
      <c r="J36" s="12"/>
      <c r="K36" s="12" t="n">
        <f aca="false">+E2!F26</f>
        <v>20915200</v>
      </c>
      <c r="L36" s="12"/>
      <c r="M36" s="12" t="n">
        <f aca="false">+E2!H26</f>
        <v>20915200</v>
      </c>
      <c r="N36" s="12"/>
      <c r="O36" s="12" t="n">
        <f aca="false">+E2!J26</f>
        <v>20915200</v>
      </c>
      <c r="P36" s="12"/>
      <c r="Q36" s="12" t="n">
        <f aca="false">SUM(G36:O36)</f>
        <v>94118400</v>
      </c>
      <c r="R36" s="11"/>
    </row>
    <row r="37" customFormat="false" ht="12.75" hidden="false" customHeight="false" outlineLevel="0" collapsed="false">
      <c r="B37" s="8"/>
      <c r="C37" s="24" t="s">
        <v>21</v>
      </c>
      <c r="D37" s="2"/>
      <c r="E37" s="2"/>
      <c r="F37" s="2"/>
      <c r="G37" s="12" t="n">
        <f aca="false">+E3!B26</f>
        <v>10457600</v>
      </c>
      <c r="H37" s="12"/>
      <c r="I37" s="12" t="n">
        <f aca="false">+E3!D26</f>
        <v>20915200</v>
      </c>
      <c r="J37" s="12"/>
      <c r="K37" s="12" t="n">
        <f aca="false">+E3!F26</f>
        <v>20915200</v>
      </c>
      <c r="L37" s="12"/>
      <c r="M37" s="12" t="n">
        <f aca="false">+E3!H26</f>
        <v>20915200</v>
      </c>
      <c r="N37" s="12"/>
      <c r="O37" s="12" t="n">
        <f aca="false">+E3!J26</f>
        <v>20915200</v>
      </c>
      <c r="P37" s="12"/>
      <c r="Q37" s="12" t="n">
        <f aca="false">SUM(G37:O37)</f>
        <v>94118400</v>
      </c>
      <c r="R37" s="11"/>
    </row>
    <row r="38" customFormat="false" ht="12.75" hidden="false" customHeight="false" outlineLevel="0" collapsed="false">
      <c r="B38" s="8"/>
      <c r="C38" s="24" t="s">
        <v>22</v>
      </c>
      <c r="D38" s="2"/>
      <c r="E38" s="2"/>
      <c r="F38" s="2"/>
      <c r="G38" s="12" t="n">
        <f aca="false">+E4!B27</f>
        <v>3233240</v>
      </c>
      <c r="H38" s="12"/>
      <c r="I38" s="12" t="n">
        <f aca="false">+E4!D27</f>
        <v>6466480</v>
      </c>
      <c r="J38" s="12"/>
      <c r="K38" s="12" t="n">
        <f aca="false">+E4!F27</f>
        <v>6466480</v>
      </c>
      <c r="L38" s="12"/>
      <c r="M38" s="12" t="n">
        <f aca="false">+E4!H27</f>
        <v>6466480</v>
      </c>
      <c r="N38" s="12"/>
      <c r="O38" s="12" t="n">
        <f aca="false">+E4!J27</f>
        <v>6466480</v>
      </c>
      <c r="P38" s="12"/>
      <c r="Q38" s="12" t="n">
        <f aca="false">SUM(G38:O38)</f>
        <v>29099160</v>
      </c>
      <c r="R38" s="11"/>
    </row>
    <row r="39" customFormat="false" ht="12.75" hidden="false" customHeight="false" outlineLevel="0" collapsed="false">
      <c r="B39" s="8"/>
      <c r="C39" s="24" t="s">
        <v>23</v>
      </c>
      <c r="D39" s="2"/>
      <c r="E39" s="2"/>
      <c r="F39" s="2"/>
      <c r="G39" s="12" t="n">
        <f aca="false">+E5!B25</f>
        <v>10457600</v>
      </c>
      <c r="H39" s="12"/>
      <c r="I39" s="12" t="n">
        <f aca="false">+E5!D25</f>
        <v>20915200</v>
      </c>
      <c r="J39" s="12"/>
      <c r="K39" s="12" t="n">
        <f aca="false">+E5!F25</f>
        <v>20915200</v>
      </c>
      <c r="L39" s="12"/>
      <c r="M39" s="12" t="n">
        <f aca="false">+E5!H25</f>
        <v>20915200</v>
      </c>
      <c r="N39" s="12"/>
      <c r="O39" s="12" t="n">
        <f aca="false">+E5!J25</f>
        <v>20915200</v>
      </c>
      <c r="P39" s="12"/>
      <c r="Q39" s="12" t="n">
        <f aca="false">SUM(G39:O39)</f>
        <v>94118400</v>
      </c>
      <c r="R39" s="11"/>
    </row>
    <row r="40" customFormat="false" ht="12.75" hidden="false" customHeight="false" outlineLevel="0" collapsed="false">
      <c r="B40" s="8"/>
      <c r="C40" s="24" t="s">
        <v>24</v>
      </c>
      <c r="D40" s="2"/>
      <c r="E40" s="2"/>
      <c r="F40" s="2"/>
      <c r="G40" s="12" t="n">
        <f aca="false">+E6!B29</f>
        <v>419600</v>
      </c>
      <c r="H40" s="12"/>
      <c r="I40" s="12" t="n">
        <f aca="false">+E6!D29</f>
        <v>839200</v>
      </c>
      <c r="J40" s="12"/>
      <c r="K40" s="12" t="n">
        <f aca="false">+E6!F29</f>
        <v>839200</v>
      </c>
      <c r="L40" s="12"/>
      <c r="M40" s="12" t="n">
        <f aca="false">+E6!H29</f>
        <v>839200</v>
      </c>
      <c r="N40" s="12"/>
      <c r="O40" s="12" t="n">
        <f aca="false">+E6!J29</f>
        <v>839200</v>
      </c>
      <c r="P40" s="12"/>
      <c r="Q40" s="12" t="n">
        <f aca="false">SUM(G40:O40)</f>
        <v>3776400</v>
      </c>
      <c r="R40" s="11"/>
    </row>
    <row r="41" customFormat="false" ht="12.75" hidden="false" customHeight="false" outlineLevel="0" collapsed="false">
      <c r="B41" s="8"/>
      <c r="C41" s="24" t="s">
        <v>25</v>
      </c>
      <c r="D41" s="2"/>
      <c r="E41" s="2"/>
      <c r="F41" s="2"/>
      <c r="G41" s="12" t="n">
        <f aca="false">+E7!B27</f>
        <v>0</v>
      </c>
      <c r="H41" s="12"/>
      <c r="I41" s="12" t="n">
        <f aca="false">+E7!D27</f>
        <v>0</v>
      </c>
      <c r="J41" s="12"/>
      <c r="K41" s="12" t="n">
        <f aca="false">+E7!F27</f>
        <v>0</v>
      </c>
      <c r="L41" s="12"/>
      <c r="M41" s="12" t="n">
        <f aca="false">+E7!H27</f>
        <v>0</v>
      </c>
      <c r="N41" s="12"/>
      <c r="O41" s="12" t="n">
        <f aca="false">+E7!J27</f>
        <v>0</v>
      </c>
      <c r="P41" s="12"/>
      <c r="Q41" s="12" t="n">
        <f aca="false">SUM(G41:O41)</f>
        <v>0</v>
      </c>
      <c r="R41" s="11"/>
    </row>
    <row r="42" customFormat="false" ht="12.75" hidden="false" customHeight="false" outlineLevel="0" collapsed="false">
      <c r="B42" s="8"/>
      <c r="C42" s="24" t="s">
        <v>26</v>
      </c>
      <c r="D42" s="2"/>
      <c r="E42" s="2"/>
      <c r="F42" s="2"/>
      <c r="G42" s="12" t="n">
        <f aca="false">+E8!B27</f>
        <v>0</v>
      </c>
      <c r="H42" s="12"/>
      <c r="I42" s="12" t="n">
        <f aca="false">+E8!D27</f>
        <v>0</v>
      </c>
      <c r="J42" s="12"/>
      <c r="K42" s="12" t="n">
        <f aca="false">+E8!F27</f>
        <v>0</v>
      </c>
      <c r="L42" s="12"/>
      <c r="M42" s="12" t="n">
        <f aca="false">+E8!H27</f>
        <v>0</v>
      </c>
      <c r="N42" s="12"/>
      <c r="O42" s="12" t="n">
        <f aca="false">+E8!J27</f>
        <v>0</v>
      </c>
      <c r="P42" s="12"/>
      <c r="Q42" s="12" t="n">
        <f aca="false">SUM(G42:O42)</f>
        <v>0</v>
      </c>
      <c r="R42" s="11"/>
    </row>
    <row r="43" customFormat="false" ht="13.5" hidden="false" customHeight="false" outlineLevel="0" collapsed="false">
      <c r="B43" s="8"/>
      <c r="C43" s="24" t="s">
        <v>9</v>
      </c>
      <c r="D43" s="2" t="s">
        <v>8</v>
      </c>
      <c r="E43" s="2"/>
      <c r="F43" s="2"/>
      <c r="G43" s="21" t="n">
        <f aca="false">SUM(G35:G42)</f>
        <v>35025640</v>
      </c>
      <c r="H43" s="22"/>
      <c r="I43" s="21" t="n">
        <f aca="false">SUM(I35:I42)</f>
        <v>70051280</v>
      </c>
      <c r="J43" s="22"/>
      <c r="K43" s="21" t="n">
        <f aca="false">SUM(K35:K42)</f>
        <v>70051280</v>
      </c>
      <c r="L43" s="22"/>
      <c r="M43" s="21" t="n">
        <f aca="false">SUM(M35:M42)</f>
        <v>70051280</v>
      </c>
      <c r="N43" s="22"/>
      <c r="O43" s="21" t="n">
        <f aca="false">SUM(O35:O42)</f>
        <v>70051280</v>
      </c>
      <c r="P43" s="23"/>
      <c r="Q43" s="21" t="n">
        <f aca="false">SUM(Q35:Q42)</f>
        <v>315230760</v>
      </c>
      <c r="R43" s="11"/>
    </row>
    <row r="44" customFormat="false" ht="13.5" hidden="false" customHeight="false" outlineLevel="0" collapsed="false">
      <c r="B44" s="8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11"/>
    </row>
    <row r="45" customFormat="false" ht="12.75" hidden="false" customHeight="false" outlineLevel="0" collapsed="false">
      <c r="B45" s="8"/>
      <c r="C45" s="9" t="s">
        <v>27</v>
      </c>
      <c r="D45" s="9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11"/>
    </row>
    <row r="46" customFormat="false" ht="12.75" hidden="false" customHeight="false" outlineLevel="0" collapsed="false">
      <c r="B46" s="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11"/>
    </row>
    <row r="47" customFormat="false" ht="12.75" hidden="true" customHeight="false" outlineLevel="0" collapsed="false">
      <c r="B47" s="8"/>
      <c r="C47" s="2" t="s">
        <v>28</v>
      </c>
      <c r="D47" s="2"/>
      <c r="E47" s="2"/>
      <c r="F47" s="2"/>
      <c r="G47" s="12" t="n">
        <f aca="false">+A1!B26</f>
        <v>0</v>
      </c>
      <c r="H47" s="12"/>
      <c r="I47" s="12" t="n">
        <f aca="false">+A1!D26</f>
        <v>0</v>
      </c>
      <c r="J47" s="12"/>
      <c r="K47" s="12" t="n">
        <f aca="false">+A1!F26</f>
        <v>0</v>
      </c>
      <c r="L47" s="12"/>
      <c r="M47" s="12" t="n">
        <f aca="false">+A1!H26</f>
        <v>0</v>
      </c>
      <c r="N47" s="12"/>
      <c r="O47" s="12" t="n">
        <f aca="false">+A1!J26</f>
        <v>0</v>
      </c>
      <c r="P47" s="12"/>
      <c r="Q47" s="12" t="n">
        <f aca="false">SUM(G47:O47)</f>
        <v>0</v>
      </c>
      <c r="R47" s="11"/>
    </row>
    <row r="48" customFormat="false" ht="12.75" hidden="false" customHeight="false" outlineLevel="0" collapsed="false">
      <c r="B48" s="8"/>
      <c r="C48" s="2" t="s">
        <v>29</v>
      </c>
      <c r="D48" s="2"/>
      <c r="E48" s="2"/>
      <c r="F48" s="2"/>
      <c r="G48" s="12" t="n">
        <f aca="false">+A2!B26</f>
        <v>540000</v>
      </c>
      <c r="H48" s="12"/>
      <c r="I48" s="12" t="n">
        <f aca="false">+A2!D26</f>
        <v>1080000</v>
      </c>
      <c r="J48" s="12"/>
      <c r="K48" s="12" t="n">
        <f aca="false">+A2!F26</f>
        <v>1080000</v>
      </c>
      <c r="L48" s="12"/>
      <c r="M48" s="12" t="n">
        <f aca="false">+A2!H26</f>
        <v>1080000</v>
      </c>
      <c r="N48" s="12"/>
      <c r="O48" s="12" t="n">
        <f aca="false">+A2!J26</f>
        <v>1080000</v>
      </c>
      <c r="P48" s="12"/>
      <c r="Q48" s="12" t="n">
        <f aca="false">SUM(G48:O48)</f>
        <v>4860000</v>
      </c>
      <c r="R48" s="11"/>
    </row>
    <row r="49" customFormat="false" ht="13.5" hidden="false" customHeight="false" outlineLevel="0" collapsed="false">
      <c r="B49" s="8"/>
      <c r="C49" s="2"/>
      <c r="D49" s="2" t="s">
        <v>8</v>
      </c>
      <c r="E49" s="2"/>
      <c r="F49" s="2"/>
      <c r="G49" s="21" t="n">
        <f aca="false">SUM(G47:G48)</f>
        <v>540000</v>
      </c>
      <c r="H49" s="22"/>
      <c r="I49" s="21" t="n">
        <f aca="false">SUM(I47:I48)</f>
        <v>1080000</v>
      </c>
      <c r="J49" s="22"/>
      <c r="K49" s="21" t="n">
        <f aca="false">SUM(K47:K48)</f>
        <v>1080000</v>
      </c>
      <c r="L49" s="22"/>
      <c r="M49" s="21" t="n">
        <f aca="false">SUM(M47:M48)</f>
        <v>1080000</v>
      </c>
      <c r="N49" s="22"/>
      <c r="O49" s="21" t="n">
        <f aca="false">SUM(O47:O48)</f>
        <v>1080000</v>
      </c>
      <c r="P49" s="23"/>
      <c r="Q49" s="21" t="n">
        <f aca="false">SUM(Q47:Q48)</f>
        <v>4860000</v>
      </c>
      <c r="R49" s="11"/>
    </row>
    <row r="50" customFormat="false" ht="13.5" hidden="false" customHeight="false" outlineLevel="0" collapsed="false"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8"/>
    </row>
  </sheetData>
  <printOptions headings="false" gridLines="false" gridLinesSet="true" horizontalCentered="false" verticalCentered="false"/>
  <pageMargins left="1" right="1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9" activeCellId="0" sqref="H9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386" width="30.13"/>
    <col collapsed="false" customWidth="true" hidden="false" outlineLevel="0" max="2" min="2" style="386" width="16.7"/>
    <col collapsed="false" customWidth="true" hidden="false" outlineLevel="0" max="3" min="3" style="386" width="1.7"/>
    <col collapsed="false" customWidth="true" hidden="false" outlineLevel="0" max="4" min="4" style="386" width="16.7"/>
    <col collapsed="false" customWidth="true" hidden="false" outlineLevel="0" max="5" min="5" style="386" width="1.7"/>
    <col collapsed="false" customWidth="true" hidden="false" outlineLevel="0" max="6" min="6" style="386" width="16.7"/>
    <col collapsed="false" customWidth="true" hidden="false" outlineLevel="0" max="7" min="7" style="386" width="1.7"/>
    <col collapsed="false" customWidth="true" hidden="false" outlineLevel="0" max="8" min="8" style="386" width="16.7"/>
    <col collapsed="false" customWidth="true" hidden="false" outlineLevel="0" max="9" min="9" style="386" width="1.7"/>
    <col collapsed="false" customWidth="true" hidden="false" outlineLevel="0" max="10" min="10" style="386" width="16.7"/>
    <col collapsed="false" customWidth="true" hidden="false" outlineLevel="0" max="11" min="11" style="386" width="1.7"/>
    <col collapsed="false" customWidth="true" hidden="false" outlineLevel="0" max="12" min="12" style="386" width="16.7"/>
    <col collapsed="false" customWidth="true" hidden="false" outlineLevel="0" max="13" min="13" style="386" width="1.85"/>
    <col collapsed="false" customWidth="false" hidden="false" outlineLevel="0" max="257" min="14" style="386" width="9.14"/>
  </cols>
  <sheetData>
    <row r="1" customFormat="false" ht="48" hidden="false" customHeight="true" outlineLevel="0" collapsed="false"/>
    <row r="2" customFormat="false" ht="32.25" hidden="false" customHeight="true" outlineLevel="0" collapsed="false">
      <c r="A2" s="387" t="s">
        <v>322</v>
      </c>
      <c r="B2" s="388" t="s">
        <v>323</v>
      </c>
      <c r="C2" s="388"/>
      <c r="D2" s="388"/>
      <c r="E2" s="388"/>
      <c r="F2" s="388"/>
      <c r="G2" s="388"/>
      <c r="H2" s="388"/>
      <c r="I2" s="388"/>
      <c r="J2" s="388"/>
      <c r="K2" s="388"/>
      <c r="L2" s="389"/>
    </row>
    <row r="3" customFormat="false" ht="15.75" hidden="false" customHeight="false" outlineLevel="0" collapsed="false">
      <c r="A3" s="390" t="s">
        <v>324</v>
      </c>
      <c r="B3" s="391" t="s">
        <v>9</v>
      </c>
      <c r="C3" s="392"/>
      <c r="D3" s="393"/>
      <c r="E3" s="393"/>
      <c r="F3" s="393"/>
      <c r="G3" s="393"/>
      <c r="H3" s="393"/>
      <c r="I3" s="393"/>
      <c r="J3" s="393"/>
      <c r="K3" s="393"/>
      <c r="L3" s="394"/>
    </row>
    <row r="4" customFormat="false" ht="15.75" hidden="false" customHeight="false" outlineLevel="0" collapsed="false">
      <c r="A4" s="395" t="s">
        <v>9</v>
      </c>
      <c r="B4" s="396" t="s">
        <v>325</v>
      </c>
      <c r="C4" s="397"/>
      <c r="D4" s="398"/>
      <c r="E4" s="398"/>
      <c r="F4" s="398"/>
      <c r="G4" s="398"/>
      <c r="H4" s="398"/>
      <c r="I4" s="398"/>
      <c r="J4" s="398"/>
      <c r="K4" s="398"/>
      <c r="L4" s="399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400"/>
      <c r="AU4" s="400"/>
      <c r="AV4" s="400"/>
      <c r="AW4" s="400"/>
      <c r="AX4" s="400"/>
      <c r="AY4" s="400"/>
      <c r="AZ4" s="400"/>
      <c r="BA4" s="400"/>
      <c r="BB4" s="400"/>
      <c r="BC4" s="400"/>
      <c r="BD4" s="400"/>
      <c r="BE4" s="400"/>
      <c r="BF4" s="400"/>
      <c r="BG4" s="400"/>
      <c r="BH4" s="400"/>
      <c r="BI4" s="400"/>
      <c r="BJ4" s="400"/>
      <c r="BK4" s="400"/>
      <c r="BL4" s="400"/>
      <c r="BM4" s="400"/>
      <c r="BN4" s="400"/>
      <c r="BO4" s="400"/>
      <c r="BP4" s="400"/>
      <c r="BQ4" s="400"/>
      <c r="BR4" s="400"/>
      <c r="BS4" s="400"/>
      <c r="BT4" s="400"/>
      <c r="BU4" s="400"/>
      <c r="BV4" s="400"/>
      <c r="BW4" s="400"/>
      <c r="BX4" s="400"/>
      <c r="BY4" s="400"/>
      <c r="BZ4" s="400"/>
      <c r="CA4" s="400"/>
      <c r="CB4" s="400"/>
      <c r="CC4" s="400"/>
      <c r="CD4" s="400"/>
      <c r="CE4" s="400"/>
      <c r="CF4" s="400"/>
      <c r="CG4" s="400"/>
      <c r="CH4" s="400"/>
      <c r="CI4" s="400"/>
      <c r="CJ4" s="400"/>
      <c r="CK4" s="400"/>
      <c r="CL4" s="400"/>
      <c r="CM4" s="400"/>
      <c r="CN4" s="400"/>
      <c r="CO4" s="400"/>
      <c r="CP4" s="400"/>
      <c r="CQ4" s="400"/>
      <c r="CR4" s="400"/>
      <c r="CS4" s="400"/>
      <c r="CT4" s="400"/>
      <c r="CU4" s="400"/>
      <c r="CV4" s="400"/>
      <c r="CW4" s="400"/>
      <c r="CX4" s="400"/>
      <c r="CY4" s="400"/>
      <c r="CZ4" s="400"/>
      <c r="DA4" s="400"/>
      <c r="DB4" s="400"/>
      <c r="DC4" s="400"/>
      <c r="DD4" s="400"/>
      <c r="DE4" s="400"/>
      <c r="DF4" s="400"/>
      <c r="DG4" s="400"/>
      <c r="DH4" s="400"/>
      <c r="DI4" s="400"/>
      <c r="DJ4" s="400"/>
      <c r="DK4" s="400"/>
      <c r="DL4" s="400"/>
      <c r="DM4" s="400"/>
      <c r="DN4" s="400"/>
      <c r="DO4" s="400"/>
      <c r="DP4" s="400"/>
      <c r="DQ4" s="400"/>
      <c r="DR4" s="400"/>
      <c r="DS4" s="400"/>
      <c r="DT4" s="400"/>
      <c r="DU4" s="400"/>
      <c r="DV4" s="400"/>
      <c r="DW4" s="400"/>
      <c r="DX4" s="400"/>
      <c r="DY4" s="400"/>
      <c r="DZ4" s="400"/>
      <c r="EA4" s="400"/>
      <c r="EB4" s="400"/>
      <c r="EC4" s="400"/>
      <c r="ED4" s="400"/>
      <c r="EE4" s="400"/>
      <c r="EF4" s="400"/>
      <c r="EG4" s="400"/>
      <c r="EH4" s="400"/>
      <c r="EI4" s="400"/>
      <c r="EJ4" s="400"/>
      <c r="EK4" s="400"/>
      <c r="EL4" s="400"/>
      <c r="EM4" s="400"/>
      <c r="EN4" s="400"/>
      <c r="EO4" s="400"/>
      <c r="EP4" s="400"/>
      <c r="EQ4" s="400"/>
      <c r="ER4" s="400"/>
      <c r="ES4" s="400"/>
      <c r="ET4" s="400"/>
      <c r="EU4" s="400"/>
      <c r="EV4" s="400"/>
      <c r="EW4" s="400"/>
      <c r="EX4" s="400"/>
      <c r="EY4" s="400"/>
      <c r="EZ4" s="400"/>
      <c r="FA4" s="400"/>
      <c r="FB4" s="400"/>
      <c r="FC4" s="400"/>
      <c r="FD4" s="400"/>
      <c r="FE4" s="400"/>
      <c r="FF4" s="400"/>
      <c r="FG4" s="400"/>
      <c r="FH4" s="400"/>
      <c r="FI4" s="400"/>
      <c r="FJ4" s="400"/>
      <c r="FK4" s="400"/>
      <c r="FL4" s="400"/>
      <c r="FM4" s="400"/>
      <c r="FN4" s="400"/>
      <c r="FO4" s="400"/>
      <c r="FP4" s="400"/>
      <c r="FQ4" s="400"/>
      <c r="FR4" s="400"/>
      <c r="FS4" s="400"/>
      <c r="FT4" s="400"/>
      <c r="FU4" s="400"/>
      <c r="FV4" s="400"/>
      <c r="FW4" s="400"/>
      <c r="FX4" s="400"/>
      <c r="FY4" s="400"/>
      <c r="FZ4" s="400"/>
      <c r="GA4" s="400"/>
      <c r="GB4" s="400"/>
      <c r="GC4" s="400"/>
      <c r="GD4" s="400"/>
      <c r="GE4" s="400"/>
      <c r="GF4" s="400"/>
      <c r="GG4" s="400"/>
      <c r="GH4" s="400"/>
      <c r="GI4" s="400"/>
      <c r="GJ4" s="400"/>
      <c r="GK4" s="400"/>
      <c r="GL4" s="400"/>
      <c r="GM4" s="400"/>
      <c r="GN4" s="400"/>
      <c r="GO4" s="400"/>
      <c r="GP4" s="400"/>
      <c r="GQ4" s="400"/>
      <c r="GR4" s="400"/>
      <c r="GS4" s="400"/>
      <c r="GT4" s="400"/>
      <c r="GU4" s="400"/>
      <c r="GV4" s="400"/>
      <c r="GW4" s="400"/>
      <c r="GX4" s="400"/>
      <c r="GY4" s="400"/>
      <c r="GZ4" s="400"/>
      <c r="HA4" s="400"/>
      <c r="HB4" s="400"/>
      <c r="HC4" s="400"/>
      <c r="HD4" s="400"/>
      <c r="HE4" s="400"/>
      <c r="HF4" s="400"/>
      <c r="HG4" s="400"/>
      <c r="HH4" s="400"/>
      <c r="HI4" s="400"/>
      <c r="HJ4" s="400"/>
      <c r="HK4" s="400"/>
      <c r="HL4" s="400"/>
      <c r="HM4" s="400"/>
      <c r="HN4" s="400"/>
      <c r="HO4" s="400"/>
      <c r="HP4" s="400"/>
      <c r="HQ4" s="400"/>
      <c r="HR4" s="400"/>
      <c r="HS4" s="400"/>
      <c r="HT4" s="400"/>
      <c r="HU4" s="400"/>
      <c r="HV4" s="400"/>
      <c r="HW4" s="400"/>
      <c r="HX4" s="400"/>
      <c r="HY4" s="400"/>
      <c r="HZ4" s="400"/>
      <c r="IA4" s="400"/>
      <c r="IB4" s="400"/>
      <c r="IC4" s="400"/>
      <c r="ID4" s="400"/>
      <c r="IE4" s="400"/>
      <c r="IF4" s="400"/>
      <c r="IG4" s="400"/>
      <c r="IH4" s="400"/>
      <c r="II4" s="400"/>
      <c r="IJ4" s="400"/>
      <c r="IK4" s="400"/>
      <c r="IL4" s="400"/>
      <c r="IM4" s="400"/>
      <c r="IN4" s="400"/>
      <c r="IO4" s="400"/>
      <c r="IP4" s="400"/>
      <c r="IQ4" s="400"/>
      <c r="IR4" s="400"/>
      <c r="IS4" s="400"/>
      <c r="IT4" s="400"/>
      <c r="IU4" s="400"/>
      <c r="IV4" s="400"/>
      <c r="IW4" s="400"/>
    </row>
    <row r="5" customFormat="false" ht="15" hidden="false" customHeight="true" outlineLevel="0" collapsed="false">
      <c r="A5" s="401"/>
      <c r="B5" s="402" t="s">
        <v>326</v>
      </c>
      <c r="C5" s="403"/>
      <c r="D5" s="404"/>
      <c r="E5" s="404"/>
      <c r="F5" s="404"/>
      <c r="G5" s="404"/>
      <c r="H5" s="404"/>
      <c r="I5" s="404"/>
      <c r="J5" s="404"/>
      <c r="K5" s="404"/>
      <c r="L5" s="405"/>
    </row>
    <row r="6" customFormat="false" ht="15" hidden="false" customHeight="true" outlineLevel="0" collapsed="false">
      <c r="A6" s="401"/>
      <c r="B6" s="402" t="s">
        <v>327</v>
      </c>
      <c r="C6" s="403"/>
      <c r="D6" s="404"/>
      <c r="E6" s="404"/>
      <c r="F6" s="404"/>
      <c r="G6" s="404"/>
      <c r="H6" s="404"/>
      <c r="I6" s="404"/>
      <c r="J6" s="404"/>
      <c r="K6" s="404"/>
      <c r="L6" s="405"/>
    </row>
    <row r="7" customFormat="false" ht="15" hidden="false" customHeight="true" outlineLevel="0" collapsed="false">
      <c r="A7" s="406"/>
      <c r="B7" s="407"/>
      <c r="C7" s="407"/>
      <c r="D7" s="404"/>
      <c r="E7" s="404"/>
      <c r="F7" s="404"/>
      <c r="G7" s="404"/>
      <c r="H7" s="404"/>
      <c r="I7" s="404"/>
      <c r="J7" s="404"/>
      <c r="K7" s="404"/>
      <c r="L7" s="405"/>
    </row>
    <row r="8" customFormat="false" ht="35.25" hidden="false" customHeight="true" outlineLevel="0" collapsed="false">
      <c r="A8" s="408" t="s">
        <v>328</v>
      </c>
      <c r="B8" s="409"/>
      <c r="C8" s="409"/>
      <c r="D8" s="409"/>
      <c r="E8" s="409"/>
      <c r="F8" s="409"/>
      <c r="G8" s="409"/>
      <c r="H8" s="410" t="s">
        <v>329</v>
      </c>
      <c r="I8" s="411"/>
      <c r="J8" s="410" t="s">
        <v>330</v>
      </c>
      <c r="K8" s="411"/>
      <c r="L8" s="412" t="s">
        <v>331</v>
      </c>
    </row>
    <row r="9" customFormat="false" ht="15" hidden="false" customHeight="true" outlineLevel="0" collapsed="false">
      <c r="A9" s="413" t="s">
        <v>332</v>
      </c>
      <c r="B9" s="407" t="s">
        <v>333</v>
      </c>
      <c r="C9" s="407"/>
      <c r="D9" s="407"/>
      <c r="E9" s="407"/>
      <c r="F9" s="407"/>
      <c r="G9" s="407"/>
      <c r="H9" s="414" t="n">
        <f aca="false">+Assumptions!E17</f>
        <v>11914000000</v>
      </c>
      <c r="I9" s="414"/>
      <c r="J9" s="414" t="n">
        <f aca="false">+Assumptions!G17</f>
        <v>11914000000</v>
      </c>
      <c r="K9" s="414"/>
      <c r="L9" s="415" t="n">
        <f aca="false">+Assumptions!I17</f>
        <v>11914000000</v>
      </c>
    </row>
    <row r="10" customFormat="false" ht="15" hidden="false" customHeight="true" outlineLevel="0" collapsed="false">
      <c r="A10" s="406"/>
      <c r="B10" s="407" t="s">
        <v>19</v>
      </c>
      <c r="C10" s="407"/>
      <c r="D10" s="407"/>
      <c r="E10" s="407"/>
      <c r="F10" s="407"/>
      <c r="G10" s="407"/>
      <c r="H10" s="416" t="n">
        <f aca="false">+Assumptions!E18</f>
        <v>0</v>
      </c>
      <c r="I10" s="407"/>
      <c r="J10" s="416" t="n">
        <f aca="false">+Assumptions!G18</f>
        <v>0</v>
      </c>
      <c r="K10" s="416"/>
      <c r="L10" s="417" t="n">
        <f aca="false">+Assumptions!I18</f>
        <v>0</v>
      </c>
    </row>
    <row r="11" customFormat="false" ht="15" hidden="false" customHeight="true" outlineLevel="0" collapsed="false">
      <c r="A11" s="406"/>
      <c r="B11" s="407" t="s">
        <v>334</v>
      </c>
      <c r="C11" s="407"/>
      <c r="D11" s="407"/>
      <c r="E11" s="407"/>
      <c r="F11" s="407"/>
      <c r="G11" s="407"/>
      <c r="H11" s="418" t="n">
        <f aca="false">IF(ISERROR(1-H10/H9),0,(1-H10/H9))</f>
        <v>1</v>
      </c>
      <c r="I11" s="407"/>
      <c r="J11" s="418" t="n">
        <f aca="false">IF(ISERROR(1-J10/J9),0,(1-J10/J9))</f>
        <v>1</v>
      </c>
      <c r="K11" s="407"/>
      <c r="L11" s="419" t="n">
        <f aca="false">IF(ISERROR(1-L10/L9),0,(1-L10/L9))</f>
        <v>1</v>
      </c>
    </row>
    <row r="12" customFormat="false" ht="15" hidden="false" customHeight="true" outlineLevel="0" collapsed="false">
      <c r="A12" s="406"/>
      <c r="B12" s="407"/>
      <c r="C12" s="407"/>
      <c r="D12" s="407"/>
      <c r="E12" s="407"/>
      <c r="F12" s="407"/>
      <c r="G12" s="407"/>
      <c r="H12" s="407"/>
      <c r="I12" s="407"/>
      <c r="J12" s="407"/>
      <c r="K12" s="407"/>
      <c r="L12" s="420"/>
    </row>
    <row r="13" customFormat="false" ht="15" hidden="false" customHeight="true" outlineLevel="0" collapsed="false">
      <c r="A13" s="413" t="s">
        <v>335</v>
      </c>
      <c r="B13" s="407" t="s">
        <v>336</v>
      </c>
      <c r="C13" s="407"/>
      <c r="D13" s="93"/>
      <c r="E13" s="407"/>
      <c r="F13" s="407"/>
      <c r="G13" s="407"/>
      <c r="H13" s="421" t="n">
        <f aca="false">+Assumptions!E19</f>
        <v>0</v>
      </c>
      <c r="I13" s="407"/>
      <c r="J13" s="421" t="n">
        <f aca="false">+Assumptions!G19</f>
        <v>0</v>
      </c>
      <c r="K13" s="422"/>
      <c r="L13" s="423" t="n">
        <f aca="false">+Assumptions!I19</f>
        <v>0</v>
      </c>
    </row>
    <row r="14" customFormat="false" ht="15" hidden="false" customHeight="true" outlineLevel="0" collapsed="false">
      <c r="A14" s="413"/>
      <c r="B14" s="407"/>
      <c r="C14" s="407"/>
      <c r="D14" s="407"/>
      <c r="E14" s="407"/>
      <c r="F14" s="407"/>
      <c r="G14" s="407"/>
      <c r="H14" s="407"/>
      <c r="I14" s="407"/>
      <c r="J14" s="407"/>
      <c r="K14" s="407"/>
      <c r="L14" s="420"/>
    </row>
    <row r="15" customFormat="false" ht="15" hidden="false" customHeight="true" outlineLevel="0" collapsed="false">
      <c r="A15" s="413"/>
      <c r="B15" s="407"/>
      <c r="C15" s="407"/>
      <c r="D15" s="407"/>
      <c r="E15" s="407"/>
      <c r="F15" s="407"/>
      <c r="G15" s="407"/>
      <c r="H15" s="407"/>
      <c r="I15" s="407"/>
      <c r="J15" s="407"/>
      <c r="K15" s="407"/>
      <c r="L15" s="420"/>
    </row>
    <row r="16" customFormat="false" ht="15" hidden="false" customHeight="true" outlineLevel="0" collapsed="false">
      <c r="A16" s="413"/>
      <c r="B16" s="407"/>
      <c r="C16" s="407"/>
      <c r="D16" s="407"/>
      <c r="E16" s="407"/>
      <c r="F16" s="407"/>
      <c r="G16" s="407"/>
      <c r="H16" s="407"/>
      <c r="I16" s="407"/>
      <c r="J16" s="407"/>
      <c r="K16" s="407"/>
      <c r="L16" s="420"/>
    </row>
    <row r="17" customFormat="false" ht="15" hidden="false" customHeight="true" outlineLevel="0" collapsed="false">
      <c r="A17" s="413" t="s">
        <v>337</v>
      </c>
      <c r="B17" s="407" t="s">
        <v>338</v>
      </c>
      <c r="C17" s="407"/>
      <c r="D17" s="407"/>
      <c r="E17" s="407"/>
      <c r="F17" s="407"/>
      <c r="G17" s="407"/>
      <c r="H17" s="424" t="n">
        <f aca="false">H9*H13</f>
        <v>0</v>
      </c>
      <c r="I17" s="425"/>
      <c r="J17" s="424" t="n">
        <f aca="false">J9*J13</f>
        <v>0</v>
      </c>
      <c r="K17" s="424"/>
      <c r="L17" s="426" t="n">
        <f aca="false">L9*L13</f>
        <v>0</v>
      </c>
    </row>
    <row r="18" customFormat="false" ht="15" hidden="false" customHeight="true" outlineLevel="0" collapsed="false">
      <c r="A18" s="406"/>
      <c r="B18" s="402" t="s">
        <v>339</v>
      </c>
      <c r="C18" s="407"/>
      <c r="D18" s="407"/>
      <c r="E18" s="407"/>
      <c r="F18" s="407"/>
      <c r="G18" s="407"/>
      <c r="H18" s="424" t="n">
        <f aca="false">H17*(1-H11)</f>
        <v>0</v>
      </c>
      <c r="I18" s="425"/>
      <c r="J18" s="424" t="n">
        <f aca="false">J17*(1-J11)</f>
        <v>0</v>
      </c>
      <c r="K18" s="424"/>
      <c r="L18" s="426" t="n">
        <f aca="false">L17*(1-L11)</f>
        <v>0</v>
      </c>
    </row>
    <row r="19" customFormat="false" ht="15" hidden="false" customHeight="true" outlineLevel="0" collapsed="false">
      <c r="A19" s="406"/>
      <c r="B19" s="404" t="s">
        <v>340</v>
      </c>
      <c r="C19" s="407"/>
      <c r="D19" s="407"/>
      <c r="E19" s="407"/>
      <c r="F19" s="407"/>
      <c r="G19" s="407"/>
      <c r="H19" s="427"/>
      <c r="I19" s="428"/>
      <c r="J19" s="427"/>
      <c r="K19" s="427"/>
      <c r="L19" s="429"/>
    </row>
    <row r="20" customFormat="false" ht="15" hidden="false" customHeight="true" outlineLevel="0" collapsed="false">
      <c r="A20" s="406"/>
      <c r="B20" s="407" t="s">
        <v>341</v>
      </c>
      <c r="C20" s="407"/>
      <c r="D20" s="407"/>
      <c r="E20" s="407"/>
      <c r="F20" s="407"/>
      <c r="G20" s="407"/>
      <c r="H20" s="414" t="n">
        <f aca="false">H17-H18</f>
        <v>0</v>
      </c>
      <c r="I20" s="414"/>
      <c r="J20" s="414" t="n">
        <f aca="false">J17-J18</f>
        <v>0</v>
      </c>
      <c r="K20" s="414"/>
      <c r="L20" s="415" t="n">
        <f aca="false">L17-L18</f>
        <v>0</v>
      </c>
    </row>
    <row r="21" customFormat="false" ht="15" hidden="false" customHeight="true" outlineLevel="0" collapsed="false">
      <c r="A21" s="430"/>
      <c r="B21" s="431"/>
      <c r="C21" s="431"/>
      <c r="D21" s="431"/>
      <c r="E21" s="431"/>
      <c r="F21" s="431"/>
      <c r="G21" s="431"/>
      <c r="H21" s="431"/>
      <c r="I21" s="432"/>
      <c r="J21" s="431"/>
      <c r="K21" s="431"/>
      <c r="L21" s="433"/>
    </row>
    <row r="22" customFormat="false" ht="15.75" hidden="false" customHeight="false" outlineLevel="0" collapsed="false">
      <c r="A22" s="434" t="s">
        <v>342</v>
      </c>
      <c r="B22" s="435" t="s">
        <v>3</v>
      </c>
      <c r="C22" s="409"/>
      <c r="D22" s="435" t="s">
        <v>4</v>
      </c>
      <c r="E22" s="409"/>
      <c r="F22" s="435" t="s">
        <v>5</v>
      </c>
      <c r="G22" s="409"/>
      <c r="H22" s="435" t="s">
        <v>6</v>
      </c>
      <c r="I22" s="435"/>
      <c r="J22" s="435" t="s">
        <v>7</v>
      </c>
      <c r="K22" s="409"/>
      <c r="L22" s="436"/>
    </row>
    <row r="23" customFormat="false" ht="15" hidden="false" customHeight="true" outlineLevel="0" collapsed="false">
      <c r="A23" s="406"/>
      <c r="B23" s="407"/>
      <c r="C23" s="407"/>
      <c r="D23" s="407"/>
      <c r="E23" s="407"/>
      <c r="F23" s="407"/>
      <c r="G23" s="407"/>
      <c r="H23" s="407"/>
      <c r="I23" s="407"/>
      <c r="J23" s="407"/>
      <c r="K23" s="437"/>
      <c r="L23" s="420"/>
    </row>
    <row r="24" customFormat="false" ht="15" hidden="false" customHeight="true" outlineLevel="0" collapsed="false">
      <c r="A24" s="438" t="str">
        <f aca="false">H8</f>
        <v>Conservative Estimate </v>
      </c>
      <c r="B24" s="407" t="n">
        <f aca="false">+Assumptions!E6</f>
        <v>0.5</v>
      </c>
      <c r="C24" s="407"/>
      <c r="D24" s="407" t="n">
        <f aca="false">+Assumptions!G6</f>
        <v>1</v>
      </c>
      <c r="E24" s="407"/>
      <c r="F24" s="407" t="n">
        <f aca="false">+Assumptions!I6</f>
        <v>1</v>
      </c>
      <c r="G24" s="407"/>
      <c r="H24" s="407" t="n">
        <f aca="false">+Assumptions!K6</f>
        <v>1</v>
      </c>
      <c r="I24" s="407"/>
      <c r="J24" s="407" t="n">
        <f aca="false">+Assumptions!M6</f>
        <v>1</v>
      </c>
      <c r="K24" s="407"/>
      <c r="L24" s="420"/>
    </row>
    <row r="25" customFormat="false" ht="15" hidden="false" customHeight="true" outlineLevel="0" collapsed="false">
      <c r="A25" s="439" t="str">
        <f aca="false">J8</f>
        <v>Average Estimate </v>
      </c>
      <c r="B25" s="407" t="n">
        <f aca="false">+Assumptions!E7</f>
        <v>0.6</v>
      </c>
      <c r="C25" s="407"/>
      <c r="D25" s="407" t="n">
        <f aca="false">+Assumptions!G7</f>
        <v>1</v>
      </c>
      <c r="E25" s="407"/>
      <c r="F25" s="407" t="n">
        <f aca="false">+Assumptions!I7</f>
        <v>1</v>
      </c>
      <c r="G25" s="407"/>
      <c r="H25" s="407" t="n">
        <f aca="false">+Assumptions!K7</f>
        <v>1</v>
      </c>
      <c r="I25" s="407"/>
      <c r="J25" s="407" t="n">
        <f aca="false">+Assumptions!M7</f>
        <v>1</v>
      </c>
      <c r="K25" s="407"/>
      <c r="L25" s="420"/>
    </row>
    <row r="26" customFormat="false" ht="15" hidden="false" customHeight="true" outlineLevel="0" collapsed="false">
      <c r="A26" s="440" t="str">
        <f aca="false">L8</f>
        <v>Peak Performance</v>
      </c>
      <c r="B26" s="407" t="n">
        <f aca="false">+Assumptions!E8</f>
        <v>0.7</v>
      </c>
      <c r="C26" s="407"/>
      <c r="D26" s="407" t="n">
        <f aca="false">+Assumptions!G8</f>
        <v>1</v>
      </c>
      <c r="E26" s="407"/>
      <c r="F26" s="407" t="n">
        <f aca="false">+Assumptions!I8</f>
        <v>1</v>
      </c>
      <c r="G26" s="407"/>
      <c r="H26" s="407" t="n">
        <f aca="false">+Assumptions!K8</f>
        <v>1</v>
      </c>
      <c r="I26" s="407"/>
      <c r="J26" s="407" t="n">
        <f aca="false">+Assumptions!M8</f>
        <v>1</v>
      </c>
      <c r="K26" s="407"/>
      <c r="L26" s="420"/>
    </row>
    <row r="27" customFormat="false" ht="15.75" hidden="false" customHeight="false" outlineLevel="0" collapsed="false">
      <c r="A27" s="434" t="s">
        <v>343</v>
      </c>
      <c r="B27" s="435" t="s">
        <v>3</v>
      </c>
      <c r="C27" s="435"/>
      <c r="D27" s="435" t="s">
        <v>4</v>
      </c>
      <c r="E27" s="435"/>
      <c r="F27" s="435" t="s">
        <v>5</v>
      </c>
      <c r="G27" s="435"/>
      <c r="H27" s="435" t="s">
        <v>6</v>
      </c>
      <c r="I27" s="435"/>
      <c r="J27" s="435" t="s">
        <v>7</v>
      </c>
      <c r="K27" s="435"/>
      <c r="L27" s="441" t="s">
        <v>8</v>
      </c>
    </row>
    <row r="28" customFormat="false" ht="15" hidden="false" customHeight="true" outlineLevel="0" collapsed="false">
      <c r="A28" s="406"/>
      <c r="B28" s="407"/>
      <c r="C28" s="407"/>
      <c r="D28" s="407"/>
      <c r="E28" s="407"/>
      <c r="F28" s="407"/>
      <c r="G28" s="407"/>
      <c r="H28" s="407"/>
      <c r="I28" s="407"/>
      <c r="J28" s="407"/>
      <c r="K28" s="407"/>
      <c r="L28" s="420"/>
    </row>
    <row r="29" customFormat="false" ht="15" hidden="false" customHeight="true" outlineLevel="0" collapsed="false">
      <c r="A29" s="438" t="str">
        <f aca="false">+H8</f>
        <v>Conservative Estimate </v>
      </c>
      <c r="B29" s="442" t="n">
        <f aca="false">($H$20*B24)</f>
        <v>0</v>
      </c>
      <c r="C29" s="442"/>
      <c r="D29" s="442" t="n">
        <f aca="false">($H$20*D24)</f>
        <v>0</v>
      </c>
      <c r="E29" s="442"/>
      <c r="F29" s="442" t="n">
        <f aca="false">($H$20*F24)</f>
        <v>0</v>
      </c>
      <c r="G29" s="442"/>
      <c r="H29" s="442" t="n">
        <f aca="false">($H$20*H24)</f>
        <v>0</v>
      </c>
      <c r="I29" s="442"/>
      <c r="J29" s="442" t="n">
        <f aca="false">($H$20*J24)</f>
        <v>0</v>
      </c>
      <c r="K29" s="442"/>
      <c r="L29" s="443" t="n">
        <f aca="false">SUM(B29:J29)</f>
        <v>0</v>
      </c>
    </row>
    <row r="30" customFormat="false" ht="15" hidden="false" customHeight="true" outlineLevel="0" collapsed="false">
      <c r="A30" s="439" t="str">
        <f aca="false">+J8</f>
        <v>Average Estimate </v>
      </c>
      <c r="B30" s="442" t="n">
        <f aca="false">($J$20*B25)</f>
        <v>0</v>
      </c>
      <c r="C30" s="442"/>
      <c r="D30" s="442" t="n">
        <f aca="false">($J$20*D25)</f>
        <v>0</v>
      </c>
      <c r="E30" s="442"/>
      <c r="F30" s="442" t="n">
        <f aca="false">($J$20*F25)</f>
        <v>0</v>
      </c>
      <c r="G30" s="442"/>
      <c r="H30" s="442" t="n">
        <f aca="false">($J$20*H25)</f>
        <v>0</v>
      </c>
      <c r="I30" s="442"/>
      <c r="J30" s="442" t="n">
        <f aca="false">($J$20*J25)</f>
        <v>0</v>
      </c>
      <c r="K30" s="442"/>
      <c r="L30" s="443" t="n">
        <f aca="false">SUM(B30:J30)</f>
        <v>0</v>
      </c>
    </row>
    <row r="31" customFormat="false" ht="15" hidden="false" customHeight="true" outlineLevel="0" collapsed="false">
      <c r="A31" s="440" t="str">
        <f aca="false">+L8</f>
        <v>Peak Performance</v>
      </c>
      <c r="B31" s="444" t="n">
        <f aca="false">($L$20*B26)</f>
        <v>0</v>
      </c>
      <c r="C31" s="444"/>
      <c r="D31" s="444" t="n">
        <f aca="false">($L$20*D26)</f>
        <v>0</v>
      </c>
      <c r="E31" s="444"/>
      <c r="F31" s="444" t="n">
        <f aca="false">($L$20*F26)</f>
        <v>0</v>
      </c>
      <c r="G31" s="444"/>
      <c r="H31" s="444" t="n">
        <f aca="false">($L$20*H26)</f>
        <v>0</v>
      </c>
      <c r="I31" s="444"/>
      <c r="J31" s="444" t="n">
        <f aca="false">($L$20*J26)</f>
        <v>0</v>
      </c>
      <c r="K31" s="444"/>
      <c r="L31" s="445" t="n">
        <f aca="false">SUM(B31:J31)</f>
        <v>0</v>
      </c>
    </row>
    <row r="32" customFormat="false" ht="15" hidden="false" customHeight="true" outlineLevel="0" collapsed="false">
      <c r="A32" s="446"/>
      <c r="B32" s="400"/>
      <c r="C32" s="400"/>
      <c r="D32" s="400"/>
      <c r="E32" s="400"/>
      <c r="F32" s="400"/>
      <c r="G32" s="400"/>
      <c r="H32" s="447"/>
      <c r="I32" s="437"/>
      <c r="J32" s="447"/>
      <c r="K32" s="437"/>
      <c r="L32" s="448"/>
    </row>
    <row r="33" customFormat="false" ht="11.45" hidden="false" customHeight="true" outlineLevel="0" collapsed="false">
      <c r="A33" s="407"/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7"/>
    </row>
    <row r="34" customFormat="false" ht="11.45" hidden="false" customHeight="true" outlineLevel="0" collapsed="false">
      <c r="A34" s="449"/>
      <c r="B34" s="407"/>
      <c r="C34" s="407"/>
      <c r="D34" s="407"/>
      <c r="E34" s="407"/>
      <c r="F34" s="407"/>
      <c r="G34" s="407"/>
      <c r="H34" s="93"/>
      <c r="I34" s="407"/>
      <c r="J34" s="407"/>
      <c r="K34" s="407"/>
      <c r="L34" s="407"/>
    </row>
    <row r="35" customFormat="false" ht="11.45" hidden="false" customHeight="true" outlineLevel="0" collapsed="false">
      <c r="A35" s="407"/>
      <c r="B35" s="407"/>
      <c r="C35" s="407"/>
      <c r="D35" s="407"/>
      <c r="E35" s="407"/>
      <c r="F35" s="407"/>
      <c r="G35" s="407"/>
      <c r="H35" s="407"/>
      <c r="I35" s="407"/>
      <c r="J35" s="407"/>
      <c r="K35" s="407"/>
      <c r="L35" s="407"/>
    </row>
    <row r="36" customFormat="false" ht="11.4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4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7" activeCellId="0" sqref="H7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386" width="26.56"/>
    <col collapsed="false" customWidth="true" hidden="false" outlineLevel="0" max="2" min="2" style="386" width="16.7"/>
    <col collapsed="false" customWidth="true" hidden="false" outlineLevel="0" max="3" min="3" style="386" width="1.7"/>
    <col collapsed="false" customWidth="true" hidden="false" outlineLevel="0" max="4" min="4" style="386" width="16.7"/>
    <col collapsed="false" customWidth="true" hidden="false" outlineLevel="0" max="5" min="5" style="386" width="1.7"/>
    <col collapsed="false" customWidth="true" hidden="false" outlineLevel="0" max="6" min="6" style="386" width="16.7"/>
    <col collapsed="false" customWidth="true" hidden="false" outlineLevel="0" max="7" min="7" style="386" width="1.7"/>
    <col collapsed="false" customWidth="true" hidden="false" outlineLevel="0" max="8" min="8" style="386" width="16.7"/>
    <col collapsed="false" customWidth="true" hidden="false" outlineLevel="0" max="9" min="9" style="386" width="1.7"/>
    <col collapsed="false" customWidth="true" hidden="false" outlineLevel="0" max="10" min="10" style="386" width="16.7"/>
    <col collapsed="false" customWidth="true" hidden="false" outlineLevel="0" max="11" min="11" style="386" width="1.7"/>
    <col collapsed="false" customWidth="true" hidden="false" outlineLevel="0" max="12" min="12" style="386" width="16.7"/>
    <col collapsed="false" customWidth="true" hidden="false" outlineLevel="0" max="13" min="13" style="386" width="2.42"/>
    <col collapsed="false" customWidth="false" hidden="false" outlineLevel="0" max="257" min="14" style="386" width="9.14"/>
  </cols>
  <sheetData>
    <row r="1" customFormat="false" ht="48" hidden="false" customHeight="true" outlineLevel="0" collapsed="false">
      <c r="A1" s="450"/>
      <c r="B1" s="451" t="s">
        <v>9</v>
      </c>
      <c r="C1" s="386" t="n">
        <v>1</v>
      </c>
      <c r="H1" s="26"/>
      <c r="I1" s="26"/>
      <c r="J1" s="26" t="s">
        <v>9</v>
      </c>
      <c r="K1" s="26"/>
      <c r="L1" s="26"/>
      <c r="M1" s="26"/>
      <c r="N1" s="26"/>
    </row>
    <row r="2" customFormat="false" ht="32.25" hidden="false" customHeight="true" outlineLevel="0" collapsed="false">
      <c r="A2" s="387" t="s">
        <v>322</v>
      </c>
      <c r="B2" s="452" t="s">
        <v>344</v>
      </c>
      <c r="C2" s="388"/>
      <c r="D2" s="388"/>
      <c r="E2" s="388"/>
      <c r="F2" s="388"/>
      <c r="G2" s="388"/>
      <c r="H2" s="388"/>
      <c r="I2" s="388"/>
      <c r="J2" s="388"/>
      <c r="K2" s="388"/>
      <c r="L2" s="389"/>
    </row>
    <row r="3" customFormat="false" ht="15.75" hidden="false" customHeight="false" outlineLevel="0" collapsed="false">
      <c r="A3" s="453" t="s">
        <v>324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5"/>
    </row>
    <row r="4" customFormat="false" ht="15" hidden="false" customHeight="true" outlineLevel="0" collapsed="false">
      <c r="A4" s="406"/>
      <c r="B4" s="402" t="s">
        <v>345</v>
      </c>
      <c r="C4" s="403"/>
      <c r="D4" s="404"/>
      <c r="E4" s="404"/>
      <c r="F4" s="404"/>
      <c r="G4" s="404"/>
      <c r="H4" s="404"/>
      <c r="I4" s="404"/>
      <c r="J4" s="404"/>
      <c r="K4" s="404"/>
      <c r="L4" s="405"/>
    </row>
    <row r="5" customFormat="false" ht="15" hidden="false" customHeight="true" outlineLevel="0" collapsed="false">
      <c r="A5" s="401"/>
      <c r="B5" s="402" t="s">
        <v>346</v>
      </c>
      <c r="C5" s="403"/>
      <c r="D5" s="404"/>
      <c r="E5" s="404"/>
      <c r="F5" s="404"/>
      <c r="G5" s="404"/>
      <c r="H5" s="404"/>
      <c r="I5" s="404"/>
      <c r="J5" s="404"/>
      <c r="K5" s="404"/>
      <c r="L5" s="405"/>
    </row>
    <row r="6" customFormat="false" ht="33" hidden="false" customHeight="true" outlineLevel="0" collapsed="false">
      <c r="A6" s="408" t="s">
        <v>328</v>
      </c>
      <c r="B6" s="409"/>
      <c r="C6" s="409"/>
      <c r="D6" s="409"/>
      <c r="E6" s="409"/>
      <c r="F6" s="409"/>
      <c r="G6" s="409"/>
      <c r="H6" s="410" t="str">
        <f aca="false">R1!H8</f>
        <v>Conservative Estimate </v>
      </c>
      <c r="I6" s="411"/>
      <c r="J6" s="410" t="str">
        <f aca="false">R1!J8</f>
        <v>Average Estimate </v>
      </c>
      <c r="K6" s="411"/>
      <c r="L6" s="412" t="str">
        <f aca="false">R1!L8</f>
        <v>Peak Performance</v>
      </c>
    </row>
    <row r="7" customFormat="false" ht="15" hidden="false" customHeight="true" outlineLevel="0" collapsed="false">
      <c r="A7" s="413" t="s">
        <v>332</v>
      </c>
      <c r="B7" s="407" t="s">
        <v>333</v>
      </c>
      <c r="C7" s="407"/>
      <c r="D7" s="407"/>
      <c r="E7" s="407"/>
      <c r="F7" s="407"/>
      <c r="G7" s="407"/>
      <c r="H7" s="414" t="n">
        <f aca="false">I!F8</f>
        <v>11914000000</v>
      </c>
      <c r="I7" s="414"/>
      <c r="J7" s="414" t="n">
        <f aca="false">I!H8</f>
        <v>11914000000</v>
      </c>
      <c r="K7" s="414"/>
      <c r="L7" s="415" t="n">
        <f aca="false">I!J8</f>
        <v>11914000000</v>
      </c>
    </row>
    <row r="8" customFormat="false" ht="15" hidden="false" customHeight="true" outlineLevel="0" collapsed="false">
      <c r="A8" s="406"/>
      <c r="B8" s="407" t="s">
        <v>19</v>
      </c>
      <c r="C8" s="407"/>
      <c r="D8" s="407"/>
      <c r="E8" s="407"/>
      <c r="F8" s="407"/>
      <c r="G8" s="407"/>
      <c r="H8" s="416" t="n">
        <f aca="false">I!F13</f>
        <v>0</v>
      </c>
      <c r="I8" s="407"/>
      <c r="J8" s="416" t="n">
        <f aca="false">I!H13</f>
        <v>0</v>
      </c>
      <c r="K8" s="416"/>
      <c r="L8" s="417" t="n">
        <f aca="false">I!J13</f>
        <v>0</v>
      </c>
    </row>
    <row r="9" customFormat="false" ht="15" hidden="false" customHeight="true" outlineLevel="0" collapsed="false">
      <c r="A9" s="406"/>
      <c r="B9" s="407" t="s">
        <v>347</v>
      </c>
      <c r="C9" s="407"/>
      <c r="D9" s="407"/>
      <c r="E9" s="407"/>
      <c r="F9" s="407"/>
      <c r="G9" s="407"/>
      <c r="H9" s="418" t="n">
        <f aca="false">IF(ISERROR(1-H8/H7),0,(1-H8/H7))</f>
        <v>1</v>
      </c>
      <c r="I9" s="407"/>
      <c r="J9" s="418" t="n">
        <f aca="false">IF(ISERROR(1-J8/J7),0,(1-J8/J7))</f>
        <v>1</v>
      </c>
      <c r="K9" s="407"/>
      <c r="L9" s="419" t="n">
        <f aca="false">IF(ISERROR(1-L8/L7),0,(1-L8/L7))</f>
        <v>1</v>
      </c>
    </row>
    <row r="10" customFormat="false" ht="15" hidden="false" customHeight="true" outlineLevel="0" collapsed="false">
      <c r="A10" s="406"/>
      <c r="B10" s="407"/>
      <c r="C10" s="407"/>
      <c r="D10" s="407"/>
      <c r="E10" s="407"/>
      <c r="F10" s="407"/>
      <c r="G10" s="407"/>
      <c r="H10" s="407"/>
      <c r="I10" s="407"/>
      <c r="J10" s="407"/>
      <c r="K10" s="407"/>
      <c r="L10" s="420"/>
    </row>
    <row r="11" customFormat="false" ht="15" hidden="false" customHeight="true" outlineLevel="0" collapsed="false">
      <c r="A11" s="413" t="s">
        <v>335</v>
      </c>
      <c r="B11" s="402" t="s">
        <v>348</v>
      </c>
      <c r="C11" s="407"/>
      <c r="D11" s="93"/>
      <c r="E11" s="407"/>
      <c r="F11" s="407"/>
      <c r="G11" s="407"/>
      <c r="H11" s="421" t="n">
        <f aca="false">+Assumptions!E20</f>
        <v>0</v>
      </c>
      <c r="I11" s="407"/>
      <c r="J11" s="421" t="n">
        <f aca="false">+Assumptions!G20</f>
        <v>0</v>
      </c>
      <c r="K11" s="422"/>
      <c r="L11" s="423" t="n">
        <f aca="false">+Assumptions!I20</f>
        <v>0</v>
      </c>
    </row>
    <row r="12" customFormat="false" ht="15" hidden="false" customHeight="true" outlineLevel="0" collapsed="false">
      <c r="A12" s="413"/>
      <c r="B12" s="407"/>
      <c r="C12" s="407"/>
      <c r="D12" s="407"/>
      <c r="E12" s="407"/>
      <c r="F12" s="407"/>
      <c r="G12" s="407"/>
      <c r="H12" s="407"/>
      <c r="I12" s="407"/>
      <c r="J12" s="407"/>
      <c r="K12" s="407"/>
      <c r="L12" s="420"/>
    </row>
    <row r="13" customFormat="false" ht="15" hidden="false" customHeight="true" outlineLevel="0" collapsed="false">
      <c r="A13" s="413"/>
      <c r="B13" s="407"/>
      <c r="C13" s="407"/>
      <c r="D13" s="407"/>
      <c r="E13" s="407"/>
      <c r="F13" s="407"/>
      <c r="G13" s="407"/>
      <c r="H13" s="407"/>
      <c r="I13" s="407"/>
      <c r="J13" s="407"/>
      <c r="K13" s="407"/>
      <c r="L13" s="420"/>
    </row>
    <row r="14" customFormat="false" ht="15" hidden="false" customHeight="true" outlineLevel="0" collapsed="false">
      <c r="A14" s="413"/>
      <c r="B14" s="407"/>
      <c r="C14" s="407"/>
      <c r="D14" s="407"/>
      <c r="E14" s="407"/>
      <c r="F14" s="407"/>
      <c r="G14" s="407"/>
      <c r="H14" s="407"/>
      <c r="I14" s="407"/>
      <c r="J14" s="407"/>
      <c r="K14" s="407"/>
      <c r="L14" s="420"/>
    </row>
    <row r="15" customFormat="false" ht="15" hidden="false" customHeight="true" outlineLevel="0" collapsed="false">
      <c r="A15" s="413" t="s">
        <v>337</v>
      </c>
      <c r="B15" s="407" t="s">
        <v>338</v>
      </c>
      <c r="C15" s="407"/>
      <c r="D15" s="407"/>
      <c r="E15" s="407"/>
      <c r="F15" s="407"/>
      <c r="G15" s="407"/>
      <c r="H15" s="424" t="n">
        <f aca="false">H7*H11</f>
        <v>0</v>
      </c>
      <c r="I15" s="425"/>
      <c r="J15" s="424" t="n">
        <f aca="false">J7*J11</f>
        <v>0</v>
      </c>
      <c r="K15" s="424"/>
      <c r="L15" s="426" t="n">
        <f aca="false">L7*L11</f>
        <v>0</v>
      </c>
    </row>
    <row r="16" customFormat="false" ht="15" hidden="false" customHeight="true" outlineLevel="0" collapsed="false">
      <c r="A16" s="406"/>
      <c r="B16" s="407" t="s">
        <v>339</v>
      </c>
      <c r="C16" s="407"/>
      <c r="D16" s="407"/>
      <c r="E16" s="407"/>
      <c r="F16" s="407"/>
      <c r="G16" s="407"/>
      <c r="H16" s="424" t="n">
        <f aca="false">H15*(1-H9)</f>
        <v>0</v>
      </c>
      <c r="I16" s="425"/>
      <c r="J16" s="424" t="n">
        <f aca="false">J15*(1-J9)</f>
        <v>0</v>
      </c>
      <c r="K16" s="424"/>
      <c r="L16" s="426" t="n">
        <f aca="false">L15*(1-L9)</f>
        <v>0</v>
      </c>
    </row>
    <row r="17" customFormat="false" ht="15" hidden="false" customHeight="true" outlineLevel="0" collapsed="false">
      <c r="A17" s="406"/>
      <c r="B17" s="404" t="s">
        <v>340</v>
      </c>
      <c r="C17" s="407"/>
      <c r="D17" s="407"/>
      <c r="E17" s="407"/>
      <c r="F17" s="407"/>
      <c r="G17" s="407"/>
      <c r="H17" s="427"/>
      <c r="I17" s="428"/>
      <c r="J17" s="427"/>
      <c r="K17" s="427"/>
      <c r="L17" s="429"/>
    </row>
    <row r="18" customFormat="false" ht="15" hidden="false" customHeight="true" outlineLevel="0" collapsed="false">
      <c r="A18" s="406"/>
      <c r="B18" s="407" t="s">
        <v>341</v>
      </c>
      <c r="C18" s="407"/>
      <c r="D18" s="407"/>
      <c r="E18" s="407"/>
      <c r="F18" s="407"/>
      <c r="G18" s="407"/>
      <c r="H18" s="414" t="n">
        <f aca="false">H15-H16</f>
        <v>0</v>
      </c>
      <c r="I18" s="414"/>
      <c r="J18" s="414" t="n">
        <f aca="false">J15-J16</f>
        <v>0</v>
      </c>
      <c r="K18" s="414"/>
      <c r="L18" s="415" t="n">
        <f aca="false">L15-L16</f>
        <v>0</v>
      </c>
    </row>
    <row r="19" customFormat="false" ht="15" hidden="false" customHeight="true" outlineLevel="0" collapsed="false">
      <c r="A19" s="430"/>
      <c r="B19" s="431"/>
      <c r="C19" s="431"/>
      <c r="D19" s="431"/>
      <c r="E19" s="431"/>
      <c r="F19" s="431"/>
      <c r="G19" s="431"/>
      <c r="H19" s="431"/>
      <c r="I19" s="432"/>
      <c r="J19" s="431"/>
      <c r="K19" s="431"/>
      <c r="L19" s="433"/>
    </row>
    <row r="20" customFormat="false" ht="15.75" hidden="false" customHeight="false" outlineLevel="0" collapsed="false">
      <c r="A20" s="434" t="s">
        <v>342</v>
      </c>
      <c r="B20" s="435" t="s">
        <v>3</v>
      </c>
      <c r="C20" s="409"/>
      <c r="D20" s="435" t="s">
        <v>4</v>
      </c>
      <c r="E20" s="409"/>
      <c r="F20" s="435" t="s">
        <v>5</v>
      </c>
      <c r="G20" s="409"/>
      <c r="H20" s="435" t="s">
        <v>6</v>
      </c>
      <c r="I20" s="435"/>
      <c r="J20" s="435" t="s">
        <v>7</v>
      </c>
      <c r="K20" s="409"/>
      <c r="L20" s="436"/>
    </row>
    <row r="21" customFormat="false" ht="15" hidden="false" customHeight="true" outlineLevel="0" collapsed="false">
      <c r="A21" s="406"/>
      <c r="B21" s="407"/>
      <c r="C21" s="407"/>
      <c r="D21" s="407"/>
      <c r="E21" s="407"/>
      <c r="F21" s="407"/>
      <c r="G21" s="407"/>
      <c r="H21" s="407"/>
      <c r="I21" s="407"/>
      <c r="J21" s="407"/>
      <c r="K21" s="437"/>
      <c r="L21" s="420"/>
    </row>
    <row r="22" customFormat="false" ht="15" hidden="false" customHeight="true" outlineLevel="0" collapsed="false">
      <c r="A22" s="438" t="str">
        <f aca="false">H6</f>
        <v>Conservative Estimate </v>
      </c>
      <c r="B22" s="407" t="n">
        <f aca="false">+Assumptions!E6</f>
        <v>0.5</v>
      </c>
      <c r="C22" s="407"/>
      <c r="D22" s="407" t="n">
        <f aca="false">+Assumptions!G6</f>
        <v>1</v>
      </c>
      <c r="E22" s="407"/>
      <c r="F22" s="407" t="n">
        <f aca="false">+Assumptions!I6</f>
        <v>1</v>
      </c>
      <c r="G22" s="407"/>
      <c r="H22" s="407" t="n">
        <f aca="false">+Assumptions!K6</f>
        <v>1</v>
      </c>
      <c r="I22" s="407"/>
      <c r="J22" s="407" t="n">
        <f aca="false">+Assumptions!M6</f>
        <v>1</v>
      </c>
      <c r="K22" s="407"/>
      <c r="L22" s="420"/>
    </row>
    <row r="23" customFormat="false" ht="15" hidden="false" customHeight="true" outlineLevel="0" collapsed="false">
      <c r="A23" s="439" t="str">
        <f aca="false">J6</f>
        <v>Average Estimate </v>
      </c>
      <c r="B23" s="407" t="n">
        <f aca="false">+Assumptions!E7</f>
        <v>0.6</v>
      </c>
      <c r="C23" s="407"/>
      <c r="D23" s="407" t="n">
        <f aca="false">+Assumptions!G7</f>
        <v>1</v>
      </c>
      <c r="E23" s="407"/>
      <c r="F23" s="407" t="n">
        <f aca="false">+Assumptions!I7</f>
        <v>1</v>
      </c>
      <c r="G23" s="407"/>
      <c r="H23" s="407" t="n">
        <f aca="false">+Assumptions!K7</f>
        <v>1</v>
      </c>
      <c r="I23" s="407"/>
      <c r="J23" s="407" t="n">
        <f aca="false">+Assumptions!M7</f>
        <v>1</v>
      </c>
      <c r="K23" s="407"/>
      <c r="L23" s="420"/>
    </row>
    <row r="24" customFormat="false" ht="15" hidden="false" customHeight="true" outlineLevel="0" collapsed="false">
      <c r="A24" s="440" t="str">
        <f aca="false">L6</f>
        <v>Peak Performance</v>
      </c>
      <c r="B24" s="407" t="n">
        <f aca="false">+Assumptions!E8</f>
        <v>0.7</v>
      </c>
      <c r="C24" s="407"/>
      <c r="D24" s="407" t="n">
        <f aca="false">+Assumptions!G8</f>
        <v>1</v>
      </c>
      <c r="E24" s="407"/>
      <c r="F24" s="407" t="n">
        <f aca="false">+Assumptions!I8</f>
        <v>1</v>
      </c>
      <c r="G24" s="407"/>
      <c r="H24" s="407" t="n">
        <f aca="false">+Assumptions!K8</f>
        <v>1</v>
      </c>
      <c r="I24" s="407"/>
      <c r="J24" s="407" t="n">
        <f aca="false">+Assumptions!M8</f>
        <v>1</v>
      </c>
      <c r="K24" s="407"/>
      <c r="L24" s="420"/>
    </row>
    <row r="25" customFormat="false" ht="15.75" hidden="false" customHeight="false" outlineLevel="0" collapsed="false">
      <c r="A25" s="434" t="s">
        <v>343</v>
      </c>
      <c r="B25" s="435" t="s">
        <v>3</v>
      </c>
      <c r="C25" s="435"/>
      <c r="D25" s="435" t="s">
        <v>4</v>
      </c>
      <c r="E25" s="435"/>
      <c r="F25" s="435" t="s">
        <v>5</v>
      </c>
      <c r="G25" s="435"/>
      <c r="H25" s="435" t="s">
        <v>6</v>
      </c>
      <c r="I25" s="435"/>
      <c r="J25" s="435" t="s">
        <v>7</v>
      </c>
      <c r="K25" s="435"/>
      <c r="L25" s="441" t="s">
        <v>8</v>
      </c>
    </row>
    <row r="26" customFormat="false" ht="15" hidden="false" customHeight="true" outlineLevel="0" collapsed="false">
      <c r="A26" s="406"/>
      <c r="B26" s="407"/>
      <c r="C26" s="407"/>
      <c r="D26" s="407"/>
      <c r="E26" s="407"/>
      <c r="F26" s="407"/>
      <c r="G26" s="407"/>
      <c r="H26" s="407"/>
      <c r="I26" s="407"/>
      <c r="J26" s="407"/>
      <c r="K26" s="407"/>
      <c r="L26" s="420"/>
    </row>
    <row r="27" customFormat="false" ht="15" hidden="false" customHeight="true" outlineLevel="0" collapsed="false">
      <c r="A27" s="438" t="str">
        <f aca="false">+H6</f>
        <v>Conservative Estimate </v>
      </c>
      <c r="B27" s="442" t="n">
        <f aca="false">($H$18*B22)</f>
        <v>0</v>
      </c>
      <c r="C27" s="442"/>
      <c r="D27" s="442" t="n">
        <f aca="false">($H$18*D22)</f>
        <v>0</v>
      </c>
      <c r="E27" s="442"/>
      <c r="F27" s="442" t="n">
        <f aca="false">($H$18*F22)</f>
        <v>0</v>
      </c>
      <c r="G27" s="442"/>
      <c r="H27" s="442" t="n">
        <f aca="false">($H$18*H22)</f>
        <v>0</v>
      </c>
      <c r="I27" s="442"/>
      <c r="J27" s="442" t="n">
        <f aca="false">($H$18*J22)</f>
        <v>0</v>
      </c>
      <c r="K27" s="442"/>
      <c r="L27" s="443" t="n">
        <f aca="false">SUM(B27:J27)</f>
        <v>0</v>
      </c>
    </row>
    <row r="28" customFormat="false" ht="15" hidden="false" customHeight="true" outlineLevel="0" collapsed="false">
      <c r="A28" s="439" t="str">
        <f aca="false">+J6</f>
        <v>Average Estimate </v>
      </c>
      <c r="B28" s="442" t="n">
        <f aca="false">($J$18*B23)</f>
        <v>0</v>
      </c>
      <c r="C28" s="442"/>
      <c r="D28" s="442" t="n">
        <f aca="false">($J$18*D23)</f>
        <v>0</v>
      </c>
      <c r="E28" s="442"/>
      <c r="F28" s="442" t="n">
        <f aca="false">($J$18*F23)</f>
        <v>0</v>
      </c>
      <c r="G28" s="442"/>
      <c r="H28" s="442" t="n">
        <f aca="false">($J$18*H23)</f>
        <v>0</v>
      </c>
      <c r="I28" s="442"/>
      <c r="J28" s="442" t="n">
        <f aca="false">($J$18*J23)</f>
        <v>0</v>
      </c>
      <c r="K28" s="442"/>
      <c r="L28" s="443" t="n">
        <f aca="false">SUM(B28:J28)</f>
        <v>0</v>
      </c>
    </row>
    <row r="29" customFormat="false" ht="15" hidden="false" customHeight="true" outlineLevel="0" collapsed="false">
      <c r="A29" s="440" t="str">
        <f aca="false">+L6</f>
        <v>Peak Performance</v>
      </c>
      <c r="B29" s="444" t="n">
        <f aca="false">($L$18*B24)</f>
        <v>0</v>
      </c>
      <c r="C29" s="444"/>
      <c r="D29" s="444" t="n">
        <f aca="false">($L$18*D24)</f>
        <v>0</v>
      </c>
      <c r="E29" s="444"/>
      <c r="F29" s="444" t="n">
        <f aca="false">($L$18*F24)</f>
        <v>0</v>
      </c>
      <c r="G29" s="444"/>
      <c r="H29" s="444" t="n">
        <f aca="false">($L$18*H24)</f>
        <v>0</v>
      </c>
      <c r="I29" s="444"/>
      <c r="J29" s="444" t="n">
        <f aca="false">($L$18*J24)</f>
        <v>0</v>
      </c>
      <c r="K29" s="444"/>
      <c r="L29" s="445" t="n">
        <f aca="false">SUM(B29:J29)</f>
        <v>0</v>
      </c>
    </row>
    <row r="30" customFormat="false" ht="15" hidden="false" customHeight="true" outlineLevel="0" collapsed="false">
      <c r="A30" s="446"/>
      <c r="B30" s="400"/>
      <c r="C30" s="400"/>
      <c r="D30" s="400"/>
      <c r="E30" s="400"/>
      <c r="F30" s="400"/>
      <c r="G30" s="400"/>
      <c r="H30" s="447"/>
      <c r="I30" s="437"/>
      <c r="J30" s="447"/>
      <c r="K30" s="437"/>
      <c r="L30" s="448"/>
    </row>
    <row r="31" customFormat="false" ht="11.45" hidden="false" customHeight="true" outlineLevel="0" collapsed="false">
      <c r="A31" s="407"/>
      <c r="B31" s="407"/>
      <c r="C31" s="407"/>
      <c r="D31" s="407"/>
      <c r="E31" s="407"/>
      <c r="F31" s="407"/>
      <c r="G31" s="407"/>
      <c r="H31" s="93"/>
      <c r="I31" s="407"/>
      <c r="J31" s="407"/>
      <c r="K31" s="407"/>
      <c r="L31" s="407"/>
    </row>
    <row r="32" customFormat="false" ht="11.45" hidden="false" customHeight="true" outlineLevel="0" collapsed="false">
      <c r="A32" s="449"/>
      <c r="B32" s="407"/>
      <c r="C32" s="407"/>
      <c r="D32" s="407"/>
      <c r="E32" s="407"/>
      <c r="F32" s="407"/>
      <c r="G32" s="407"/>
      <c r="H32" s="407"/>
      <c r="I32" s="407"/>
      <c r="J32" s="407"/>
      <c r="K32" s="407"/>
      <c r="L32" s="407"/>
    </row>
    <row r="33" customFormat="false" ht="11.45" hidden="false" customHeight="true" outlineLevel="0" collapsed="false">
      <c r="A33" s="407"/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7"/>
    </row>
    <row r="34" customFormat="false" ht="11.45" hidden="false" customHeight="true" outlineLevel="0" collapsed="false"/>
  </sheetData>
  <printOptions headings="false" gridLines="false" gridLinesSet="true" horizontalCentered="false" verticalCentered="false"/>
  <pageMargins left="1" right="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3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I12" activeCellId="0" sqref="I12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456" width="25.7"/>
    <col collapsed="false" customWidth="true" hidden="false" outlineLevel="0" max="2" min="2" style="456" width="16.7"/>
    <col collapsed="false" customWidth="true" hidden="false" outlineLevel="0" max="3" min="3" style="456" width="1.7"/>
    <col collapsed="false" customWidth="true" hidden="false" outlineLevel="0" max="4" min="4" style="456" width="16.7"/>
    <col collapsed="false" customWidth="true" hidden="false" outlineLevel="0" max="5" min="5" style="456" width="1.7"/>
    <col collapsed="false" customWidth="true" hidden="false" outlineLevel="0" max="6" min="6" style="456" width="16.7"/>
    <col collapsed="false" customWidth="true" hidden="false" outlineLevel="0" max="7" min="7" style="456" width="1.7"/>
    <col collapsed="false" customWidth="true" hidden="false" outlineLevel="0" max="8" min="8" style="456" width="16.7"/>
    <col collapsed="false" customWidth="true" hidden="false" outlineLevel="0" max="9" min="9" style="456" width="1.7"/>
    <col collapsed="false" customWidth="true" hidden="false" outlineLevel="0" max="10" min="10" style="456" width="16.7"/>
    <col collapsed="false" customWidth="true" hidden="false" outlineLevel="0" max="11" min="11" style="456" width="1.7"/>
    <col collapsed="false" customWidth="true" hidden="false" outlineLevel="0" max="12" min="12" style="456" width="16.7"/>
    <col collapsed="false" customWidth="true" hidden="false" outlineLevel="0" max="13" min="13" style="456" width="1.41"/>
    <col collapsed="false" customWidth="false" hidden="false" outlineLevel="0" max="257" min="14" style="456" width="9.14"/>
  </cols>
  <sheetData>
    <row r="1" customFormat="false" ht="48" hidden="false" customHeight="true" outlineLevel="0" collapsed="false">
      <c r="A1" s="457"/>
      <c r="B1" s="458" t="s">
        <v>9</v>
      </c>
      <c r="C1" s="456" t="s">
        <v>9</v>
      </c>
      <c r="H1" s="26"/>
      <c r="I1" s="26"/>
      <c r="J1" s="26"/>
      <c r="K1" s="26"/>
      <c r="L1" s="26"/>
      <c r="M1" s="26"/>
      <c r="N1" s="26"/>
    </row>
    <row r="2" customFormat="false" ht="32.25" hidden="false" customHeight="true" outlineLevel="0" collapsed="false">
      <c r="A2" s="459" t="s">
        <v>19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1"/>
    </row>
    <row r="3" customFormat="false" ht="15" hidden="false" customHeight="true" outlineLevel="0" collapsed="false">
      <c r="A3" s="462" t="s">
        <v>349</v>
      </c>
      <c r="B3" s="463"/>
      <c r="C3" s="464"/>
      <c r="D3" s="465"/>
      <c r="E3" s="465"/>
      <c r="F3" s="465"/>
      <c r="G3" s="465"/>
      <c r="H3" s="465"/>
      <c r="I3" s="465"/>
      <c r="J3" s="465"/>
      <c r="K3" s="465"/>
      <c r="L3" s="466"/>
    </row>
    <row r="4" customFormat="false" ht="15" hidden="false" customHeight="true" outlineLevel="0" collapsed="false">
      <c r="A4" s="462" t="s">
        <v>350</v>
      </c>
      <c r="B4" s="463"/>
      <c r="C4" s="464"/>
      <c r="D4" s="465"/>
      <c r="E4" s="465"/>
      <c r="F4" s="465"/>
      <c r="G4" s="465"/>
      <c r="H4" s="465"/>
      <c r="I4" s="465"/>
      <c r="J4" s="465"/>
      <c r="K4" s="465"/>
      <c r="L4" s="466"/>
    </row>
    <row r="5" customFormat="false" ht="33" hidden="false" customHeight="true" outlineLevel="0" collapsed="false">
      <c r="A5" s="467" t="s">
        <v>328</v>
      </c>
      <c r="B5" s="468"/>
      <c r="C5" s="468"/>
      <c r="D5" s="468"/>
      <c r="E5" s="468"/>
      <c r="F5" s="468"/>
      <c r="G5" s="468"/>
      <c r="H5" s="469" t="str">
        <f aca="false">R1!H8</f>
        <v>Conservative Estimate </v>
      </c>
      <c r="I5" s="470"/>
      <c r="J5" s="469" t="str">
        <f aca="false">R1!J8</f>
        <v>Average Estimate </v>
      </c>
      <c r="K5" s="470"/>
      <c r="L5" s="471" t="str">
        <f aca="false">R1!L8</f>
        <v>Peak Performance</v>
      </c>
    </row>
    <row r="6" customFormat="false" ht="15" hidden="false" customHeight="true" outlineLevel="0" collapsed="false">
      <c r="A6" s="472" t="s">
        <v>332</v>
      </c>
      <c r="B6" s="473"/>
      <c r="C6" s="463"/>
      <c r="D6" s="463"/>
      <c r="E6" s="463"/>
      <c r="F6" s="463"/>
      <c r="G6" s="463"/>
      <c r="H6" s="474" t="n">
        <f aca="false">+Assumptions!E18</f>
        <v>0</v>
      </c>
      <c r="I6" s="475"/>
      <c r="J6" s="474" t="n">
        <f aca="false">+Assumptions!G18</f>
        <v>0</v>
      </c>
      <c r="K6" s="475"/>
      <c r="L6" s="476" t="n">
        <f aca="false">+Assumptions!I18</f>
        <v>0</v>
      </c>
    </row>
    <row r="7" customFormat="false" ht="15" hidden="false" customHeight="true" outlineLevel="0" collapsed="false">
      <c r="A7" s="472"/>
      <c r="B7" s="463"/>
      <c r="C7" s="463"/>
      <c r="D7" s="463"/>
      <c r="E7" s="463"/>
      <c r="F7" s="463"/>
      <c r="G7" s="463"/>
      <c r="H7" s="475"/>
      <c r="I7" s="474"/>
      <c r="J7" s="475"/>
      <c r="K7" s="475"/>
      <c r="L7" s="477"/>
    </row>
    <row r="8" customFormat="false" ht="15" hidden="false" customHeight="true" outlineLevel="0" collapsed="false">
      <c r="A8" s="472"/>
      <c r="B8" s="463"/>
      <c r="C8" s="463"/>
      <c r="D8" s="463"/>
      <c r="E8" s="463"/>
      <c r="F8" s="463"/>
      <c r="G8" s="463"/>
      <c r="H8" s="474"/>
      <c r="I8" s="463"/>
      <c r="J8" s="474"/>
      <c r="K8" s="463"/>
      <c r="L8" s="476"/>
    </row>
    <row r="9" customFormat="false" ht="15" hidden="false" customHeight="true" outlineLevel="0" collapsed="false">
      <c r="A9" s="472"/>
      <c r="B9" s="463"/>
      <c r="C9" s="463"/>
      <c r="D9" s="463"/>
      <c r="E9" s="463"/>
      <c r="F9" s="463"/>
      <c r="G9" s="463"/>
      <c r="H9" s="474"/>
      <c r="I9" s="463"/>
      <c r="J9" s="474"/>
      <c r="K9" s="463"/>
      <c r="L9" s="476"/>
    </row>
    <row r="10" customFormat="false" ht="15" hidden="false" customHeight="true" outlineLevel="0" collapsed="false">
      <c r="A10" s="472"/>
      <c r="B10" s="463"/>
      <c r="C10" s="463"/>
      <c r="D10" s="463"/>
      <c r="E10" s="463"/>
      <c r="F10" s="463"/>
      <c r="G10" s="463"/>
      <c r="H10" s="474"/>
      <c r="I10" s="463"/>
      <c r="J10" s="474"/>
      <c r="K10" s="463"/>
      <c r="L10" s="476"/>
    </row>
    <row r="11" customFormat="false" ht="15" hidden="false" customHeight="true" outlineLevel="0" collapsed="false">
      <c r="A11" s="472"/>
      <c r="B11" s="463"/>
      <c r="C11" s="463"/>
      <c r="D11" s="463"/>
      <c r="E11" s="463"/>
      <c r="F11" s="463"/>
      <c r="G11" s="463"/>
      <c r="H11" s="463"/>
      <c r="I11" s="463"/>
      <c r="J11" s="463"/>
      <c r="K11" s="463"/>
      <c r="L11" s="478"/>
    </row>
    <row r="12" customFormat="false" ht="15" hidden="false" customHeight="true" outlineLevel="0" collapsed="false">
      <c r="A12" s="472" t="s">
        <v>335</v>
      </c>
      <c r="B12" s="463" t="s">
        <v>351</v>
      </c>
      <c r="C12" s="463"/>
      <c r="D12" s="93"/>
      <c r="E12" s="463"/>
      <c r="F12" s="463"/>
      <c r="G12" s="463"/>
      <c r="H12" s="479" t="n">
        <f aca="false">+Assumptions!E27</f>
        <v>0</v>
      </c>
      <c r="I12" s="463"/>
      <c r="J12" s="479" t="n">
        <f aca="false">+Assumptions!G27</f>
        <v>0</v>
      </c>
      <c r="K12" s="480"/>
      <c r="L12" s="481" t="n">
        <f aca="false">+Assumptions!I27</f>
        <v>0</v>
      </c>
    </row>
    <row r="13" customFormat="false" ht="15" hidden="false" customHeight="true" outlineLevel="0" collapsed="false">
      <c r="A13" s="472"/>
      <c r="B13" s="463"/>
      <c r="C13" s="463"/>
      <c r="D13" s="463"/>
      <c r="E13" s="463"/>
      <c r="F13" s="463"/>
      <c r="G13" s="463"/>
      <c r="H13" s="463"/>
      <c r="I13" s="463"/>
      <c r="J13" s="463"/>
      <c r="K13" s="463"/>
      <c r="L13" s="478"/>
    </row>
    <row r="14" customFormat="false" ht="15" hidden="false" customHeight="true" outlineLevel="0" collapsed="false">
      <c r="A14" s="472" t="s">
        <v>337</v>
      </c>
      <c r="B14" s="463" t="s">
        <v>13</v>
      </c>
      <c r="C14" s="463"/>
      <c r="D14" s="463"/>
      <c r="E14" s="463"/>
      <c r="F14" s="463"/>
      <c r="G14" s="463"/>
      <c r="H14" s="482" t="n">
        <f aca="false">SUM(H6:H10)</f>
        <v>0</v>
      </c>
      <c r="I14" s="483"/>
      <c r="J14" s="482" t="n">
        <f aca="false">SUM(J6:J10)</f>
        <v>0</v>
      </c>
      <c r="K14" s="482"/>
      <c r="L14" s="484" t="n">
        <f aca="false">SUM(L6:L10)</f>
        <v>0</v>
      </c>
    </row>
    <row r="15" customFormat="false" ht="15" hidden="false" customHeight="true" outlineLevel="0" collapsed="false">
      <c r="A15" s="472"/>
      <c r="B15" s="463" t="s">
        <v>352</v>
      </c>
      <c r="C15" s="463"/>
      <c r="D15" s="463"/>
      <c r="E15" s="463"/>
      <c r="F15" s="463"/>
      <c r="G15" s="463"/>
      <c r="H15" s="485" t="n">
        <f aca="false">H12</f>
        <v>0</v>
      </c>
      <c r="I15" s="486"/>
      <c r="J15" s="485" t="n">
        <f aca="false">J12</f>
        <v>0</v>
      </c>
      <c r="K15" s="485"/>
      <c r="L15" s="487" t="n">
        <f aca="false">L12</f>
        <v>0</v>
      </c>
    </row>
    <row r="16" customFormat="false" ht="15" hidden="false" customHeight="true" outlineLevel="0" collapsed="false">
      <c r="A16" s="472"/>
      <c r="B16" s="465"/>
      <c r="C16" s="463"/>
      <c r="D16" s="463"/>
      <c r="E16" s="463"/>
      <c r="F16" s="463"/>
      <c r="G16" s="463"/>
      <c r="H16" s="488"/>
      <c r="I16" s="489"/>
      <c r="J16" s="490"/>
      <c r="K16" s="488"/>
      <c r="L16" s="491"/>
    </row>
    <row r="17" customFormat="false" ht="15" hidden="false" customHeight="true" outlineLevel="0" collapsed="false">
      <c r="A17" s="472"/>
      <c r="B17" s="463" t="s">
        <v>353</v>
      </c>
      <c r="C17" s="463"/>
      <c r="D17" s="463"/>
      <c r="E17" s="463"/>
      <c r="F17" s="463"/>
      <c r="G17" s="463"/>
      <c r="H17" s="475" t="n">
        <f aca="false">IF(ISERROR(H14*H15),0,(H14*H15))</f>
        <v>0</v>
      </c>
      <c r="I17" s="475"/>
      <c r="J17" s="475" t="n">
        <f aca="false">IF(ISERROR(J14*J15),0,(J14*J15))</f>
        <v>0</v>
      </c>
      <c r="K17" s="475"/>
      <c r="L17" s="477" t="n">
        <f aca="false">IF(ISERROR(L14*L15),0,(L14*L15))</f>
        <v>0</v>
      </c>
    </row>
    <row r="18" customFormat="false" ht="15" hidden="false" customHeight="true" outlineLevel="0" collapsed="false">
      <c r="A18" s="492"/>
      <c r="B18" s="493"/>
      <c r="C18" s="493"/>
      <c r="D18" s="493"/>
      <c r="E18" s="493"/>
      <c r="F18" s="493"/>
      <c r="G18" s="493"/>
      <c r="H18" s="493"/>
      <c r="I18" s="494"/>
      <c r="J18" s="493"/>
      <c r="K18" s="493"/>
      <c r="L18" s="495"/>
    </row>
    <row r="19" customFormat="false" ht="15.75" hidden="false" customHeight="false" outlineLevel="0" collapsed="false">
      <c r="A19" s="496" t="s">
        <v>342</v>
      </c>
      <c r="B19" s="497" t="s">
        <v>3</v>
      </c>
      <c r="C19" s="468"/>
      <c r="D19" s="497" t="s">
        <v>4</v>
      </c>
      <c r="E19" s="468"/>
      <c r="F19" s="497" t="s">
        <v>5</v>
      </c>
      <c r="G19" s="468"/>
      <c r="H19" s="497" t="s">
        <v>6</v>
      </c>
      <c r="I19" s="497"/>
      <c r="J19" s="497" t="s">
        <v>7</v>
      </c>
      <c r="K19" s="468"/>
      <c r="L19" s="498"/>
    </row>
    <row r="20" customFormat="false" ht="15" hidden="false" customHeight="true" outlineLevel="0" collapsed="false">
      <c r="A20" s="499"/>
      <c r="B20" s="463"/>
      <c r="C20" s="463"/>
      <c r="D20" s="463"/>
      <c r="E20" s="463"/>
      <c r="F20" s="463"/>
      <c r="G20" s="463"/>
      <c r="H20" s="463"/>
      <c r="I20" s="463"/>
      <c r="J20" s="463"/>
      <c r="K20" s="500"/>
      <c r="L20" s="478"/>
    </row>
    <row r="21" customFormat="false" ht="15" hidden="false" customHeight="true" outlineLevel="0" collapsed="false">
      <c r="A21" s="501" t="str">
        <f aca="false">H5</f>
        <v>Conservative Estimate </v>
      </c>
      <c r="B21" s="463" t="n">
        <f aca="false">+Assumptions!E6</f>
        <v>0.5</v>
      </c>
      <c r="C21" s="463"/>
      <c r="D21" s="463" t="n">
        <f aca="false">+Assumptions!G6</f>
        <v>1</v>
      </c>
      <c r="E21" s="463"/>
      <c r="F21" s="463" t="n">
        <f aca="false">+Assumptions!I6</f>
        <v>1</v>
      </c>
      <c r="G21" s="463"/>
      <c r="H21" s="463" t="n">
        <f aca="false">+Assumptions!K6</f>
        <v>1</v>
      </c>
      <c r="I21" s="463"/>
      <c r="J21" s="463" t="n">
        <f aca="false">+Assumptions!M6</f>
        <v>1</v>
      </c>
      <c r="K21" s="463"/>
      <c r="L21" s="478"/>
    </row>
    <row r="22" customFormat="false" ht="15" hidden="false" customHeight="true" outlineLevel="0" collapsed="false">
      <c r="A22" s="502" t="str">
        <f aca="false">J5</f>
        <v>Average Estimate </v>
      </c>
      <c r="B22" s="463" t="n">
        <f aca="false">+Assumptions!E7</f>
        <v>0.6</v>
      </c>
      <c r="C22" s="463"/>
      <c r="D22" s="463" t="n">
        <f aca="false">+Assumptions!G7</f>
        <v>1</v>
      </c>
      <c r="E22" s="463"/>
      <c r="F22" s="463" t="n">
        <f aca="false">+Assumptions!I7</f>
        <v>1</v>
      </c>
      <c r="G22" s="463"/>
      <c r="H22" s="463" t="n">
        <f aca="false">+Assumptions!K7</f>
        <v>1</v>
      </c>
      <c r="I22" s="463"/>
      <c r="J22" s="463" t="n">
        <f aca="false">+Assumptions!M7</f>
        <v>1</v>
      </c>
      <c r="K22" s="463"/>
      <c r="L22" s="478"/>
    </row>
    <row r="23" customFormat="false" ht="15" hidden="false" customHeight="true" outlineLevel="0" collapsed="false">
      <c r="A23" s="503" t="str">
        <f aca="false">L5</f>
        <v>Peak Performance</v>
      </c>
      <c r="B23" s="463" t="n">
        <f aca="false">+Assumptions!E8</f>
        <v>0.7</v>
      </c>
      <c r="C23" s="463"/>
      <c r="D23" s="463" t="n">
        <f aca="false">+Assumptions!G8</f>
        <v>1</v>
      </c>
      <c r="E23" s="463"/>
      <c r="F23" s="463" t="n">
        <f aca="false">+Assumptions!I8</f>
        <v>1</v>
      </c>
      <c r="G23" s="463"/>
      <c r="H23" s="463" t="n">
        <f aca="false">+Assumptions!K8</f>
        <v>1</v>
      </c>
      <c r="I23" s="463"/>
      <c r="J23" s="463" t="n">
        <f aca="false">+Assumptions!M8</f>
        <v>1</v>
      </c>
      <c r="K23" s="463"/>
      <c r="L23" s="478"/>
    </row>
    <row r="24" customFormat="false" ht="15.75" hidden="false" customHeight="false" outlineLevel="0" collapsed="false">
      <c r="A24" s="496" t="s">
        <v>343</v>
      </c>
      <c r="B24" s="497" t="s">
        <v>3</v>
      </c>
      <c r="C24" s="497"/>
      <c r="D24" s="497" t="s">
        <v>4</v>
      </c>
      <c r="E24" s="497"/>
      <c r="F24" s="497" t="s">
        <v>5</v>
      </c>
      <c r="G24" s="497"/>
      <c r="H24" s="497" t="s">
        <v>6</v>
      </c>
      <c r="I24" s="497"/>
      <c r="J24" s="497" t="s">
        <v>7</v>
      </c>
      <c r="K24" s="497"/>
      <c r="L24" s="504" t="s">
        <v>8</v>
      </c>
    </row>
    <row r="25" customFormat="false" ht="15" hidden="false" customHeight="true" outlineLevel="0" collapsed="false">
      <c r="A25" s="499"/>
      <c r="B25" s="463"/>
      <c r="C25" s="463"/>
      <c r="D25" s="463"/>
      <c r="E25" s="463"/>
      <c r="F25" s="463"/>
      <c r="G25" s="463"/>
      <c r="H25" s="463"/>
      <c r="I25" s="463"/>
      <c r="J25" s="463"/>
      <c r="K25" s="463"/>
      <c r="L25" s="478"/>
    </row>
    <row r="26" customFormat="false" ht="15" hidden="false" customHeight="true" outlineLevel="0" collapsed="false">
      <c r="A26" s="501" t="str">
        <f aca="false">+H5</f>
        <v>Conservative Estimate </v>
      </c>
      <c r="B26" s="505" t="n">
        <f aca="false">($H$17*B21)</f>
        <v>0</v>
      </c>
      <c r="C26" s="505"/>
      <c r="D26" s="505" t="n">
        <f aca="false">($H$17*D21)</f>
        <v>0</v>
      </c>
      <c r="E26" s="505"/>
      <c r="F26" s="505" t="n">
        <f aca="false">($H$17*F21)</f>
        <v>0</v>
      </c>
      <c r="G26" s="505"/>
      <c r="H26" s="505" t="n">
        <f aca="false">($H$17*H21)</f>
        <v>0</v>
      </c>
      <c r="I26" s="505"/>
      <c r="J26" s="505" t="n">
        <f aca="false">($H$17*J21)</f>
        <v>0</v>
      </c>
      <c r="K26" s="505"/>
      <c r="L26" s="506" t="n">
        <f aca="false">SUM(B26:J26)</f>
        <v>0</v>
      </c>
    </row>
    <row r="27" customFormat="false" ht="15" hidden="false" customHeight="true" outlineLevel="0" collapsed="false">
      <c r="A27" s="502" t="str">
        <f aca="false">+J5</f>
        <v>Average Estimate </v>
      </c>
      <c r="B27" s="505" t="n">
        <f aca="false">($J$17*B22)</f>
        <v>0</v>
      </c>
      <c r="C27" s="505"/>
      <c r="D27" s="505" t="n">
        <f aca="false">($J$17*D22)</f>
        <v>0</v>
      </c>
      <c r="E27" s="505"/>
      <c r="F27" s="505" t="n">
        <f aca="false">($J$17*F22)</f>
        <v>0</v>
      </c>
      <c r="G27" s="505"/>
      <c r="H27" s="505" t="n">
        <f aca="false">($J$17*H22)</f>
        <v>0</v>
      </c>
      <c r="I27" s="505"/>
      <c r="J27" s="505" t="n">
        <f aca="false">($J$17*J22)</f>
        <v>0</v>
      </c>
      <c r="K27" s="505"/>
      <c r="L27" s="506" t="n">
        <f aca="false">SUM(B27:J27)</f>
        <v>0</v>
      </c>
    </row>
    <row r="28" customFormat="false" ht="15" hidden="false" customHeight="true" outlineLevel="0" collapsed="false">
      <c r="A28" s="503" t="str">
        <f aca="false">+L5</f>
        <v>Peak Performance</v>
      </c>
      <c r="B28" s="507" t="n">
        <f aca="false">($L$17*B23)</f>
        <v>0</v>
      </c>
      <c r="C28" s="507"/>
      <c r="D28" s="507" t="n">
        <f aca="false">($L$17*D23)</f>
        <v>0</v>
      </c>
      <c r="E28" s="507"/>
      <c r="F28" s="507" t="n">
        <f aca="false">($L$17*F23)</f>
        <v>0</v>
      </c>
      <c r="G28" s="507"/>
      <c r="H28" s="507" t="n">
        <f aca="false">($L$17*H23)</f>
        <v>0</v>
      </c>
      <c r="I28" s="507"/>
      <c r="J28" s="507" t="n">
        <f aca="false">($L$17*J23)</f>
        <v>0</v>
      </c>
      <c r="K28" s="507"/>
      <c r="L28" s="508" t="n">
        <f aca="false">SUM(B28:J28)</f>
        <v>0</v>
      </c>
    </row>
    <row r="29" customFormat="false" ht="15" hidden="false" customHeight="true" outlineLevel="0" collapsed="false">
      <c r="A29" s="509"/>
      <c r="B29" s="510"/>
      <c r="C29" s="510"/>
      <c r="D29" s="510"/>
      <c r="E29" s="510"/>
      <c r="F29" s="510"/>
      <c r="G29" s="510"/>
      <c r="H29" s="511"/>
      <c r="I29" s="500"/>
      <c r="J29" s="511"/>
      <c r="K29" s="500"/>
      <c r="L29" s="512"/>
    </row>
    <row r="30" customFormat="false" ht="11.45" hidden="false" customHeight="true" outlineLevel="0" collapsed="false">
      <c r="A30" s="463"/>
      <c r="B30" s="463"/>
      <c r="C30" s="463"/>
      <c r="D30" s="463"/>
      <c r="E30" s="463"/>
      <c r="F30" s="463"/>
      <c r="G30" s="463"/>
      <c r="H30" s="463"/>
      <c r="I30" s="463"/>
      <c r="J30" s="463"/>
      <c r="K30" s="463"/>
      <c r="L30" s="463"/>
    </row>
    <row r="31" customFormat="false" ht="11.45" hidden="false" customHeight="true" outlineLevel="0" collapsed="false">
      <c r="A31" s="513"/>
      <c r="B31" s="463"/>
      <c r="C31" s="463"/>
      <c r="D31" s="463"/>
      <c r="E31" s="463"/>
      <c r="F31" s="463"/>
      <c r="G31" s="463"/>
      <c r="H31" s="463"/>
      <c r="I31" s="463"/>
      <c r="J31" s="463"/>
      <c r="K31" s="463"/>
      <c r="L31" s="463"/>
    </row>
    <row r="32" customFormat="false" ht="11.45" hidden="false" customHeight="true" outlineLevel="0" collapsed="false">
      <c r="A32" s="463"/>
      <c r="B32" s="463"/>
      <c r="C32" s="463"/>
      <c r="D32" s="463"/>
      <c r="E32" s="463"/>
      <c r="F32" s="463"/>
      <c r="G32" s="463"/>
      <c r="H32" s="463"/>
      <c r="I32" s="463"/>
      <c r="J32" s="463"/>
      <c r="K32" s="463"/>
      <c r="L32" s="463"/>
    </row>
    <row r="33" customFormat="false" ht="11.45" hidden="false" customHeight="true" outlineLevel="0" collapsed="false"/>
  </sheetData>
  <printOptions headings="false" gridLines="false" gridLinesSet="true" horizontalCentered="false" verticalCentered="false"/>
  <pageMargins left="1" right="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3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L12" activeCellId="0" sqref="L12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456" width="25.7"/>
    <col collapsed="false" customWidth="true" hidden="false" outlineLevel="0" max="2" min="2" style="456" width="16.7"/>
    <col collapsed="false" customWidth="true" hidden="false" outlineLevel="0" max="3" min="3" style="456" width="1.7"/>
    <col collapsed="false" customWidth="true" hidden="false" outlineLevel="0" max="4" min="4" style="456" width="16.7"/>
    <col collapsed="false" customWidth="true" hidden="false" outlineLevel="0" max="5" min="5" style="456" width="1.7"/>
    <col collapsed="false" customWidth="true" hidden="false" outlineLevel="0" max="6" min="6" style="456" width="16.7"/>
    <col collapsed="false" customWidth="true" hidden="false" outlineLevel="0" max="7" min="7" style="456" width="1.7"/>
    <col collapsed="false" customWidth="true" hidden="false" outlineLevel="0" max="8" min="8" style="456" width="16.7"/>
    <col collapsed="false" customWidth="true" hidden="false" outlineLevel="0" max="9" min="9" style="456" width="1.7"/>
    <col collapsed="false" customWidth="true" hidden="false" outlineLevel="0" max="10" min="10" style="456" width="16.7"/>
    <col collapsed="false" customWidth="true" hidden="false" outlineLevel="0" max="11" min="11" style="456" width="1.7"/>
    <col collapsed="false" customWidth="true" hidden="false" outlineLevel="0" max="12" min="12" style="456" width="16.7"/>
    <col collapsed="false" customWidth="true" hidden="false" outlineLevel="0" max="13" min="13" style="456" width="1.13"/>
    <col collapsed="false" customWidth="false" hidden="false" outlineLevel="0" max="257" min="14" style="456" width="9.14"/>
  </cols>
  <sheetData>
    <row r="1" customFormat="false" ht="48" hidden="false" customHeight="true" outlineLevel="0" collapsed="false">
      <c r="A1" s="457"/>
      <c r="B1" s="458" t="s">
        <v>9</v>
      </c>
      <c r="C1" s="456" t="s">
        <v>9</v>
      </c>
      <c r="H1" s="26"/>
      <c r="I1" s="26"/>
      <c r="J1" s="26"/>
      <c r="K1" s="26"/>
      <c r="L1" s="26"/>
      <c r="M1" s="26"/>
      <c r="N1" s="26"/>
    </row>
    <row r="2" customFormat="false" ht="32.25" hidden="false" customHeight="true" outlineLevel="0" collapsed="false">
      <c r="A2" s="459" t="s">
        <v>354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1"/>
    </row>
    <row r="3" customFormat="false" ht="15" hidden="false" customHeight="true" outlineLevel="0" collapsed="false">
      <c r="A3" s="462" t="s">
        <v>355</v>
      </c>
      <c r="B3" s="463"/>
      <c r="C3" s="464"/>
      <c r="D3" s="465"/>
      <c r="E3" s="465"/>
      <c r="F3" s="465"/>
      <c r="G3" s="465"/>
      <c r="H3" s="465"/>
      <c r="I3" s="465"/>
      <c r="J3" s="465"/>
      <c r="K3" s="465"/>
      <c r="L3" s="466"/>
    </row>
    <row r="4" customFormat="false" ht="15" hidden="false" customHeight="true" outlineLevel="0" collapsed="false">
      <c r="A4" s="462"/>
      <c r="B4" s="463"/>
      <c r="C4" s="464"/>
      <c r="D4" s="465"/>
      <c r="E4" s="465"/>
      <c r="F4" s="465"/>
      <c r="G4" s="465"/>
      <c r="H4" s="465"/>
      <c r="I4" s="465"/>
      <c r="J4" s="465"/>
      <c r="K4" s="465"/>
      <c r="L4" s="466"/>
    </row>
    <row r="5" customFormat="false" ht="33" hidden="false" customHeight="true" outlineLevel="0" collapsed="false">
      <c r="A5" s="467" t="s">
        <v>328</v>
      </c>
      <c r="B5" s="468"/>
      <c r="C5" s="468"/>
      <c r="D5" s="468"/>
      <c r="E5" s="468"/>
      <c r="F5" s="468"/>
      <c r="G5" s="468"/>
      <c r="H5" s="469" t="str">
        <f aca="false">R1!H8</f>
        <v>Conservative Estimate </v>
      </c>
      <c r="I5" s="470"/>
      <c r="J5" s="469" t="str">
        <f aca="false">R1!J8</f>
        <v>Average Estimate </v>
      </c>
      <c r="K5" s="470"/>
      <c r="L5" s="471" t="str">
        <f aca="false">R1!L8</f>
        <v>Peak Performance</v>
      </c>
    </row>
    <row r="6" customFormat="false" ht="15" hidden="false" customHeight="true" outlineLevel="0" collapsed="false">
      <c r="A6" s="472" t="s">
        <v>332</v>
      </c>
      <c r="B6" s="514" t="s">
        <v>356</v>
      </c>
      <c r="C6" s="463"/>
      <c r="D6" s="463"/>
      <c r="E6" s="463"/>
      <c r="F6" s="463"/>
      <c r="G6" s="463"/>
      <c r="H6" s="474" t="n">
        <f aca="false">Assumptions!E90</f>
        <v>1045760000</v>
      </c>
      <c r="I6" s="475"/>
      <c r="J6" s="474" t="n">
        <f aca="false">Assumptions!G90</f>
        <v>1544450000</v>
      </c>
      <c r="K6" s="475"/>
      <c r="L6" s="474" t="n">
        <f aca="false">Assumptions!I90</f>
        <v>2045400000</v>
      </c>
    </row>
    <row r="7" customFormat="false" ht="15" hidden="false" customHeight="true" outlineLevel="0" collapsed="false">
      <c r="A7" s="472"/>
      <c r="B7" s="463"/>
      <c r="C7" s="463"/>
      <c r="D7" s="463"/>
      <c r="E7" s="463"/>
      <c r="F7" s="463"/>
      <c r="G7" s="463"/>
      <c r="H7" s="475"/>
      <c r="I7" s="474"/>
      <c r="J7" s="475"/>
      <c r="K7" s="475"/>
      <c r="L7" s="477"/>
    </row>
    <row r="8" customFormat="false" ht="15" hidden="false" customHeight="true" outlineLevel="0" collapsed="false">
      <c r="A8" s="472"/>
      <c r="B8" s="463"/>
      <c r="C8" s="463"/>
      <c r="D8" s="463"/>
      <c r="E8" s="463"/>
      <c r="F8" s="463"/>
      <c r="G8" s="463"/>
      <c r="H8" s="474"/>
      <c r="I8" s="463"/>
      <c r="J8" s="474"/>
      <c r="K8" s="463"/>
      <c r="L8" s="476"/>
    </row>
    <row r="9" customFormat="false" ht="15" hidden="false" customHeight="true" outlineLevel="0" collapsed="false">
      <c r="A9" s="472"/>
      <c r="B9" s="463"/>
      <c r="C9" s="463"/>
      <c r="D9" s="463"/>
      <c r="E9" s="463"/>
      <c r="F9" s="463"/>
      <c r="G9" s="463"/>
      <c r="H9" s="474"/>
      <c r="I9" s="463"/>
      <c r="J9" s="474"/>
      <c r="K9" s="463"/>
      <c r="L9" s="476"/>
    </row>
    <row r="10" customFormat="false" ht="15" hidden="false" customHeight="true" outlineLevel="0" collapsed="false">
      <c r="A10" s="472"/>
      <c r="B10" s="463"/>
      <c r="C10" s="463"/>
      <c r="D10" s="463"/>
      <c r="E10" s="463"/>
      <c r="F10" s="463"/>
      <c r="G10" s="463"/>
      <c r="H10" s="474"/>
      <c r="I10" s="463"/>
      <c r="J10" s="474"/>
      <c r="K10" s="463"/>
      <c r="L10" s="476"/>
    </row>
    <row r="11" customFormat="false" ht="15" hidden="false" customHeight="true" outlineLevel="0" collapsed="false">
      <c r="A11" s="472"/>
      <c r="B11" s="463"/>
      <c r="C11" s="463"/>
      <c r="D11" s="463"/>
      <c r="E11" s="463"/>
      <c r="F11" s="463"/>
      <c r="G11" s="463"/>
      <c r="H11" s="463"/>
      <c r="I11" s="463"/>
      <c r="J11" s="463"/>
      <c r="K11" s="463"/>
      <c r="L11" s="478"/>
    </row>
    <row r="12" customFormat="false" ht="15" hidden="false" customHeight="true" outlineLevel="0" collapsed="false">
      <c r="A12" s="472" t="s">
        <v>335</v>
      </c>
      <c r="B12" s="463" t="s">
        <v>351</v>
      </c>
      <c r="C12" s="463"/>
      <c r="D12" s="93"/>
      <c r="E12" s="463"/>
      <c r="F12" s="463"/>
      <c r="G12" s="463"/>
      <c r="H12" s="479" t="n">
        <f aca="false">+Assumptions!E29</f>
        <v>0.02</v>
      </c>
      <c r="I12" s="463"/>
      <c r="J12" s="479" t="n">
        <f aca="false">+Assumptions!G29</f>
        <v>0.05</v>
      </c>
      <c r="K12" s="480"/>
      <c r="L12" s="481" t="n">
        <f aca="false">+Assumptions!I29</f>
        <v>0.1</v>
      </c>
    </row>
    <row r="13" customFormat="false" ht="15" hidden="false" customHeight="true" outlineLevel="0" collapsed="false">
      <c r="A13" s="472"/>
      <c r="B13" s="463"/>
      <c r="C13" s="463"/>
      <c r="D13" s="463"/>
      <c r="E13" s="463"/>
      <c r="F13" s="463"/>
      <c r="G13" s="463"/>
      <c r="H13" s="463"/>
      <c r="I13" s="463"/>
      <c r="J13" s="463"/>
      <c r="K13" s="463"/>
      <c r="L13" s="478"/>
    </row>
    <row r="14" customFormat="false" ht="15" hidden="false" customHeight="true" outlineLevel="0" collapsed="false">
      <c r="A14" s="472" t="s">
        <v>337</v>
      </c>
      <c r="B14" s="463" t="s">
        <v>356</v>
      </c>
      <c r="C14" s="463"/>
      <c r="D14" s="463"/>
      <c r="E14" s="463"/>
      <c r="F14" s="463"/>
      <c r="G14" s="463"/>
      <c r="H14" s="482" t="n">
        <f aca="false">SUM(H6:H10)</f>
        <v>1045760000</v>
      </c>
      <c r="I14" s="483"/>
      <c r="J14" s="482" t="n">
        <f aca="false">SUM(J6:J10)</f>
        <v>1544450000</v>
      </c>
      <c r="K14" s="482"/>
      <c r="L14" s="484" t="n">
        <f aca="false">SUM(L6:L10)</f>
        <v>2045400000</v>
      </c>
    </row>
    <row r="15" customFormat="false" ht="15" hidden="false" customHeight="true" outlineLevel="0" collapsed="false">
      <c r="A15" s="472"/>
      <c r="B15" s="463" t="s">
        <v>352</v>
      </c>
      <c r="C15" s="463"/>
      <c r="D15" s="463"/>
      <c r="E15" s="463"/>
      <c r="F15" s="463"/>
      <c r="G15" s="463"/>
      <c r="H15" s="485" t="n">
        <f aca="false">H12</f>
        <v>0.02</v>
      </c>
      <c r="I15" s="486"/>
      <c r="J15" s="485" t="n">
        <f aca="false">J12</f>
        <v>0.05</v>
      </c>
      <c r="K15" s="485"/>
      <c r="L15" s="487" t="n">
        <f aca="false">L12</f>
        <v>0.1</v>
      </c>
    </row>
    <row r="16" customFormat="false" ht="15" hidden="false" customHeight="true" outlineLevel="0" collapsed="false">
      <c r="A16" s="472"/>
      <c r="B16" s="465"/>
      <c r="C16" s="463"/>
      <c r="D16" s="463"/>
      <c r="E16" s="463"/>
      <c r="F16" s="463"/>
      <c r="G16" s="463"/>
      <c r="H16" s="488"/>
      <c r="I16" s="489"/>
      <c r="J16" s="490"/>
      <c r="K16" s="488"/>
      <c r="L16" s="491"/>
    </row>
    <row r="17" customFormat="false" ht="15" hidden="false" customHeight="true" outlineLevel="0" collapsed="false">
      <c r="A17" s="472"/>
      <c r="B17" s="463" t="s">
        <v>353</v>
      </c>
      <c r="C17" s="463"/>
      <c r="D17" s="463"/>
      <c r="E17" s="463"/>
      <c r="F17" s="463"/>
      <c r="G17" s="463"/>
      <c r="H17" s="475" t="n">
        <f aca="false">IF(ISERROR(H14*H15),0,(H14*H15))</f>
        <v>20915200</v>
      </c>
      <c r="I17" s="475"/>
      <c r="J17" s="475" t="n">
        <f aca="false">IF(ISERROR(J14*J15),0,(J14*J15))</f>
        <v>77222500</v>
      </c>
      <c r="K17" s="475"/>
      <c r="L17" s="477" t="n">
        <f aca="false">IF(ISERROR(L14*L15),0,(L14*L15))</f>
        <v>204540000</v>
      </c>
    </row>
    <row r="18" customFormat="false" ht="15" hidden="false" customHeight="true" outlineLevel="0" collapsed="false">
      <c r="A18" s="492"/>
      <c r="B18" s="493"/>
      <c r="C18" s="493"/>
      <c r="D18" s="493"/>
      <c r="E18" s="493"/>
      <c r="F18" s="493"/>
      <c r="G18" s="493"/>
      <c r="H18" s="493"/>
      <c r="I18" s="494"/>
      <c r="J18" s="493"/>
      <c r="K18" s="493"/>
      <c r="L18" s="495"/>
    </row>
    <row r="19" customFormat="false" ht="15.75" hidden="false" customHeight="false" outlineLevel="0" collapsed="false">
      <c r="A19" s="496" t="s">
        <v>342</v>
      </c>
      <c r="B19" s="497" t="s">
        <v>3</v>
      </c>
      <c r="C19" s="468"/>
      <c r="D19" s="497" t="s">
        <v>4</v>
      </c>
      <c r="E19" s="468"/>
      <c r="F19" s="497" t="s">
        <v>5</v>
      </c>
      <c r="G19" s="468"/>
      <c r="H19" s="497" t="s">
        <v>6</v>
      </c>
      <c r="I19" s="497"/>
      <c r="J19" s="497" t="s">
        <v>7</v>
      </c>
      <c r="K19" s="468"/>
      <c r="L19" s="498"/>
    </row>
    <row r="20" customFormat="false" ht="15" hidden="false" customHeight="true" outlineLevel="0" collapsed="false">
      <c r="A20" s="499"/>
      <c r="B20" s="463"/>
      <c r="C20" s="463"/>
      <c r="D20" s="463"/>
      <c r="E20" s="463"/>
      <c r="F20" s="463"/>
      <c r="G20" s="463"/>
      <c r="H20" s="463"/>
      <c r="I20" s="463"/>
      <c r="J20" s="463"/>
      <c r="K20" s="500"/>
      <c r="L20" s="478"/>
    </row>
    <row r="21" customFormat="false" ht="15" hidden="false" customHeight="true" outlineLevel="0" collapsed="false">
      <c r="A21" s="501" t="str">
        <f aca="false">H5</f>
        <v>Conservative Estimate </v>
      </c>
      <c r="B21" s="463" t="n">
        <f aca="false">+Assumptions!E6</f>
        <v>0.5</v>
      </c>
      <c r="C21" s="463"/>
      <c r="D21" s="463" t="n">
        <f aca="false">+Assumptions!G6</f>
        <v>1</v>
      </c>
      <c r="E21" s="463"/>
      <c r="F21" s="463" t="n">
        <f aca="false">+Assumptions!I6</f>
        <v>1</v>
      </c>
      <c r="G21" s="463"/>
      <c r="H21" s="463" t="n">
        <f aca="false">+Assumptions!K6</f>
        <v>1</v>
      </c>
      <c r="I21" s="463"/>
      <c r="J21" s="463" t="n">
        <f aca="false">+Assumptions!M6</f>
        <v>1</v>
      </c>
      <c r="K21" s="463"/>
      <c r="L21" s="478"/>
    </row>
    <row r="22" customFormat="false" ht="15" hidden="false" customHeight="true" outlineLevel="0" collapsed="false">
      <c r="A22" s="502" t="str">
        <f aca="false">J5</f>
        <v>Average Estimate </v>
      </c>
      <c r="B22" s="463" t="n">
        <f aca="false">+Assumptions!E7</f>
        <v>0.6</v>
      </c>
      <c r="C22" s="463"/>
      <c r="D22" s="463" t="n">
        <f aca="false">+Assumptions!G7</f>
        <v>1</v>
      </c>
      <c r="E22" s="463"/>
      <c r="F22" s="463" t="n">
        <f aca="false">+Assumptions!I7</f>
        <v>1</v>
      </c>
      <c r="G22" s="463"/>
      <c r="H22" s="463" t="n">
        <f aca="false">+Assumptions!K7</f>
        <v>1</v>
      </c>
      <c r="I22" s="463"/>
      <c r="J22" s="463" t="n">
        <f aca="false">+Assumptions!M7</f>
        <v>1</v>
      </c>
      <c r="K22" s="463"/>
      <c r="L22" s="478"/>
    </row>
    <row r="23" customFormat="false" ht="15" hidden="false" customHeight="true" outlineLevel="0" collapsed="false">
      <c r="A23" s="503" t="str">
        <f aca="false">L5</f>
        <v>Peak Performance</v>
      </c>
      <c r="B23" s="463" t="n">
        <f aca="false">+Assumptions!E8</f>
        <v>0.7</v>
      </c>
      <c r="C23" s="463"/>
      <c r="D23" s="463" t="n">
        <f aca="false">+Assumptions!G8</f>
        <v>1</v>
      </c>
      <c r="E23" s="463"/>
      <c r="F23" s="463" t="n">
        <f aca="false">+Assumptions!I8</f>
        <v>1</v>
      </c>
      <c r="G23" s="463"/>
      <c r="H23" s="463" t="n">
        <f aca="false">+Assumptions!K8</f>
        <v>1</v>
      </c>
      <c r="I23" s="463"/>
      <c r="J23" s="463" t="n">
        <f aca="false">+Assumptions!M8</f>
        <v>1</v>
      </c>
      <c r="K23" s="463"/>
      <c r="L23" s="478"/>
    </row>
    <row r="24" customFormat="false" ht="15.75" hidden="false" customHeight="false" outlineLevel="0" collapsed="false">
      <c r="A24" s="496" t="s">
        <v>343</v>
      </c>
      <c r="B24" s="497" t="s">
        <v>3</v>
      </c>
      <c r="C24" s="497"/>
      <c r="D24" s="497" t="s">
        <v>4</v>
      </c>
      <c r="E24" s="497"/>
      <c r="F24" s="497" t="s">
        <v>5</v>
      </c>
      <c r="G24" s="497"/>
      <c r="H24" s="497" t="s">
        <v>6</v>
      </c>
      <c r="I24" s="497"/>
      <c r="J24" s="497" t="s">
        <v>7</v>
      </c>
      <c r="K24" s="497"/>
      <c r="L24" s="504" t="s">
        <v>8</v>
      </c>
    </row>
    <row r="25" customFormat="false" ht="15" hidden="false" customHeight="true" outlineLevel="0" collapsed="false">
      <c r="A25" s="499"/>
      <c r="B25" s="463"/>
      <c r="C25" s="463"/>
      <c r="D25" s="463"/>
      <c r="E25" s="463"/>
      <c r="F25" s="463"/>
      <c r="G25" s="463"/>
      <c r="H25" s="463"/>
      <c r="I25" s="463"/>
      <c r="J25" s="463"/>
      <c r="K25" s="463"/>
      <c r="L25" s="478"/>
    </row>
    <row r="26" customFormat="false" ht="15" hidden="false" customHeight="true" outlineLevel="0" collapsed="false">
      <c r="A26" s="501" t="str">
        <f aca="false">+H5</f>
        <v>Conservative Estimate </v>
      </c>
      <c r="B26" s="505" t="n">
        <f aca="false">($H$17*B21)</f>
        <v>10457600</v>
      </c>
      <c r="C26" s="505"/>
      <c r="D26" s="505" t="n">
        <f aca="false">($H$17*D21)</f>
        <v>20915200</v>
      </c>
      <c r="E26" s="505"/>
      <c r="F26" s="505" t="n">
        <f aca="false">($H$17*F21)</f>
        <v>20915200</v>
      </c>
      <c r="G26" s="505"/>
      <c r="H26" s="505" t="n">
        <f aca="false">($H$17*H21)</f>
        <v>20915200</v>
      </c>
      <c r="I26" s="505"/>
      <c r="J26" s="505" t="n">
        <f aca="false">($H$17*J21)</f>
        <v>20915200</v>
      </c>
      <c r="K26" s="505"/>
      <c r="L26" s="506" t="n">
        <f aca="false">SUM(B26:J26)</f>
        <v>94118400</v>
      </c>
    </row>
    <row r="27" customFormat="false" ht="15" hidden="false" customHeight="true" outlineLevel="0" collapsed="false">
      <c r="A27" s="502" t="str">
        <f aca="false">+J5</f>
        <v>Average Estimate </v>
      </c>
      <c r="B27" s="505" t="n">
        <f aca="false">($J$17*B22)</f>
        <v>46333500</v>
      </c>
      <c r="C27" s="505"/>
      <c r="D27" s="505" t="n">
        <f aca="false">($J$17*D22)</f>
        <v>77222500</v>
      </c>
      <c r="E27" s="505"/>
      <c r="F27" s="505" t="n">
        <f aca="false">($J$17*F22)</f>
        <v>77222500</v>
      </c>
      <c r="G27" s="505"/>
      <c r="H27" s="505" t="n">
        <f aca="false">($J$17*H22)</f>
        <v>77222500</v>
      </c>
      <c r="I27" s="505"/>
      <c r="J27" s="505" t="n">
        <f aca="false">($J$17*J22)</f>
        <v>77222500</v>
      </c>
      <c r="K27" s="505"/>
      <c r="L27" s="506" t="n">
        <f aca="false">SUM(B27:J27)</f>
        <v>355223500</v>
      </c>
    </row>
    <row r="28" customFormat="false" ht="15" hidden="false" customHeight="true" outlineLevel="0" collapsed="false">
      <c r="A28" s="503" t="str">
        <f aca="false">+L5</f>
        <v>Peak Performance</v>
      </c>
      <c r="B28" s="507" t="n">
        <f aca="false">($L$17*B23)</f>
        <v>143178000</v>
      </c>
      <c r="C28" s="507"/>
      <c r="D28" s="507" t="n">
        <f aca="false">($L$17*D23)</f>
        <v>204540000</v>
      </c>
      <c r="E28" s="507"/>
      <c r="F28" s="507" t="n">
        <f aca="false">($L$17*F23)</f>
        <v>204540000</v>
      </c>
      <c r="G28" s="507"/>
      <c r="H28" s="507" t="n">
        <f aca="false">($L$17*H23)</f>
        <v>204540000</v>
      </c>
      <c r="I28" s="507"/>
      <c r="J28" s="507" t="n">
        <f aca="false">($L$17*J23)</f>
        <v>204540000</v>
      </c>
      <c r="K28" s="507"/>
      <c r="L28" s="508" t="n">
        <f aca="false">SUM(B28:J28)</f>
        <v>961338000</v>
      </c>
    </row>
    <row r="29" customFormat="false" ht="15" hidden="false" customHeight="true" outlineLevel="0" collapsed="false">
      <c r="A29" s="509"/>
      <c r="B29" s="510"/>
      <c r="C29" s="510"/>
      <c r="D29" s="510"/>
      <c r="E29" s="510"/>
      <c r="F29" s="510"/>
      <c r="G29" s="510"/>
      <c r="H29" s="511"/>
      <c r="I29" s="500"/>
      <c r="J29" s="511"/>
      <c r="K29" s="500"/>
      <c r="L29" s="512"/>
    </row>
    <row r="30" customFormat="false" ht="11.45" hidden="false" customHeight="true" outlineLevel="0" collapsed="false">
      <c r="A30" s="463"/>
      <c r="B30" s="463"/>
      <c r="C30" s="463"/>
      <c r="D30" s="463"/>
      <c r="E30" s="463"/>
      <c r="F30" s="463"/>
      <c r="G30" s="463"/>
      <c r="H30" s="463"/>
      <c r="I30" s="463"/>
      <c r="J30" s="463"/>
      <c r="K30" s="463"/>
      <c r="L30" s="463"/>
    </row>
    <row r="31" customFormat="false" ht="11.45" hidden="false" customHeight="true" outlineLevel="0" collapsed="false">
      <c r="A31" s="513"/>
      <c r="B31" s="463"/>
      <c r="C31" s="463"/>
      <c r="D31" s="463"/>
      <c r="E31" s="463"/>
      <c r="F31" s="463"/>
      <c r="G31" s="463"/>
      <c r="H31" s="93"/>
      <c r="I31" s="463"/>
      <c r="J31" s="463"/>
      <c r="K31" s="463"/>
      <c r="L31" s="463"/>
    </row>
    <row r="32" customFormat="false" ht="11.45" hidden="false" customHeight="true" outlineLevel="0" collapsed="false">
      <c r="A32" s="463"/>
      <c r="B32" s="463"/>
      <c r="C32" s="463"/>
      <c r="D32" s="463"/>
      <c r="E32" s="463"/>
      <c r="F32" s="463"/>
      <c r="G32" s="463"/>
      <c r="H32" s="463"/>
      <c r="I32" s="463"/>
      <c r="J32" s="463"/>
      <c r="K32" s="463"/>
      <c r="L32" s="463"/>
    </row>
    <row r="33" customFormat="false" ht="11.45" hidden="false" customHeight="true" outlineLevel="0" collapsed="false"/>
  </sheetData>
  <printOptions headings="false" gridLines="false" gridLinesSet="true" horizontalCentered="false" verticalCentered="false"/>
  <pageMargins left="1" right="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3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15" activeCellId="0" sqref="H15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456" width="25.7"/>
    <col collapsed="false" customWidth="true" hidden="false" outlineLevel="0" max="2" min="2" style="456" width="16.7"/>
    <col collapsed="false" customWidth="true" hidden="false" outlineLevel="0" max="3" min="3" style="456" width="1.7"/>
    <col collapsed="false" customWidth="true" hidden="false" outlineLevel="0" max="4" min="4" style="456" width="16.7"/>
    <col collapsed="false" customWidth="true" hidden="false" outlineLevel="0" max="5" min="5" style="456" width="1.7"/>
    <col collapsed="false" customWidth="true" hidden="false" outlineLevel="0" max="6" min="6" style="456" width="16.7"/>
    <col collapsed="false" customWidth="true" hidden="false" outlineLevel="0" max="7" min="7" style="456" width="1.7"/>
    <col collapsed="false" customWidth="true" hidden="false" outlineLevel="0" max="8" min="8" style="456" width="16.7"/>
    <col collapsed="false" customWidth="true" hidden="false" outlineLevel="0" max="9" min="9" style="456" width="1.7"/>
    <col collapsed="false" customWidth="true" hidden="false" outlineLevel="0" max="10" min="10" style="456" width="16.7"/>
    <col collapsed="false" customWidth="true" hidden="false" outlineLevel="0" max="11" min="11" style="456" width="1.7"/>
    <col collapsed="false" customWidth="true" hidden="false" outlineLevel="0" max="12" min="12" style="456" width="16.7"/>
    <col collapsed="false" customWidth="true" hidden="false" outlineLevel="0" max="13" min="13" style="456" width="1.85"/>
    <col collapsed="false" customWidth="false" hidden="false" outlineLevel="0" max="257" min="14" style="456" width="9.14"/>
  </cols>
  <sheetData>
    <row r="1" customFormat="false" ht="48" hidden="false" customHeight="true" outlineLevel="0" collapsed="false">
      <c r="A1" s="457"/>
      <c r="B1" s="458" t="s">
        <v>9</v>
      </c>
      <c r="C1" s="456" t="s">
        <v>9</v>
      </c>
      <c r="H1" s="26"/>
      <c r="I1" s="26"/>
      <c r="J1" s="26"/>
      <c r="K1" s="26"/>
      <c r="L1" s="26"/>
      <c r="M1" s="26"/>
      <c r="N1" s="26"/>
    </row>
    <row r="2" customFormat="false" ht="32.25" hidden="false" customHeight="true" outlineLevel="0" collapsed="false">
      <c r="A2" s="459" t="s">
        <v>357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1"/>
    </row>
    <row r="3" customFormat="false" ht="15" hidden="false" customHeight="true" outlineLevel="0" collapsed="false">
      <c r="A3" s="462" t="s">
        <v>358</v>
      </c>
      <c r="B3" s="463"/>
      <c r="C3" s="464"/>
      <c r="D3" s="465"/>
      <c r="E3" s="465"/>
      <c r="F3" s="465"/>
      <c r="G3" s="465"/>
      <c r="H3" s="465"/>
      <c r="I3" s="465"/>
      <c r="J3" s="465"/>
      <c r="K3" s="465"/>
      <c r="L3" s="466"/>
    </row>
    <row r="4" customFormat="false" ht="15" hidden="false" customHeight="true" outlineLevel="0" collapsed="false">
      <c r="A4" s="462"/>
      <c r="B4" s="463"/>
      <c r="C4" s="464"/>
      <c r="D4" s="465"/>
      <c r="E4" s="465"/>
      <c r="F4" s="465"/>
      <c r="G4" s="465"/>
      <c r="H4" s="465"/>
      <c r="I4" s="465"/>
      <c r="J4" s="465"/>
      <c r="K4" s="465"/>
      <c r="L4" s="466"/>
    </row>
    <row r="5" customFormat="false" ht="33" hidden="false" customHeight="true" outlineLevel="0" collapsed="false">
      <c r="A5" s="467" t="s">
        <v>328</v>
      </c>
      <c r="B5" s="468"/>
      <c r="C5" s="468"/>
      <c r="D5" s="468"/>
      <c r="E5" s="468"/>
      <c r="F5" s="468"/>
      <c r="G5" s="468"/>
      <c r="H5" s="469" t="str">
        <f aca="false">R1!H8</f>
        <v>Conservative Estimate </v>
      </c>
      <c r="I5" s="470"/>
      <c r="J5" s="469" t="str">
        <f aca="false">R1!J8</f>
        <v>Average Estimate </v>
      </c>
      <c r="K5" s="470"/>
      <c r="L5" s="471" t="str">
        <f aca="false">R1!L8</f>
        <v>Peak Performance</v>
      </c>
    </row>
    <row r="6" customFormat="false" ht="15" hidden="false" customHeight="true" outlineLevel="0" collapsed="false">
      <c r="A6" s="472" t="s">
        <v>332</v>
      </c>
      <c r="B6" s="514" t="s">
        <v>356</v>
      </c>
      <c r="C6" s="463"/>
      <c r="D6" s="463"/>
      <c r="E6" s="463"/>
      <c r="F6" s="463"/>
      <c r="G6" s="463"/>
      <c r="H6" s="474" t="n">
        <f aca="false">Assumptions!E90</f>
        <v>1045760000</v>
      </c>
      <c r="I6" s="475"/>
      <c r="J6" s="474" t="n">
        <f aca="false">Assumptions!G90</f>
        <v>1544450000</v>
      </c>
      <c r="K6" s="475"/>
      <c r="L6" s="474" t="n">
        <f aca="false">Assumptions!I90</f>
        <v>2045400000</v>
      </c>
    </row>
    <row r="7" customFormat="false" ht="15" hidden="false" customHeight="true" outlineLevel="0" collapsed="false">
      <c r="A7" s="472"/>
      <c r="B7" s="463"/>
      <c r="C7" s="463"/>
      <c r="D7" s="463"/>
      <c r="E7" s="463"/>
      <c r="F7" s="463"/>
      <c r="G7" s="463"/>
      <c r="H7" s="475"/>
      <c r="I7" s="474"/>
      <c r="J7" s="475"/>
      <c r="K7" s="475"/>
      <c r="L7" s="477"/>
    </row>
    <row r="8" customFormat="false" ht="15" hidden="false" customHeight="true" outlineLevel="0" collapsed="false">
      <c r="A8" s="472"/>
      <c r="B8" s="463"/>
      <c r="C8" s="463"/>
      <c r="D8" s="463"/>
      <c r="E8" s="463"/>
      <c r="F8" s="463"/>
      <c r="G8" s="463"/>
      <c r="H8" s="474"/>
      <c r="I8" s="463"/>
      <c r="J8" s="474"/>
      <c r="K8" s="463"/>
      <c r="L8" s="476"/>
    </row>
    <row r="9" customFormat="false" ht="15" hidden="false" customHeight="true" outlineLevel="0" collapsed="false">
      <c r="A9" s="472"/>
      <c r="B9" s="463"/>
      <c r="C9" s="463"/>
      <c r="D9" s="463"/>
      <c r="E9" s="463"/>
      <c r="F9" s="463"/>
      <c r="G9" s="463"/>
      <c r="H9" s="474"/>
      <c r="I9" s="463"/>
      <c r="J9" s="474"/>
      <c r="K9" s="463"/>
      <c r="L9" s="476"/>
    </row>
    <row r="10" customFormat="false" ht="15" hidden="false" customHeight="true" outlineLevel="0" collapsed="false">
      <c r="A10" s="472"/>
      <c r="B10" s="463"/>
      <c r="C10" s="463"/>
      <c r="D10" s="463"/>
      <c r="E10" s="463"/>
      <c r="F10" s="463"/>
      <c r="G10" s="463"/>
      <c r="H10" s="474"/>
      <c r="I10" s="463"/>
      <c r="J10" s="474"/>
      <c r="K10" s="463"/>
      <c r="L10" s="476"/>
    </row>
    <row r="11" customFormat="false" ht="15" hidden="false" customHeight="true" outlineLevel="0" collapsed="false">
      <c r="A11" s="472"/>
      <c r="B11" s="463"/>
      <c r="C11" s="463"/>
      <c r="D11" s="463"/>
      <c r="E11" s="463"/>
      <c r="F11" s="463"/>
      <c r="G11" s="463"/>
      <c r="H11" s="463"/>
      <c r="I11" s="463"/>
      <c r="J11" s="463"/>
      <c r="K11" s="463"/>
      <c r="L11" s="478"/>
    </row>
    <row r="12" customFormat="false" ht="15" hidden="false" customHeight="true" outlineLevel="0" collapsed="false">
      <c r="A12" s="472" t="s">
        <v>335</v>
      </c>
      <c r="B12" s="463" t="s">
        <v>359</v>
      </c>
      <c r="C12" s="463"/>
      <c r="D12" s="93"/>
      <c r="E12" s="463"/>
      <c r="F12" s="463"/>
      <c r="G12" s="463"/>
      <c r="H12" s="479" t="n">
        <f aca="false">+Assumptions!E31</f>
        <v>0.02</v>
      </c>
      <c r="I12" s="463"/>
      <c r="J12" s="479" t="n">
        <f aca="false">+Assumptions!G31</f>
        <v>0.05</v>
      </c>
      <c r="K12" s="480"/>
      <c r="L12" s="481" t="n">
        <f aca="false">+Assumptions!I31</f>
        <v>0.1</v>
      </c>
    </row>
    <row r="13" customFormat="false" ht="15" hidden="false" customHeight="true" outlineLevel="0" collapsed="false">
      <c r="A13" s="472"/>
      <c r="B13" s="463"/>
      <c r="C13" s="463"/>
      <c r="D13" s="463"/>
      <c r="E13" s="463"/>
      <c r="F13" s="463"/>
      <c r="G13" s="463"/>
      <c r="H13" s="463"/>
      <c r="I13" s="463"/>
      <c r="J13" s="463"/>
      <c r="K13" s="463"/>
      <c r="L13" s="478"/>
    </row>
    <row r="14" customFormat="false" ht="15" hidden="false" customHeight="true" outlineLevel="0" collapsed="false">
      <c r="A14" s="472" t="s">
        <v>337</v>
      </c>
      <c r="B14" s="463" t="s">
        <v>356</v>
      </c>
      <c r="C14" s="463"/>
      <c r="D14" s="463"/>
      <c r="E14" s="463"/>
      <c r="F14" s="463"/>
      <c r="G14" s="463"/>
      <c r="H14" s="482" t="n">
        <f aca="false">SUM(H6:H10)</f>
        <v>1045760000</v>
      </c>
      <c r="I14" s="483"/>
      <c r="J14" s="482" t="n">
        <f aca="false">SUM(J6:J10)</f>
        <v>1544450000</v>
      </c>
      <c r="K14" s="482"/>
      <c r="L14" s="484" t="n">
        <f aca="false">SUM(L6:L10)</f>
        <v>2045400000</v>
      </c>
    </row>
    <row r="15" customFormat="false" ht="15" hidden="false" customHeight="true" outlineLevel="0" collapsed="false">
      <c r="A15" s="472"/>
      <c r="B15" s="463" t="s">
        <v>360</v>
      </c>
      <c r="C15" s="463"/>
      <c r="D15" s="463"/>
      <c r="E15" s="463"/>
      <c r="F15" s="463"/>
      <c r="G15" s="463"/>
      <c r="H15" s="485" t="n">
        <f aca="false">H12</f>
        <v>0.02</v>
      </c>
      <c r="I15" s="486"/>
      <c r="J15" s="485" t="n">
        <f aca="false">J12</f>
        <v>0.05</v>
      </c>
      <c r="K15" s="485"/>
      <c r="L15" s="487" t="n">
        <f aca="false">L12</f>
        <v>0.1</v>
      </c>
    </row>
    <row r="16" customFormat="false" ht="15" hidden="false" customHeight="true" outlineLevel="0" collapsed="false">
      <c r="A16" s="472"/>
      <c r="B16" s="465"/>
      <c r="C16" s="463"/>
      <c r="D16" s="463"/>
      <c r="E16" s="463"/>
      <c r="F16" s="463"/>
      <c r="G16" s="463"/>
      <c r="H16" s="488"/>
      <c r="I16" s="489"/>
      <c r="J16" s="490"/>
      <c r="K16" s="488"/>
      <c r="L16" s="491"/>
    </row>
    <row r="17" customFormat="false" ht="15" hidden="false" customHeight="true" outlineLevel="0" collapsed="false">
      <c r="A17" s="472"/>
      <c r="B17" s="463" t="s">
        <v>361</v>
      </c>
      <c r="C17" s="463"/>
      <c r="D17" s="463"/>
      <c r="E17" s="463"/>
      <c r="F17" s="463"/>
      <c r="G17" s="463"/>
      <c r="H17" s="475" t="n">
        <f aca="false">IF(ISERROR(H14*H15),0,(H14*H15))</f>
        <v>20915200</v>
      </c>
      <c r="I17" s="475"/>
      <c r="J17" s="475" t="n">
        <f aca="false">IF(ISERROR(J14*J15),0,(J14*J15))</f>
        <v>77222500</v>
      </c>
      <c r="K17" s="475"/>
      <c r="L17" s="477" t="n">
        <f aca="false">IF(ISERROR(L14*L15),0,(L14*L15))</f>
        <v>204540000</v>
      </c>
    </row>
    <row r="18" customFormat="false" ht="15" hidden="false" customHeight="true" outlineLevel="0" collapsed="false">
      <c r="A18" s="492"/>
      <c r="B18" s="493"/>
      <c r="C18" s="493"/>
      <c r="D18" s="493"/>
      <c r="E18" s="493"/>
      <c r="F18" s="493"/>
      <c r="G18" s="493"/>
      <c r="H18" s="493"/>
      <c r="I18" s="494"/>
      <c r="J18" s="493"/>
      <c r="K18" s="493"/>
      <c r="L18" s="495"/>
    </row>
    <row r="19" customFormat="false" ht="15.75" hidden="false" customHeight="false" outlineLevel="0" collapsed="false">
      <c r="A19" s="496" t="s">
        <v>342</v>
      </c>
      <c r="B19" s="497" t="s">
        <v>3</v>
      </c>
      <c r="C19" s="468"/>
      <c r="D19" s="497" t="s">
        <v>4</v>
      </c>
      <c r="E19" s="468"/>
      <c r="F19" s="497" t="s">
        <v>5</v>
      </c>
      <c r="G19" s="468"/>
      <c r="H19" s="497" t="s">
        <v>6</v>
      </c>
      <c r="I19" s="497"/>
      <c r="J19" s="497" t="s">
        <v>7</v>
      </c>
      <c r="K19" s="468"/>
      <c r="L19" s="498"/>
    </row>
    <row r="20" customFormat="false" ht="15" hidden="false" customHeight="true" outlineLevel="0" collapsed="false">
      <c r="A20" s="499"/>
      <c r="B20" s="463"/>
      <c r="C20" s="463"/>
      <c r="D20" s="463"/>
      <c r="E20" s="463"/>
      <c r="F20" s="463"/>
      <c r="G20" s="463"/>
      <c r="H20" s="463"/>
      <c r="I20" s="463"/>
      <c r="J20" s="463"/>
      <c r="K20" s="500"/>
      <c r="L20" s="478"/>
    </row>
    <row r="21" customFormat="false" ht="15" hidden="false" customHeight="true" outlineLevel="0" collapsed="false">
      <c r="A21" s="501" t="str">
        <f aca="false">H5</f>
        <v>Conservative Estimate </v>
      </c>
      <c r="B21" s="463" t="n">
        <f aca="false">+Assumptions!E6</f>
        <v>0.5</v>
      </c>
      <c r="C21" s="463"/>
      <c r="D21" s="463" t="n">
        <f aca="false">+Assumptions!G6</f>
        <v>1</v>
      </c>
      <c r="E21" s="463"/>
      <c r="F21" s="463" t="n">
        <f aca="false">+Assumptions!I6</f>
        <v>1</v>
      </c>
      <c r="G21" s="463"/>
      <c r="H21" s="463" t="n">
        <f aca="false">+Assumptions!K6</f>
        <v>1</v>
      </c>
      <c r="I21" s="463"/>
      <c r="J21" s="463" t="n">
        <f aca="false">+Assumptions!M6</f>
        <v>1</v>
      </c>
      <c r="K21" s="463"/>
      <c r="L21" s="478"/>
    </row>
    <row r="22" customFormat="false" ht="15" hidden="false" customHeight="true" outlineLevel="0" collapsed="false">
      <c r="A22" s="502" t="str">
        <f aca="false">J5</f>
        <v>Average Estimate </v>
      </c>
      <c r="B22" s="463" t="n">
        <f aca="false">+Assumptions!E7</f>
        <v>0.6</v>
      </c>
      <c r="C22" s="463"/>
      <c r="D22" s="463" t="n">
        <f aca="false">+Assumptions!G7</f>
        <v>1</v>
      </c>
      <c r="E22" s="463"/>
      <c r="F22" s="463" t="n">
        <f aca="false">+Assumptions!I7</f>
        <v>1</v>
      </c>
      <c r="G22" s="463"/>
      <c r="H22" s="463" t="n">
        <f aca="false">+Assumptions!K7</f>
        <v>1</v>
      </c>
      <c r="I22" s="463"/>
      <c r="J22" s="463" t="n">
        <f aca="false">+Assumptions!M7</f>
        <v>1</v>
      </c>
      <c r="K22" s="463"/>
      <c r="L22" s="478"/>
    </row>
    <row r="23" customFormat="false" ht="15" hidden="false" customHeight="true" outlineLevel="0" collapsed="false">
      <c r="A23" s="503" t="str">
        <f aca="false">L5</f>
        <v>Peak Performance</v>
      </c>
      <c r="B23" s="463" t="n">
        <f aca="false">+Assumptions!E8</f>
        <v>0.7</v>
      </c>
      <c r="C23" s="463"/>
      <c r="D23" s="463" t="n">
        <f aca="false">+Assumptions!G8</f>
        <v>1</v>
      </c>
      <c r="E23" s="463"/>
      <c r="F23" s="463" t="n">
        <f aca="false">+Assumptions!I8</f>
        <v>1</v>
      </c>
      <c r="G23" s="463"/>
      <c r="H23" s="463" t="n">
        <f aca="false">+Assumptions!K8</f>
        <v>1</v>
      </c>
      <c r="I23" s="463"/>
      <c r="J23" s="463" t="n">
        <f aca="false">+Assumptions!M8</f>
        <v>1</v>
      </c>
      <c r="K23" s="463"/>
      <c r="L23" s="478"/>
    </row>
    <row r="24" customFormat="false" ht="15.75" hidden="false" customHeight="false" outlineLevel="0" collapsed="false">
      <c r="A24" s="496" t="s">
        <v>343</v>
      </c>
      <c r="B24" s="497" t="s">
        <v>3</v>
      </c>
      <c r="C24" s="497"/>
      <c r="D24" s="497" t="s">
        <v>4</v>
      </c>
      <c r="E24" s="497"/>
      <c r="F24" s="497" t="s">
        <v>5</v>
      </c>
      <c r="G24" s="497"/>
      <c r="H24" s="497" t="s">
        <v>6</v>
      </c>
      <c r="I24" s="497"/>
      <c r="J24" s="497" t="s">
        <v>7</v>
      </c>
      <c r="K24" s="497"/>
      <c r="L24" s="504" t="s">
        <v>8</v>
      </c>
    </row>
    <row r="25" customFormat="false" ht="15" hidden="false" customHeight="true" outlineLevel="0" collapsed="false">
      <c r="A25" s="499"/>
      <c r="B25" s="463"/>
      <c r="C25" s="463"/>
      <c r="D25" s="463"/>
      <c r="E25" s="463"/>
      <c r="F25" s="463"/>
      <c r="G25" s="463"/>
      <c r="H25" s="463"/>
      <c r="I25" s="463"/>
      <c r="J25" s="463"/>
      <c r="K25" s="463"/>
      <c r="L25" s="478"/>
    </row>
    <row r="26" customFormat="false" ht="15" hidden="false" customHeight="true" outlineLevel="0" collapsed="false">
      <c r="A26" s="501" t="str">
        <f aca="false">+H5</f>
        <v>Conservative Estimate </v>
      </c>
      <c r="B26" s="505" t="n">
        <f aca="false">($H$17*B21)</f>
        <v>10457600</v>
      </c>
      <c r="C26" s="505"/>
      <c r="D26" s="505" t="n">
        <f aca="false">($H$17*D21)</f>
        <v>20915200</v>
      </c>
      <c r="E26" s="505"/>
      <c r="F26" s="505" t="n">
        <f aca="false">($H$17*F21)</f>
        <v>20915200</v>
      </c>
      <c r="G26" s="505"/>
      <c r="H26" s="505" t="n">
        <f aca="false">($H$17*H21)</f>
        <v>20915200</v>
      </c>
      <c r="I26" s="505"/>
      <c r="J26" s="505" t="n">
        <f aca="false">($H$17*J21)</f>
        <v>20915200</v>
      </c>
      <c r="K26" s="505"/>
      <c r="L26" s="506" t="n">
        <f aca="false">SUM(B26:J26)</f>
        <v>94118400</v>
      </c>
    </row>
    <row r="27" customFormat="false" ht="15" hidden="false" customHeight="true" outlineLevel="0" collapsed="false">
      <c r="A27" s="502" t="str">
        <f aca="false">+J5</f>
        <v>Average Estimate </v>
      </c>
      <c r="B27" s="505" t="n">
        <f aca="false">($J$17*B22)</f>
        <v>46333500</v>
      </c>
      <c r="C27" s="505"/>
      <c r="D27" s="505" t="n">
        <f aca="false">($J$17*D22)</f>
        <v>77222500</v>
      </c>
      <c r="E27" s="505"/>
      <c r="F27" s="505" t="n">
        <f aca="false">($J$17*F22)</f>
        <v>77222500</v>
      </c>
      <c r="G27" s="505"/>
      <c r="H27" s="505" t="n">
        <f aca="false">($J$17*H22)</f>
        <v>77222500</v>
      </c>
      <c r="I27" s="505"/>
      <c r="J27" s="505" t="n">
        <f aca="false">($J$17*J22)</f>
        <v>77222500</v>
      </c>
      <c r="K27" s="505"/>
      <c r="L27" s="506" t="n">
        <f aca="false">SUM(B27:J27)</f>
        <v>355223500</v>
      </c>
    </row>
    <row r="28" customFormat="false" ht="15" hidden="false" customHeight="true" outlineLevel="0" collapsed="false">
      <c r="A28" s="503" t="str">
        <f aca="false">+L5</f>
        <v>Peak Performance</v>
      </c>
      <c r="B28" s="507" t="n">
        <f aca="false">($L$17*B23)</f>
        <v>143178000</v>
      </c>
      <c r="C28" s="507"/>
      <c r="D28" s="507" t="n">
        <f aca="false">($L$17*D23)</f>
        <v>204540000</v>
      </c>
      <c r="E28" s="507"/>
      <c r="F28" s="507" t="n">
        <f aca="false">($L$17*F23)</f>
        <v>204540000</v>
      </c>
      <c r="G28" s="507"/>
      <c r="H28" s="507" t="n">
        <f aca="false">($L$17*H23)</f>
        <v>204540000</v>
      </c>
      <c r="I28" s="507"/>
      <c r="J28" s="507" t="n">
        <f aca="false">($L$17*J23)</f>
        <v>204540000</v>
      </c>
      <c r="K28" s="507"/>
      <c r="L28" s="508" t="n">
        <f aca="false">SUM(B28:J28)</f>
        <v>961338000</v>
      </c>
    </row>
    <row r="29" customFormat="false" ht="15" hidden="false" customHeight="true" outlineLevel="0" collapsed="false">
      <c r="A29" s="509"/>
      <c r="B29" s="510"/>
      <c r="C29" s="510"/>
      <c r="D29" s="510"/>
      <c r="E29" s="510"/>
      <c r="F29" s="510"/>
      <c r="G29" s="510"/>
      <c r="H29" s="511"/>
      <c r="I29" s="500"/>
      <c r="J29" s="511"/>
      <c r="K29" s="500"/>
      <c r="L29" s="512"/>
    </row>
    <row r="30" customFormat="false" ht="11.45" hidden="false" customHeight="true" outlineLevel="0" collapsed="false">
      <c r="A30" s="463"/>
      <c r="B30" s="463"/>
      <c r="C30" s="463"/>
      <c r="D30" s="463"/>
      <c r="E30" s="463"/>
      <c r="F30" s="463"/>
      <c r="G30" s="463"/>
      <c r="H30" s="463"/>
      <c r="I30" s="463"/>
      <c r="J30" s="463"/>
      <c r="K30" s="463"/>
      <c r="L30" s="463"/>
    </row>
    <row r="31" customFormat="false" ht="11.45" hidden="false" customHeight="true" outlineLevel="0" collapsed="false">
      <c r="A31" s="513"/>
      <c r="B31" s="463"/>
      <c r="C31" s="463"/>
      <c r="D31" s="463"/>
      <c r="E31" s="463"/>
      <c r="F31" s="463"/>
      <c r="G31" s="463"/>
      <c r="H31" s="93"/>
      <c r="I31" s="463"/>
      <c r="J31" s="463"/>
      <c r="K31" s="463"/>
      <c r="L31" s="463"/>
    </row>
    <row r="32" customFormat="false" ht="11.45" hidden="false" customHeight="true" outlineLevel="0" collapsed="false">
      <c r="A32" s="463"/>
      <c r="B32" s="463"/>
      <c r="C32" s="463"/>
      <c r="D32" s="463"/>
      <c r="E32" s="463"/>
      <c r="F32" s="463"/>
      <c r="G32" s="463"/>
      <c r="H32" s="463"/>
      <c r="I32" s="463"/>
      <c r="J32" s="463"/>
      <c r="K32" s="463"/>
      <c r="L32" s="463"/>
    </row>
    <row r="33" customFormat="false" ht="11.45" hidden="false" customHeight="true" outlineLevel="0" collapsed="false"/>
  </sheetData>
  <printOptions headings="false" gridLines="false" gridLinesSet="true" horizontalCentered="false" verticalCentered="false"/>
  <pageMargins left="1" right="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1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27" activeCellId="0" sqref="B27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456" width="25.7"/>
    <col collapsed="false" customWidth="true" hidden="false" outlineLevel="0" max="2" min="2" style="456" width="16.7"/>
    <col collapsed="false" customWidth="true" hidden="false" outlineLevel="0" max="3" min="3" style="456" width="1.7"/>
    <col collapsed="false" customWidth="true" hidden="false" outlineLevel="0" max="4" min="4" style="456" width="16.7"/>
    <col collapsed="false" customWidth="true" hidden="false" outlineLevel="0" max="5" min="5" style="456" width="1.7"/>
    <col collapsed="false" customWidth="true" hidden="false" outlineLevel="0" max="6" min="6" style="456" width="16.7"/>
    <col collapsed="false" customWidth="true" hidden="false" outlineLevel="0" max="7" min="7" style="456" width="1.7"/>
    <col collapsed="false" customWidth="true" hidden="false" outlineLevel="0" max="8" min="8" style="456" width="16.7"/>
    <col collapsed="false" customWidth="true" hidden="false" outlineLevel="0" max="9" min="9" style="456" width="1.7"/>
    <col collapsed="false" customWidth="true" hidden="false" outlineLevel="0" max="10" min="10" style="456" width="16.7"/>
    <col collapsed="false" customWidth="true" hidden="false" outlineLevel="0" max="11" min="11" style="456" width="1.7"/>
    <col collapsed="false" customWidth="true" hidden="false" outlineLevel="0" max="12" min="12" style="456" width="16.7"/>
    <col collapsed="false" customWidth="true" hidden="false" outlineLevel="0" max="13" min="13" style="456" width="1.56"/>
    <col collapsed="false" customWidth="false" hidden="false" outlineLevel="0" max="257" min="14" style="456" width="9.14"/>
  </cols>
  <sheetData>
    <row r="1" customFormat="false" ht="48" hidden="false" customHeight="true" outlineLevel="0" collapsed="false">
      <c r="A1" s="457"/>
      <c r="B1" s="458" t="s">
        <v>9</v>
      </c>
      <c r="C1" s="456" t="s">
        <v>9</v>
      </c>
      <c r="H1" s="26"/>
      <c r="I1" s="26"/>
      <c r="J1" s="26"/>
      <c r="K1" s="26"/>
      <c r="L1" s="26"/>
      <c r="M1" s="26"/>
      <c r="N1" s="26"/>
    </row>
    <row r="2" customFormat="false" ht="32.25" hidden="false" customHeight="true" outlineLevel="0" collapsed="false">
      <c r="A2" s="459" t="s">
        <v>362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1"/>
    </row>
    <row r="3" customFormat="false" ht="15" hidden="false" customHeight="true" outlineLevel="0" collapsed="false">
      <c r="A3" s="499" t="s">
        <v>363</v>
      </c>
      <c r="B3" s="463"/>
      <c r="C3" s="464"/>
      <c r="D3" s="465"/>
      <c r="E3" s="465"/>
      <c r="F3" s="465"/>
      <c r="G3" s="465"/>
      <c r="H3" s="465"/>
      <c r="I3" s="465"/>
      <c r="J3" s="465"/>
      <c r="K3" s="465"/>
      <c r="L3" s="466"/>
    </row>
    <row r="4" customFormat="false" ht="15" hidden="false" customHeight="true" outlineLevel="0" collapsed="false">
      <c r="A4" s="515"/>
      <c r="B4" s="516"/>
      <c r="C4" s="464"/>
      <c r="D4" s="465"/>
      <c r="E4" s="465"/>
      <c r="F4" s="465"/>
      <c r="G4" s="465"/>
      <c r="H4" s="465"/>
      <c r="I4" s="465"/>
      <c r="J4" s="465"/>
      <c r="K4" s="465"/>
      <c r="L4" s="466"/>
    </row>
    <row r="5" customFormat="false" ht="33" hidden="false" customHeight="true" outlineLevel="0" collapsed="false">
      <c r="A5" s="467" t="s">
        <v>328</v>
      </c>
      <c r="B5" s="468"/>
      <c r="C5" s="468"/>
      <c r="D5" s="468"/>
      <c r="E5" s="468"/>
      <c r="F5" s="468"/>
      <c r="G5" s="468"/>
      <c r="H5" s="469" t="str">
        <f aca="false">R1!H8</f>
        <v>Conservative Estimate </v>
      </c>
      <c r="I5" s="470"/>
      <c r="J5" s="469" t="str">
        <f aca="false">R1!J8</f>
        <v>Average Estimate </v>
      </c>
      <c r="K5" s="470"/>
      <c r="L5" s="471" t="str">
        <f aca="false">R1!L8</f>
        <v>Peak Performance</v>
      </c>
    </row>
    <row r="6" customFormat="false" ht="15" hidden="false" customHeight="true" outlineLevel="0" collapsed="false">
      <c r="A6" s="472" t="s">
        <v>332</v>
      </c>
      <c r="B6" s="517" t="str">
        <f aca="false">+E1!A2</f>
        <v>Cost of Sales</v>
      </c>
      <c r="C6" s="463"/>
      <c r="D6" s="463"/>
      <c r="E6" s="463"/>
      <c r="F6" s="463"/>
      <c r="G6" s="463"/>
      <c r="H6" s="474" t="n">
        <f aca="false">+E1!H17</f>
        <v>0</v>
      </c>
      <c r="I6" s="474"/>
      <c r="J6" s="474" t="n">
        <f aca="false">+E1!J17</f>
        <v>0</v>
      </c>
      <c r="K6" s="474"/>
      <c r="L6" s="476" t="n">
        <f aca="false">+E1!L17</f>
        <v>0</v>
      </c>
    </row>
    <row r="7" customFormat="false" ht="15" hidden="false" customHeight="true" outlineLevel="0" collapsed="false">
      <c r="A7" s="472"/>
      <c r="B7" s="517" t="str">
        <f aca="false">+E2!A2</f>
        <v>Better Vendor Matching</v>
      </c>
      <c r="C7" s="463"/>
      <c r="D7" s="463"/>
      <c r="E7" s="463"/>
      <c r="F7" s="463"/>
      <c r="G7" s="463"/>
      <c r="H7" s="474" t="n">
        <f aca="false">+E2!H17</f>
        <v>20915200</v>
      </c>
      <c r="I7" s="474"/>
      <c r="J7" s="474" t="n">
        <f aca="false">+E2!J17</f>
        <v>77222500</v>
      </c>
      <c r="K7" s="474"/>
      <c r="L7" s="476" t="n">
        <f aca="false">+E2!L17</f>
        <v>204540000</v>
      </c>
    </row>
    <row r="8" customFormat="false" ht="14.25" hidden="false" customHeight="false" outlineLevel="0" collapsed="false">
      <c r="A8" s="499"/>
      <c r="B8" s="518" t="str">
        <f aca="false">+E3!A2</f>
        <v>Reduction in Maverick Spend</v>
      </c>
      <c r="C8" s="463"/>
      <c r="D8" s="463"/>
      <c r="E8" s="463"/>
      <c r="F8" s="463"/>
      <c r="G8" s="463"/>
      <c r="H8" s="475" t="n">
        <f aca="false">+E3!H17</f>
        <v>20915200</v>
      </c>
      <c r="I8" s="463"/>
      <c r="J8" s="475" t="n">
        <f aca="false">+E3!J17</f>
        <v>77222500</v>
      </c>
      <c r="K8" s="463"/>
      <c r="L8" s="477" t="n">
        <f aca="false">+E3!L17</f>
        <v>204540000</v>
      </c>
    </row>
    <row r="9" customFormat="false" ht="15" hidden="false" customHeight="true" outlineLevel="0" collapsed="false">
      <c r="A9" s="472"/>
      <c r="B9" s="517" t="s">
        <v>23</v>
      </c>
      <c r="C9" s="463"/>
      <c r="D9" s="463"/>
      <c r="E9" s="463"/>
      <c r="F9" s="463"/>
      <c r="G9" s="463"/>
      <c r="H9" s="474" t="n">
        <f aca="false">+E5!H16</f>
        <v>20915200</v>
      </c>
      <c r="I9" s="463"/>
      <c r="J9" s="474" t="n">
        <f aca="false">+E5!J16</f>
        <v>61778000</v>
      </c>
      <c r="K9" s="463"/>
      <c r="L9" s="476" t="n">
        <f aca="false">+E5!L16</f>
        <v>122724000</v>
      </c>
    </row>
    <row r="10" customFormat="false" ht="14.25" hidden="false" customHeight="false" outlineLevel="0" collapsed="false">
      <c r="A10" s="499"/>
      <c r="B10" s="463" t="str">
        <f aca="false">+E6!A2</f>
        <v>Purchasing Labor Reduction (Automation)</v>
      </c>
      <c r="C10" s="463"/>
      <c r="D10" s="463"/>
      <c r="E10" s="463"/>
      <c r="F10" s="463"/>
      <c r="G10" s="463"/>
      <c r="H10" s="475" t="n">
        <f aca="false">+E6!H17</f>
        <v>839200</v>
      </c>
      <c r="I10" s="463"/>
      <c r="J10" s="475" t="n">
        <f aca="false">+E6!J17</f>
        <v>2517600</v>
      </c>
      <c r="K10" s="463"/>
      <c r="L10" s="477" t="n">
        <f aca="false">+E6!L17</f>
        <v>6294000</v>
      </c>
    </row>
    <row r="11" customFormat="false" ht="15" hidden="false" customHeight="true" outlineLevel="0" collapsed="false">
      <c r="A11" s="472"/>
      <c r="B11" s="463" t="s">
        <v>364</v>
      </c>
      <c r="C11" s="463"/>
      <c r="D11" s="463"/>
      <c r="E11" s="463"/>
      <c r="F11" s="463"/>
      <c r="G11" s="463"/>
      <c r="H11" s="474" t="n">
        <f aca="false">E7!$B$27</f>
        <v>0</v>
      </c>
      <c r="I11" s="474"/>
      <c r="J11" s="474" t="n">
        <f aca="false">E7!$B$28</f>
        <v>0</v>
      </c>
      <c r="K11" s="474"/>
      <c r="L11" s="476" t="n">
        <f aca="false">E7!$B$29</f>
        <v>0</v>
      </c>
    </row>
    <row r="12" customFormat="false" ht="15" hidden="false" customHeight="true" outlineLevel="0" collapsed="false">
      <c r="A12" s="472"/>
      <c r="B12" s="463" t="str">
        <f aca="false">+A1!B17</f>
        <v>A/R Expense Reduction - Cost of Capital</v>
      </c>
      <c r="C12" s="463"/>
      <c r="D12" s="463"/>
      <c r="E12" s="463"/>
      <c r="F12" s="463"/>
      <c r="G12" s="463"/>
      <c r="H12" s="474" t="n">
        <f aca="false">+A1!H17</f>
        <v>0</v>
      </c>
      <c r="I12" s="463"/>
      <c r="J12" s="474" t="n">
        <f aca="false">+A1!J17</f>
        <v>0</v>
      </c>
      <c r="K12" s="463"/>
      <c r="L12" s="476" t="n">
        <f aca="false">+A1!L17</f>
        <v>0</v>
      </c>
    </row>
    <row r="13" customFormat="false" ht="15" hidden="false" customHeight="true" outlineLevel="0" collapsed="false">
      <c r="A13" s="472"/>
      <c r="B13" s="463" t="str">
        <f aca="false">+A2!B17</f>
        <v>Inventory Expense Reduction </v>
      </c>
      <c r="C13" s="463"/>
      <c r="D13" s="463"/>
      <c r="E13" s="463"/>
      <c r="F13" s="463"/>
      <c r="G13" s="463"/>
      <c r="H13" s="474" t="n">
        <f aca="false">+A2!H17</f>
        <v>1080000</v>
      </c>
      <c r="I13" s="463"/>
      <c r="J13" s="474" t="n">
        <f aca="false">+A2!J17</f>
        <v>2700000</v>
      </c>
      <c r="K13" s="463"/>
      <c r="L13" s="476" t="n">
        <f aca="false">+A2!L17</f>
        <v>5400000</v>
      </c>
    </row>
    <row r="14" customFormat="false" ht="15" hidden="false" customHeight="true" outlineLevel="0" collapsed="false">
      <c r="A14" s="472"/>
      <c r="B14" s="463"/>
      <c r="C14" s="463"/>
      <c r="D14" s="463"/>
      <c r="E14" s="463"/>
      <c r="F14" s="463"/>
      <c r="G14" s="463"/>
      <c r="H14" s="463"/>
      <c r="I14" s="463"/>
      <c r="J14" s="463"/>
      <c r="K14" s="463"/>
      <c r="L14" s="478"/>
    </row>
    <row r="15" customFormat="false" ht="15" hidden="false" customHeight="true" outlineLevel="0" collapsed="false">
      <c r="A15" s="472" t="s">
        <v>337</v>
      </c>
      <c r="B15" s="463" t="s">
        <v>365</v>
      </c>
      <c r="C15" s="463"/>
      <c r="D15" s="463"/>
      <c r="E15" s="463"/>
      <c r="F15" s="463"/>
      <c r="G15" s="463"/>
      <c r="H15" s="482" t="n">
        <f aca="false">SUM(H6:H14)</f>
        <v>64664800</v>
      </c>
      <c r="I15" s="483"/>
      <c r="J15" s="482" t="n">
        <f aca="false">SUM(J6:J14)</f>
        <v>221440600</v>
      </c>
      <c r="K15" s="482"/>
      <c r="L15" s="484" t="n">
        <f aca="false">SUM(L6:L14)</f>
        <v>543498000</v>
      </c>
    </row>
    <row r="16" customFormat="false" ht="15" hidden="false" customHeight="true" outlineLevel="0" collapsed="false">
      <c r="A16" s="472"/>
      <c r="B16" s="517" t="s">
        <v>366</v>
      </c>
      <c r="C16" s="463"/>
      <c r="D16" s="463"/>
      <c r="E16" s="463"/>
      <c r="F16" s="463"/>
      <c r="G16" s="463"/>
      <c r="H16" s="485" t="n">
        <f aca="false">I!F39</f>
        <v>0.1</v>
      </c>
      <c r="I16" s="485" t="n">
        <f aca="false">I!G39</f>
        <v>0</v>
      </c>
      <c r="J16" s="485" t="n">
        <f aca="false">I!H39</f>
        <v>0.1</v>
      </c>
      <c r="K16" s="485" t="n">
        <f aca="false">I!I39</f>
        <v>0</v>
      </c>
      <c r="L16" s="487" t="n">
        <f aca="false">I!J39</f>
        <v>0.1</v>
      </c>
    </row>
    <row r="17" customFormat="false" ht="15" hidden="false" customHeight="true" outlineLevel="0" collapsed="false">
      <c r="A17" s="499"/>
      <c r="B17" s="465"/>
      <c r="C17" s="463"/>
      <c r="D17" s="463"/>
      <c r="E17" s="463"/>
      <c r="F17" s="463"/>
      <c r="G17" s="463"/>
      <c r="H17" s="488"/>
      <c r="I17" s="488"/>
      <c r="J17" s="488"/>
      <c r="K17" s="488"/>
      <c r="L17" s="491"/>
    </row>
    <row r="18" customFormat="false" ht="15" hidden="false" customHeight="true" outlineLevel="0" collapsed="false">
      <c r="A18" s="499"/>
      <c r="B18" s="463" t="s">
        <v>353</v>
      </c>
      <c r="C18" s="463"/>
      <c r="D18" s="463"/>
      <c r="E18" s="463"/>
      <c r="F18" s="463"/>
      <c r="G18" s="463"/>
      <c r="H18" s="475" t="n">
        <f aca="false">IF(ISERROR(H15*H16),0,(H15*H16))</f>
        <v>6466480</v>
      </c>
      <c r="I18" s="475"/>
      <c r="J18" s="475" t="n">
        <f aca="false">IF(ISERROR(J15*J16),0,(J15*J16))</f>
        <v>22144060</v>
      </c>
      <c r="K18" s="475"/>
      <c r="L18" s="477" t="n">
        <f aca="false">IF(ISERROR(L15*L16),0,(L15*L16))</f>
        <v>54349800</v>
      </c>
    </row>
    <row r="19" customFormat="false" ht="15" hidden="false" customHeight="true" outlineLevel="0" collapsed="false">
      <c r="A19" s="519"/>
      <c r="B19" s="493"/>
      <c r="C19" s="493"/>
      <c r="D19" s="493"/>
      <c r="E19" s="493"/>
      <c r="F19" s="493"/>
      <c r="G19" s="493"/>
      <c r="H19" s="493"/>
      <c r="I19" s="494"/>
      <c r="J19" s="493"/>
      <c r="K19" s="493"/>
      <c r="L19" s="495"/>
    </row>
    <row r="20" customFormat="false" ht="15.75" hidden="false" customHeight="false" outlineLevel="0" collapsed="false">
      <c r="A20" s="496" t="s">
        <v>342</v>
      </c>
      <c r="B20" s="497" t="s">
        <v>3</v>
      </c>
      <c r="C20" s="468"/>
      <c r="D20" s="497" t="s">
        <v>4</v>
      </c>
      <c r="E20" s="468"/>
      <c r="F20" s="497" t="s">
        <v>5</v>
      </c>
      <c r="G20" s="468"/>
      <c r="H20" s="497" t="s">
        <v>6</v>
      </c>
      <c r="I20" s="497"/>
      <c r="J20" s="497" t="s">
        <v>7</v>
      </c>
      <c r="K20" s="468"/>
      <c r="L20" s="498"/>
    </row>
    <row r="21" customFormat="false" ht="15" hidden="false" customHeight="true" outlineLevel="0" collapsed="false">
      <c r="A21" s="499"/>
      <c r="B21" s="463"/>
      <c r="C21" s="463"/>
      <c r="D21" s="463"/>
      <c r="E21" s="463"/>
      <c r="F21" s="463"/>
      <c r="G21" s="463"/>
      <c r="H21" s="463"/>
      <c r="I21" s="463"/>
      <c r="J21" s="463"/>
      <c r="K21" s="500"/>
      <c r="L21" s="478"/>
    </row>
    <row r="22" customFormat="false" ht="15" hidden="false" customHeight="true" outlineLevel="0" collapsed="false">
      <c r="A22" s="501" t="str">
        <f aca="false">H5</f>
        <v>Conservative Estimate </v>
      </c>
      <c r="B22" s="463" t="n">
        <f aca="false">+Assumptions!E6</f>
        <v>0.5</v>
      </c>
      <c r="C22" s="463"/>
      <c r="D22" s="463" t="n">
        <f aca="false">+Assumptions!G6</f>
        <v>1</v>
      </c>
      <c r="E22" s="463"/>
      <c r="F22" s="463" t="n">
        <f aca="false">+Assumptions!I6</f>
        <v>1</v>
      </c>
      <c r="G22" s="463"/>
      <c r="H22" s="463" t="n">
        <f aca="false">+Assumptions!K6</f>
        <v>1</v>
      </c>
      <c r="I22" s="463"/>
      <c r="J22" s="463" t="n">
        <f aca="false">+Assumptions!M6</f>
        <v>1</v>
      </c>
      <c r="K22" s="463"/>
      <c r="L22" s="478"/>
    </row>
    <row r="23" customFormat="false" ht="15" hidden="false" customHeight="true" outlineLevel="0" collapsed="false">
      <c r="A23" s="502" t="str">
        <f aca="false">J5</f>
        <v>Average Estimate </v>
      </c>
      <c r="B23" s="463" t="n">
        <f aca="false">+Assumptions!E7</f>
        <v>0.6</v>
      </c>
      <c r="C23" s="463"/>
      <c r="D23" s="463" t="n">
        <f aca="false">+Assumptions!G7</f>
        <v>1</v>
      </c>
      <c r="E23" s="463"/>
      <c r="F23" s="463" t="n">
        <f aca="false">+Assumptions!I7</f>
        <v>1</v>
      </c>
      <c r="G23" s="463"/>
      <c r="H23" s="463" t="n">
        <f aca="false">+Assumptions!K7</f>
        <v>1</v>
      </c>
      <c r="I23" s="463"/>
      <c r="J23" s="463" t="n">
        <f aca="false">+Assumptions!M7</f>
        <v>1</v>
      </c>
      <c r="K23" s="463"/>
      <c r="L23" s="478"/>
    </row>
    <row r="24" customFormat="false" ht="15" hidden="false" customHeight="true" outlineLevel="0" collapsed="false">
      <c r="A24" s="503" t="str">
        <f aca="false">L5</f>
        <v>Peak Performance</v>
      </c>
      <c r="B24" s="463" t="n">
        <f aca="false">+Assumptions!E8</f>
        <v>0.7</v>
      </c>
      <c r="C24" s="463"/>
      <c r="D24" s="463" t="n">
        <f aca="false">+Assumptions!G8</f>
        <v>1</v>
      </c>
      <c r="E24" s="463"/>
      <c r="F24" s="463" t="n">
        <f aca="false">+Assumptions!I8</f>
        <v>1</v>
      </c>
      <c r="G24" s="463"/>
      <c r="H24" s="463" t="n">
        <f aca="false">+Assumptions!K8</f>
        <v>1</v>
      </c>
      <c r="I24" s="463"/>
      <c r="J24" s="463" t="n">
        <f aca="false">+Assumptions!M8</f>
        <v>1</v>
      </c>
      <c r="K24" s="463"/>
      <c r="L24" s="478"/>
    </row>
    <row r="25" customFormat="false" ht="15.75" hidden="false" customHeight="false" outlineLevel="0" collapsed="false">
      <c r="A25" s="496" t="s">
        <v>343</v>
      </c>
      <c r="B25" s="497" t="s">
        <v>3</v>
      </c>
      <c r="C25" s="497"/>
      <c r="D25" s="497" t="s">
        <v>4</v>
      </c>
      <c r="E25" s="497"/>
      <c r="F25" s="497" t="s">
        <v>5</v>
      </c>
      <c r="G25" s="497"/>
      <c r="H25" s="497" t="s">
        <v>6</v>
      </c>
      <c r="I25" s="497"/>
      <c r="J25" s="497" t="s">
        <v>7</v>
      </c>
      <c r="K25" s="497"/>
      <c r="L25" s="504" t="s">
        <v>8</v>
      </c>
    </row>
    <row r="26" customFormat="false" ht="15" hidden="false" customHeight="true" outlineLevel="0" collapsed="false">
      <c r="A26" s="499"/>
      <c r="B26" s="463"/>
      <c r="C26" s="463"/>
      <c r="D26" s="463"/>
      <c r="E26" s="463"/>
      <c r="F26" s="463"/>
      <c r="G26" s="463"/>
      <c r="H26" s="463"/>
      <c r="I26" s="463"/>
      <c r="J26" s="463"/>
      <c r="K26" s="463"/>
      <c r="L26" s="478"/>
    </row>
    <row r="27" customFormat="false" ht="15" hidden="false" customHeight="true" outlineLevel="0" collapsed="false">
      <c r="A27" s="501" t="str">
        <f aca="false">+H5</f>
        <v>Conservative Estimate </v>
      </c>
      <c r="B27" s="505" t="n">
        <f aca="false">($H$18*B22)</f>
        <v>3233240</v>
      </c>
      <c r="C27" s="505"/>
      <c r="D27" s="505" t="n">
        <f aca="false">($H$18*D22)</f>
        <v>6466480</v>
      </c>
      <c r="E27" s="505"/>
      <c r="F27" s="505" t="n">
        <f aca="false">($H$18*F22)</f>
        <v>6466480</v>
      </c>
      <c r="G27" s="505"/>
      <c r="H27" s="505" t="n">
        <f aca="false">($H$18*H22)</f>
        <v>6466480</v>
      </c>
      <c r="I27" s="505"/>
      <c r="J27" s="505" t="n">
        <f aca="false">($H$18*J22)</f>
        <v>6466480</v>
      </c>
      <c r="K27" s="505"/>
      <c r="L27" s="506" t="n">
        <f aca="false">SUM(B27:J27)</f>
        <v>29099160</v>
      </c>
    </row>
    <row r="28" customFormat="false" ht="15" hidden="false" customHeight="true" outlineLevel="0" collapsed="false">
      <c r="A28" s="502" t="str">
        <f aca="false">+J5</f>
        <v>Average Estimate </v>
      </c>
      <c r="B28" s="505" t="n">
        <f aca="false">($J$18*B23)</f>
        <v>13286436</v>
      </c>
      <c r="C28" s="505"/>
      <c r="D28" s="505" t="n">
        <f aca="false">($J$18*D23)</f>
        <v>22144060</v>
      </c>
      <c r="E28" s="505"/>
      <c r="F28" s="505" t="n">
        <f aca="false">($J$18*F23)</f>
        <v>22144060</v>
      </c>
      <c r="G28" s="505"/>
      <c r="H28" s="505" t="n">
        <f aca="false">($J$18*H23)</f>
        <v>22144060</v>
      </c>
      <c r="I28" s="505"/>
      <c r="J28" s="505" t="n">
        <f aca="false">($J$18*J23)</f>
        <v>22144060</v>
      </c>
      <c r="K28" s="505"/>
      <c r="L28" s="506" t="n">
        <f aca="false">SUM(B28:J28)</f>
        <v>101862676</v>
      </c>
    </row>
    <row r="29" customFormat="false" ht="15" hidden="false" customHeight="true" outlineLevel="0" collapsed="false">
      <c r="A29" s="503" t="str">
        <f aca="false">+L5</f>
        <v>Peak Performance</v>
      </c>
      <c r="B29" s="507" t="n">
        <f aca="false">($L$18*B24)</f>
        <v>38044860</v>
      </c>
      <c r="C29" s="507"/>
      <c r="D29" s="507" t="n">
        <f aca="false">($L$18*D24)</f>
        <v>54349800</v>
      </c>
      <c r="E29" s="507"/>
      <c r="F29" s="507" t="n">
        <f aca="false">($L$18*F24)</f>
        <v>54349800</v>
      </c>
      <c r="G29" s="507"/>
      <c r="H29" s="507" t="n">
        <f aca="false">($L$18*H24)</f>
        <v>54349800</v>
      </c>
      <c r="I29" s="507"/>
      <c r="J29" s="507" t="n">
        <f aca="false">($L$18*J24)</f>
        <v>54349800</v>
      </c>
      <c r="K29" s="507"/>
      <c r="L29" s="508" t="n">
        <f aca="false">SUM(B29:J29)</f>
        <v>255444060</v>
      </c>
    </row>
    <row r="30" customFormat="false" ht="15" hidden="false" customHeight="true" outlineLevel="0" collapsed="false">
      <c r="A30" s="509"/>
      <c r="B30" s="510"/>
      <c r="C30" s="510"/>
      <c r="D30" s="510"/>
      <c r="E30" s="510"/>
      <c r="F30" s="510"/>
      <c r="G30" s="510"/>
      <c r="H30" s="511"/>
      <c r="I30" s="500"/>
      <c r="J30" s="511"/>
      <c r="K30" s="500"/>
      <c r="L30" s="512"/>
    </row>
    <row r="31" customFormat="false" ht="11.45" hidden="false" customHeight="true" outlineLevel="0" collapsed="false">
      <c r="A31" s="463"/>
      <c r="B31" s="463"/>
      <c r="C31" s="463"/>
      <c r="D31" s="463"/>
      <c r="E31" s="463"/>
      <c r="F31" s="463"/>
      <c r="G31" s="463"/>
      <c r="H31" s="463"/>
      <c r="I31" s="463"/>
      <c r="J31" s="463"/>
      <c r="K31" s="463"/>
      <c r="L31" s="463"/>
    </row>
  </sheetData>
  <printOptions headings="false" gridLines="false" gridLinesSet="true" horizontalCentered="false" verticalCentered="false"/>
  <pageMargins left="1" right="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8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L16" activeCellId="0" sqref="L16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456" width="25.7"/>
    <col collapsed="false" customWidth="true" hidden="false" outlineLevel="0" max="2" min="2" style="456" width="16.7"/>
    <col collapsed="false" customWidth="true" hidden="false" outlineLevel="0" max="3" min="3" style="456" width="1.85"/>
    <col collapsed="false" customWidth="true" hidden="false" outlineLevel="0" max="4" min="4" style="456" width="16.7"/>
    <col collapsed="false" customWidth="true" hidden="false" outlineLevel="0" max="5" min="5" style="456" width="1.7"/>
    <col collapsed="false" customWidth="true" hidden="false" outlineLevel="0" max="6" min="6" style="456" width="16.7"/>
    <col collapsed="false" customWidth="true" hidden="false" outlineLevel="0" max="7" min="7" style="456" width="1.7"/>
    <col collapsed="false" customWidth="true" hidden="false" outlineLevel="0" max="8" min="8" style="456" width="16.7"/>
    <col collapsed="false" customWidth="true" hidden="false" outlineLevel="0" max="9" min="9" style="456" width="1.7"/>
    <col collapsed="false" customWidth="true" hidden="false" outlineLevel="0" max="10" min="10" style="456" width="16.7"/>
    <col collapsed="false" customWidth="true" hidden="false" outlineLevel="0" max="11" min="11" style="456" width="1.7"/>
    <col collapsed="false" customWidth="true" hidden="false" outlineLevel="0" max="12" min="12" style="456" width="16.7"/>
    <col collapsed="false" customWidth="true" hidden="false" outlineLevel="0" max="13" min="13" style="456" width="1.41"/>
    <col collapsed="false" customWidth="false" hidden="false" outlineLevel="0" max="257" min="14" style="456" width="9.14"/>
  </cols>
  <sheetData>
    <row r="1" customFormat="false" ht="48" hidden="false" customHeight="true" outlineLevel="0" collapsed="false">
      <c r="A1" s="457"/>
      <c r="B1" s="520" t="s">
        <v>9</v>
      </c>
      <c r="C1" s="521" t="s">
        <v>9</v>
      </c>
      <c r="H1" s="26"/>
      <c r="I1" s="26"/>
      <c r="J1" s="26"/>
      <c r="K1" s="26"/>
      <c r="L1" s="26"/>
      <c r="M1" s="26"/>
      <c r="N1" s="26"/>
    </row>
    <row r="2" customFormat="false" ht="32.25" hidden="false" customHeight="true" outlineLevel="0" collapsed="false">
      <c r="A2" s="459" t="s">
        <v>367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1"/>
    </row>
    <row r="3" customFormat="false" ht="15" hidden="false" customHeight="true" outlineLevel="0" collapsed="false">
      <c r="A3" s="462" t="s">
        <v>368</v>
      </c>
      <c r="B3" s="463"/>
      <c r="C3" s="464"/>
      <c r="D3" s="465"/>
      <c r="E3" s="465"/>
      <c r="F3" s="465"/>
      <c r="G3" s="465"/>
      <c r="H3" s="465"/>
      <c r="I3" s="465"/>
      <c r="J3" s="465"/>
      <c r="K3" s="465"/>
      <c r="L3" s="466"/>
    </row>
    <row r="4" customFormat="false" ht="15" hidden="false" customHeight="true" outlineLevel="0" collapsed="false">
      <c r="A4" s="462"/>
      <c r="B4" s="463"/>
      <c r="C4" s="464"/>
      <c r="D4" s="465"/>
      <c r="E4" s="465"/>
      <c r="F4" s="465"/>
      <c r="G4" s="465"/>
      <c r="H4" s="465"/>
      <c r="I4" s="465"/>
      <c r="J4" s="465"/>
      <c r="K4" s="465"/>
      <c r="L4" s="466"/>
    </row>
    <row r="5" customFormat="false" ht="33" hidden="false" customHeight="true" outlineLevel="0" collapsed="false">
      <c r="A5" s="467" t="s">
        <v>328</v>
      </c>
      <c r="B5" s="468"/>
      <c r="C5" s="468"/>
      <c r="D5" s="468"/>
      <c r="E5" s="468"/>
      <c r="F5" s="468"/>
      <c r="G5" s="468"/>
      <c r="H5" s="469" t="str">
        <f aca="false">R1!H8</f>
        <v>Conservative Estimate </v>
      </c>
      <c r="I5" s="470"/>
      <c r="J5" s="469" t="str">
        <f aca="false">R1!J8</f>
        <v>Average Estimate </v>
      </c>
      <c r="K5" s="470"/>
      <c r="L5" s="471" t="str">
        <f aca="false">R1!L8</f>
        <v>Peak Performance</v>
      </c>
    </row>
    <row r="6" customFormat="false" ht="15" hidden="false" customHeight="true" outlineLevel="0" collapsed="false">
      <c r="A6" s="472" t="s">
        <v>332</v>
      </c>
      <c r="B6" s="463" t="s">
        <v>369</v>
      </c>
      <c r="C6" s="463"/>
      <c r="D6" s="463"/>
      <c r="E6" s="463"/>
      <c r="F6" s="463"/>
      <c r="G6" s="463"/>
      <c r="H6" s="475" t="n">
        <f aca="false">Assumptions!E90</f>
        <v>1045760000</v>
      </c>
      <c r="I6" s="475"/>
      <c r="J6" s="475" t="n">
        <f aca="false">Assumptions!G90</f>
        <v>1544450000</v>
      </c>
      <c r="K6" s="475"/>
      <c r="L6" s="475" t="n">
        <f aca="false">Assumptions!I90</f>
        <v>2045400000</v>
      </c>
    </row>
    <row r="7" customFormat="false" ht="15" hidden="false" customHeight="true" outlineLevel="0" collapsed="false">
      <c r="A7" s="472"/>
      <c r="B7" s="463"/>
      <c r="C7" s="463"/>
      <c r="D7" s="463"/>
      <c r="E7" s="463"/>
      <c r="F7" s="463"/>
      <c r="G7" s="463"/>
      <c r="H7" s="474"/>
      <c r="I7" s="474"/>
      <c r="J7" s="474"/>
      <c r="K7" s="474"/>
      <c r="L7" s="476"/>
    </row>
    <row r="8" customFormat="false" ht="15" hidden="false" customHeight="true" outlineLevel="0" collapsed="false">
      <c r="A8" s="472"/>
      <c r="B8" s="463"/>
      <c r="C8" s="463"/>
      <c r="D8" s="463"/>
      <c r="E8" s="463"/>
      <c r="F8" s="463"/>
      <c r="G8" s="463"/>
      <c r="H8" s="474"/>
      <c r="I8" s="463"/>
      <c r="J8" s="474"/>
      <c r="K8" s="463"/>
      <c r="L8" s="476"/>
    </row>
    <row r="9" customFormat="false" ht="15" hidden="false" customHeight="true" outlineLevel="0" collapsed="false">
      <c r="A9" s="472"/>
      <c r="B9" s="463"/>
      <c r="C9" s="463"/>
      <c r="D9" s="463"/>
      <c r="E9" s="463"/>
      <c r="F9" s="463"/>
      <c r="G9" s="463"/>
      <c r="H9" s="474"/>
      <c r="I9" s="463"/>
      <c r="J9" s="474"/>
      <c r="K9" s="463"/>
      <c r="L9" s="476"/>
    </row>
    <row r="10" customFormat="false" ht="15" hidden="false" customHeight="true" outlineLevel="0" collapsed="false">
      <c r="A10" s="472"/>
      <c r="B10" s="463"/>
      <c r="C10" s="463"/>
      <c r="D10" s="463"/>
      <c r="E10" s="463"/>
      <c r="F10" s="463"/>
      <c r="G10" s="463"/>
      <c r="H10" s="474"/>
      <c r="I10" s="463"/>
      <c r="J10" s="474"/>
      <c r="K10" s="463"/>
      <c r="L10" s="476"/>
    </row>
    <row r="11" customFormat="false" ht="15" hidden="false" customHeight="true" outlineLevel="0" collapsed="false">
      <c r="A11" s="472" t="s">
        <v>335</v>
      </c>
      <c r="B11" s="463" t="s">
        <v>370</v>
      </c>
      <c r="C11" s="463"/>
      <c r="D11" s="93"/>
      <c r="E11" s="463"/>
      <c r="F11" s="463"/>
      <c r="G11" s="463"/>
      <c r="H11" s="479" t="n">
        <f aca="false">+Assumptions!E35</f>
        <v>0.02</v>
      </c>
      <c r="I11" s="463"/>
      <c r="J11" s="479" t="n">
        <f aca="false">+Assumptions!G35</f>
        <v>0.04</v>
      </c>
      <c r="K11" s="480"/>
      <c r="L11" s="481" t="n">
        <f aca="false">+Assumptions!I35</f>
        <v>0.06</v>
      </c>
    </row>
    <row r="12" customFormat="false" ht="15" hidden="false" customHeight="true" outlineLevel="0" collapsed="false">
      <c r="A12" s="472"/>
      <c r="B12" s="463"/>
      <c r="C12" s="463"/>
      <c r="D12" s="463"/>
      <c r="E12" s="463"/>
      <c r="F12" s="463"/>
      <c r="G12" s="463"/>
      <c r="H12" s="463"/>
      <c r="I12" s="463"/>
      <c r="J12" s="463"/>
      <c r="K12" s="463"/>
      <c r="L12" s="478"/>
    </row>
    <row r="13" customFormat="false" ht="15" hidden="false" customHeight="true" outlineLevel="0" collapsed="false">
      <c r="A13" s="472" t="s">
        <v>337</v>
      </c>
      <c r="B13" s="463" t="s">
        <v>371</v>
      </c>
      <c r="C13" s="463"/>
      <c r="D13" s="463"/>
      <c r="E13" s="463"/>
      <c r="F13" s="463"/>
      <c r="G13" s="463"/>
      <c r="H13" s="482" t="n">
        <f aca="false">SUM(H6:H10)</f>
        <v>1045760000</v>
      </c>
      <c r="I13" s="483"/>
      <c r="J13" s="482" t="n">
        <f aca="false">SUM(J6:J10)</f>
        <v>1544450000</v>
      </c>
      <c r="K13" s="482"/>
      <c r="L13" s="484" t="n">
        <f aca="false">SUM(L6:L10)</f>
        <v>2045400000</v>
      </c>
    </row>
    <row r="14" customFormat="false" ht="15" hidden="false" customHeight="true" outlineLevel="0" collapsed="false">
      <c r="A14" s="472"/>
      <c r="B14" s="463" t="s">
        <v>372</v>
      </c>
      <c r="C14" s="463"/>
      <c r="D14" s="463"/>
      <c r="E14" s="463"/>
      <c r="F14" s="463"/>
      <c r="G14" s="463"/>
      <c r="H14" s="486" t="n">
        <f aca="false">H11</f>
        <v>0.02</v>
      </c>
      <c r="I14" s="493"/>
      <c r="J14" s="486" t="n">
        <f aca="false">J11</f>
        <v>0.04</v>
      </c>
      <c r="K14" s="522"/>
      <c r="L14" s="523" t="n">
        <f aca="false">L11</f>
        <v>0.06</v>
      </c>
    </row>
    <row r="15" customFormat="false" ht="15" hidden="false" customHeight="true" outlineLevel="0" collapsed="false">
      <c r="A15" s="472"/>
      <c r="B15" s="465"/>
      <c r="C15" s="463"/>
      <c r="D15" s="463"/>
      <c r="E15" s="463"/>
      <c r="F15" s="463"/>
      <c r="G15" s="463"/>
      <c r="H15" s="488"/>
      <c r="I15" s="489"/>
      <c r="J15" s="490"/>
      <c r="K15" s="488"/>
      <c r="L15" s="491"/>
    </row>
    <row r="16" customFormat="false" ht="15" hidden="false" customHeight="true" outlineLevel="0" collapsed="false">
      <c r="A16" s="524"/>
      <c r="B16" s="463" t="s">
        <v>353</v>
      </c>
      <c r="C16" s="463"/>
      <c r="D16" s="463"/>
      <c r="E16" s="463"/>
      <c r="F16" s="463"/>
      <c r="G16" s="463"/>
      <c r="H16" s="475" t="n">
        <f aca="false">H13*H14</f>
        <v>20915200</v>
      </c>
      <c r="I16" s="475"/>
      <c r="J16" s="475" t="n">
        <f aca="false">J13*J14</f>
        <v>61778000</v>
      </c>
      <c r="K16" s="475"/>
      <c r="L16" s="475" t="n">
        <f aca="false">L13*L14</f>
        <v>122724000</v>
      </c>
    </row>
    <row r="17" customFormat="false" ht="15" hidden="false" customHeight="true" outlineLevel="0" collapsed="false">
      <c r="A17" s="525"/>
      <c r="B17" s="493"/>
      <c r="C17" s="493"/>
      <c r="D17" s="493"/>
      <c r="E17" s="493"/>
      <c r="F17" s="493"/>
      <c r="G17" s="493"/>
      <c r="H17" s="493"/>
      <c r="I17" s="494"/>
      <c r="J17" s="493"/>
      <c r="K17" s="493"/>
      <c r="L17" s="495"/>
    </row>
    <row r="18" customFormat="false" ht="15.75" hidden="false" customHeight="false" outlineLevel="0" collapsed="false">
      <c r="A18" s="496" t="s">
        <v>342</v>
      </c>
      <c r="B18" s="497" t="s">
        <v>3</v>
      </c>
      <c r="C18" s="468"/>
      <c r="D18" s="497" t="s">
        <v>4</v>
      </c>
      <c r="E18" s="468"/>
      <c r="F18" s="497" t="s">
        <v>5</v>
      </c>
      <c r="G18" s="468"/>
      <c r="H18" s="497" t="s">
        <v>6</v>
      </c>
      <c r="I18" s="497"/>
      <c r="J18" s="497" t="s">
        <v>7</v>
      </c>
      <c r="K18" s="468"/>
      <c r="L18" s="498"/>
    </row>
    <row r="19" customFormat="false" ht="15" hidden="false" customHeight="true" outlineLevel="0" collapsed="false">
      <c r="A19" s="499" t="s">
        <v>373</v>
      </c>
      <c r="B19" s="463"/>
      <c r="C19" s="463"/>
      <c r="D19" s="463"/>
      <c r="E19" s="463"/>
      <c r="F19" s="463"/>
      <c r="G19" s="463"/>
      <c r="H19" s="463"/>
      <c r="I19" s="463"/>
      <c r="J19" s="463"/>
      <c r="K19" s="500"/>
      <c r="L19" s="478"/>
    </row>
    <row r="20" customFormat="false" ht="15" hidden="false" customHeight="true" outlineLevel="0" collapsed="false">
      <c r="A20" s="501" t="str">
        <f aca="false">H5</f>
        <v>Conservative Estimate </v>
      </c>
      <c r="B20" s="463" t="n">
        <f aca="false">+Assumptions!E6</f>
        <v>0.5</v>
      </c>
      <c r="C20" s="463"/>
      <c r="D20" s="463" t="n">
        <f aca="false">+Assumptions!G6</f>
        <v>1</v>
      </c>
      <c r="E20" s="463"/>
      <c r="F20" s="463" t="n">
        <f aca="false">+Assumptions!I6</f>
        <v>1</v>
      </c>
      <c r="G20" s="463"/>
      <c r="H20" s="463" t="n">
        <f aca="false">+Assumptions!K6</f>
        <v>1</v>
      </c>
      <c r="I20" s="463"/>
      <c r="J20" s="463" t="n">
        <f aca="false">+Assumptions!M6</f>
        <v>1</v>
      </c>
      <c r="K20" s="463"/>
      <c r="L20" s="478"/>
    </row>
    <row r="21" customFormat="false" ht="15" hidden="false" customHeight="true" outlineLevel="0" collapsed="false">
      <c r="A21" s="502" t="str">
        <f aca="false">J5</f>
        <v>Average Estimate </v>
      </c>
      <c r="B21" s="463" t="n">
        <f aca="false">+Assumptions!E7</f>
        <v>0.6</v>
      </c>
      <c r="C21" s="463"/>
      <c r="D21" s="463" t="n">
        <f aca="false">+Assumptions!G7</f>
        <v>1</v>
      </c>
      <c r="E21" s="463"/>
      <c r="F21" s="463" t="n">
        <f aca="false">+Assumptions!I7</f>
        <v>1</v>
      </c>
      <c r="G21" s="463"/>
      <c r="H21" s="463" t="n">
        <f aca="false">+Assumptions!K7</f>
        <v>1</v>
      </c>
      <c r="I21" s="463"/>
      <c r="J21" s="463" t="n">
        <f aca="false">+Assumptions!M7</f>
        <v>1</v>
      </c>
      <c r="K21" s="463"/>
      <c r="L21" s="478"/>
    </row>
    <row r="22" customFormat="false" ht="15" hidden="false" customHeight="true" outlineLevel="0" collapsed="false">
      <c r="A22" s="503" t="str">
        <f aca="false">L5</f>
        <v>Peak Performance</v>
      </c>
      <c r="B22" s="463" t="n">
        <f aca="false">+Assumptions!E8</f>
        <v>0.7</v>
      </c>
      <c r="C22" s="463"/>
      <c r="D22" s="463" t="n">
        <f aca="false">+Assumptions!G8</f>
        <v>1</v>
      </c>
      <c r="E22" s="463"/>
      <c r="F22" s="463" t="n">
        <f aca="false">+Assumptions!I8</f>
        <v>1</v>
      </c>
      <c r="G22" s="463"/>
      <c r="H22" s="463" t="n">
        <f aca="false">+Assumptions!K8</f>
        <v>1</v>
      </c>
      <c r="I22" s="463"/>
      <c r="J22" s="463" t="n">
        <f aca="false">+Assumptions!M8</f>
        <v>1</v>
      </c>
      <c r="K22" s="463"/>
      <c r="L22" s="478"/>
    </row>
    <row r="23" customFormat="false" ht="15.75" hidden="false" customHeight="false" outlineLevel="0" collapsed="false">
      <c r="A23" s="526" t="s">
        <v>343</v>
      </c>
      <c r="B23" s="497" t="s">
        <v>3</v>
      </c>
      <c r="C23" s="497"/>
      <c r="D23" s="497" t="s">
        <v>4</v>
      </c>
      <c r="E23" s="497"/>
      <c r="F23" s="497" t="s">
        <v>5</v>
      </c>
      <c r="G23" s="497"/>
      <c r="H23" s="497" t="s">
        <v>6</v>
      </c>
      <c r="I23" s="497"/>
      <c r="J23" s="497" t="s">
        <v>7</v>
      </c>
      <c r="K23" s="497"/>
      <c r="L23" s="504" t="s">
        <v>8</v>
      </c>
    </row>
    <row r="24" customFormat="false" ht="15" hidden="false" customHeight="true" outlineLevel="0" collapsed="false">
      <c r="A24" s="499"/>
      <c r="B24" s="463"/>
      <c r="C24" s="463"/>
      <c r="D24" s="463"/>
      <c r="E24" s="463"/>
      <c r="F24" s="463"/>
      <c r="G24" s="463"/>
      <c r="H24" s="463"/>
      <c r="I24" s="463"/>
      <c r="J24" s="463"/>
      <c r="K24" s="463"/>
      <c r="L24" s="478"/>
    </row>
    <row r="25" customFormat="false" ht="15" hidden="false" customHeight="true" outlineLevel="0" collapsed="false">
      <c r="A25" s="501" t="str">
        <f aca="false">+H5</f>
        <v>Conservative Estimate </v>
      </c>
      <c r="B25" s="505" t="n">
        <f aca="false">($H$16*B20)</f>
        <v>10457600</v>
      </c>
      <c r="C25" s="505"/>
      <c r="D25" s="505" t="n">
        <f aca="false">($H$16*D20)</f>
        <v>20915200</v>
      </c>
      <c r="E25" s="505"/>
      <c r="F25" s="505" t="n">
        <f aca="false">($H$16*F20)</f>
        <v>20915200</v>
      </c>
      <c r="G25" s="505"/>
      <c r="H25" s="505" t="n">
        <f aca="false">($H$16*H20)</f>
        <v>20915200</v>
      </c>
      <c r="I25" s="505"/>
      <c r="J25" s="505" t="n">
        <f aca="false">($H$16*J20)</f>
        <v>20915200</v>
      </c>
      <c r="K25" s="505"/>
      <c r="L25" s="506" t="n">
        <f aca="false">SUM(B25:J25)</f>
        <v>94118400</v>
      </c>
    </row>
    <row r="26" customFormat="false" ht="15" hidden="false" customHeight="true" outlineLevel="0" collapsed="false">
      <c r="A26" s="502" t="str">
        <f aca="false">+J5</f>
        <v>Average Estimate </v>
      </c>
      <c r="B26" s="505" t="n">
        <f aca="false">($J$16*B21)</f>
        <v>37066800</v>
      </c>
      <c r="C26" s="505"/>
      <c r="D26" s="505" t="n">
        <f aca="false">($J$16*D21)</f>
        <v>61778000</v>
      </c>
      <c r="E26" s="505"/>
      <c r="F26" s="505" t="n">
        <f aca="false">($J$16*F21)</f>
        <v>61778000</v>
      </c>
      <c r="G26" s="505"/>
      <c r="H26" s="505" t="n">
        <f aca="false">($J$16*H21)</f>
        <v>61778000</v>
      </c>
      <c r="I26" s="505"/>
      <c r="J26" s="505" t="n">
        <f aca="false">($J$16*J21)</f>
        <v>61778000</v>
      </c>
      <c r="K26" s="505"/>
      <c r="L26" s="506" t="n">
        <f aca="false">SUM(B26:J26)</f>
        <v>284178800</v>
      </c>
    </row>
    <row r="27" customFormat="false" ht="15" hidden="false" customHeight="true" outlineLevel="0" collapsed="false">
      <c r="A27" s="503" t="str">
        <f aca="false">+L5</f>
        <v>Peak Performance</v>
      </c>
      <c r="B27" s="507" t="n">
        <f aca="false">($L$16*B22)</f>
        <v>85906800</v>
      </c>
      <c r="C27" s="507"/>
      <c r="D27" s="507" t="n">
        <f aca="false">($L$16*D22)</f>
        <v>122724000</v>
      </c>
      <c r="E27" s="507"/>
      <c r="F27" s="507" t="n">
        <f aca="false">($L$16*F22)</f>
        <v>122724000</v>
      </c>
      <c r="G27" s="507"/>
      <c r="H27" s="507" t="n">
        <f aca="false">($L$16*H22)</f>
        <v>122724000</v>
      </c>
      <c r="I27" s="507"/>
      <c r="J27" s="507" t="n">
        <f aca="false">($L$16*J22)</f>
        <v>122724000</v>
      </c>
      <c r="K27" s="507"/>
      <c r="L27" s="508" t="n">
        <f aca="false">SUM(B27:J27)</f>
        <v>576802800</v>
      </c>
    </row>
    <row r="28" customFormat="false" ht="15" hidden="false" customHeight="true" outlineLevel="0" collapsed="false">
      <c r="A28" s="527"/>
      <c r="B28" s="505"/>
      <c r="C28" s="505"/>
      <c r="D28" s="505"/>
      <c r="E28" s="505"/>
      <c r="F28" s="505"/>
      <c r="G28" s="505"/>
      <c r="H28" s="505"/>
      <c r="I28" s="505"/>
      <c r="J28" s="505"/>
      <c r="K28" s="505"/>
      <c r="L28" s="505"/>
    </row>
  </sheetData>
  <printOptions headings="false" gridLines="false" gridLinesSet="true" horizontalCentered="false" verticalCentered="false"/>
  <pageMargins left="1" right="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4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L8" activeCellId="0" sqref="L8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386" width="25.7"/>
    <col collapsed="false" customWidth="true" hidden="false" outlineLevel="0" max="2" min="2" style="386" width="16.7"/>
    <col collapsed="false" customWidth="true" hidden="false" outlineLevel="0" max="3" min="3" style="386" width="1.7"/>
    <col collapsed="false" customWidth="true" hidden="false" outlineLevel="0" max="4" min="4" style="386" width="16.7"/>
    <col collapsed="false" customWidth="true" hidden="false" outlineLevel="0" max="5" min="5" style="386" width="1.7"/>
    <col collapsed="false" customWidth="true" hidden="false" outlineLevel="0" max="6" min="6" style="386" width="16.7"/>
    <col collapsed="false" customWidth="true" hidden="false" outlineLevel="0" max="7" min="7" style="386" width="1.7"/>
    <col collapsed="false" customWidth="true" hidden="false" outlineLevel="0" max="8" min="8" style="386" width="16.7"/>
    <col collapsed="false" customWidth="true" hidden="false" outlineLevel="0" max="9" min="9" style="386" width="1.7"/>
    <col collapsed="false" customWidth="true" hidden="false" outlineLevel="0" max="10" min="10" style="386" width="16.7"/>
    <col collapsed="false" customWidth="true" hidden="false" outlineLevel="0" max="11" min="11" style="386" width="1.7"/>
    <col collapsed="false" customWidth="true" hidden="false" outlineLevel="0" max="12" min="12" style="386" width="16.7"/>
    <col collapsed="false" customWidth="true" hidden="false" outlineLevel="0" max="13" min="13" style="386" width="2.13"/>
    <col collapsed="false" customWidth="false" hidden="false" outlineLevel="0" max="257" min="14" style="386" width="9.14"/>
  </cols>
  <sheetData>
    <row r="1" customFormat="false" ht="48" hidden="false" customHeight="true" outlineLevel="0" collapsed="false">
      <c r="A1" s="450"/>
      <c r="B1" s="451" t="s">
        <v>9</v>
      </c>
      <c r="C1" s="386" t="s">
        <v>9</v>
      </c>
      <c r="H1" s="26"/>
      <c r="I1" s="26"/>
      <c r="J1" s="26"/>
      <c r="K1" s="26"/>
      <c r="L1" s="26"/>
      <c r="M1" s="26"/>
      <c r="N1" s="26"/>
    </row>
    <row r="2" customFormat="false" ht="32.25" hidden="false" customHeight="true" outlineLevel="0" collapsed="false">
      <c r="A2" s="387" t="s">
        <v>322</v>
      </c>
      <c r="B2" s="452" t="s">
        <v>374</v>
      </c>
      <c r="C2" s="388"/>
      <c r="D2" s="388"/>
      <c r="E2" s="388"/>
      <c r="F2" s="388"/>
      <c r="G2" s="388"/>
      <c r="H2" s="388"/>
      <c r="I2" s="388"/>
      <c r="J2" s="388"/>
      <c r="K2" s="388"/>
      <c r="L2" s="389"/>
    </row>
    <row r="3" customFormat="false" ht="15.75" hidden="false" customHeight="false" outlineLevel="0" collapsed="false">
      <c r="A3" s="453" t="s">
        <v>324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5"/>
    </row>
    <row r="4" customFormat="false" ht="15" hidden="false" customHeight="true" outlineLevel="0" collapsed="false">
      <c r="A4" s="406"/>
      <c r="B4" s="402" t="s">
        <v>349</v>
      </c>
      <c r="C4" s="403"/>
      <c r="D4" s="404"/>
      <c r="E4" s="404"/>
      <c r="F4" s="404"/>
      <c r="G4" s="404"/>
      <c r="H4" s="404"/>
      <c r="I4" s="404"/>
      <c r="J4" s="404"/>
      <c r="K4" s="404"/>
      <c r="L4" s="405"/>
    </row>
    <row r="5" customFormat="false" ht="15" hidden="false" customHeight="true" outlineLevel="0" collapsed="false">
      <c r="A5" s="401"/>
      <c r="B5" s="402" t="s">
        <v>350</v>
      </c>
      <c r="C5" s="403"/>
      <c r="D5" s="404"/>
      <c r="E5" s="404"/>
      <c r="F5" s="404"/>
      <c r="G5" s="404"/>
      <c r="H5" s="404"/>
      <c r="I5" s="404"/>
      <c r="J5" s="404"/>
      <c r="K5" s="404"/>
      <c r="L5" s="405"/>
    </row>
    <row r="6" customFormat="false" ht="33" hidden="false" customHeight="true" outlineLevel="0" collapsed="false">
      <c r="A6" s="408" t="s">
        <v>328</v>
      </c>
      <c r="B6" s="409"/>
      <c r="C6" s="409"/>
      <c r="D6" s="409"/>
      <c r="E6" s="409"/>
      <c r="F6" s="409"/>
      <c r="G6" s="409"/>
      <c r="H6" s="410" t="str">
        <f aca="false">R1!H8</f>
        <v>Conservative Estimate </v>
      </c>
      <c r="I6" s="411"/>
      <c r="J6" s="410" t="str">
        <f aca="false">R1!J8</f>
        <v>Average Estimate </v>
      </c>
      <c r="K6" s="411"/>
      <c r="L6" s="412" t="str">
        <f aca="false">R1!L8</f>
        <v>Peak Performance</v>
      </c>
    </row>
    <row r="7" customFormat="false" ht="15" hidden="false" customHeight="true" outlineLevel="0" collapsed="false">
      <c r="A7" s="413" t="s">
        <v>332</v>
      </c>
      <c r="B7" s="407" t="s">
        <v>375</v>
      </c>
      <c r="C7" s="407"/>
      <c r="D7" s="407"/>
      <c r="E7" s="407"/>
      <c r="F7" s="407"/>
      <c r="G7" s="407"/>
      <c r="H7" s="528" t="n">
        <f aca="false">+Assumptions!E41</f>
        <v>0</v>
      </c>
      <c r="I7" s="414"/>
      <c r="J7" s="528" t="n">
        <f aca="false">+Assumptions!G41</f>
        <v>0</v>
      </c>
      <c r="K7" s="414"/>
      <c r="L7" s="529" t="n">
        <f aca="false">+Assumptions!I41</f>
        <v>0</v>
      </c>
    </row>
    <row r="8" customFormat="false" ht="15" hidden="false" customHeight="true" outlineLevel="0" collapsed="false">
      <c r="A8" s="406"/>
      <c r="B8" s="407"/>
      <c r="C8" s="407"/>
      <c r="D8" s="407"/>
      <c r="E8" s="407"/>
      <c r="F8" s="407"/>
      <c r="G8" s="407"/>
      <c r="H8" s="414"/>
      <c r="I8" s="528"/>
      <c r="J8" s="414"/>
      <c r="K8" s="414"/>
      <c r="L8" s="415"/>
    </row>
    <row r="9" customFormat="false" ht="15" hidden="false" customHeight="true" outlineLevel="0" collapsed="false">
      <c r="A9" s="406"/>
      <c r="B9" s="407"/>
      <c r="C9" s="407"/>
      <c r="D9" s="407"/>
      <c r="E9" s="407"/>
      <c r="F9" s="407"/>
      <c r="G9" s="407"/>
      <c r="H9" s="528"/>
      <c r="I9" s="407"/>
      <c r="J9" s="528"/>
      <c r="K9" s="407"/>
      <c r="L9" s="529"/>
    </row>
    <row r="10" customFormat="false" ht="15" hidden="false" customHeight="true" outlineLevel="0" collapsed="false">
      <c r="A10" s="406"/>
      <c r="B10" s="407"/>
      <c r="C10" s="407"/>
      <c r="D10" s="407"/>
      <c r="E10" s="407"/>
      <c r="F10" s="407"/>
      <c r="G10" s="407"/>
      <c r="H10" s="528"/>
      <c r="I10" s="407"/>
      <c r="J10" s="528"/>
      <c r="K10" s="407"/>
      <c r="L10" s="529"/>
    </row>
    <row r="11" customFormat="false" ht="15" hidden="false" customHeight="true" outlineLevel="0" collapsed="false">
      <c r="A11" s="406"/>
      <c r="B11" s="407"/>
      <c r="C11" s="407"/>
      <c r="D11" s="407"/>
      <c r="E11" s="407"/>
      <c r="F11" s="407"/>
      <c r="G11" s="407"/>
      <c r="H11" s="528"/>
      <c r="I11" s="407"/>
      <c r="J11" s="528"/>
      <c r="K11" s="407"/>
      <c r="L11" s="529"/>
    </row>
    <row r="12" customFormat="false" ht="15" hidden="false" customHeight="true" outlineLevel="0" collapsed="false">
      <c r="A12" s="406"/>
      <c r="B12" s="407"/>
      <c r="C12" s="407"/>
      <c r="D12" s="407"/>
      <c r="E12" s="407"/>
      <c r="F12" s="407"/>
      <c r="G12" s="407"/>
      <c r="H12" s="407"/>
      <c r="I12" s="407"/>
      <c r="J12" s="407"/>
      <c r="K12" s="407"/>
      <c r="L12" s="420"/>
    </row>
    <row r="13" customFormat="false" ht="15" hidden="false" customHeight="true" outlineLevel="0" collapsed="false">
      <c r="A13" s="413" t="s">
        <v>335</v>
      </c>
      <c r="B13" s="407" t="s">
        <v>351</v>
      </c>
      <c r="C13" s="407"/>
      <c r="D13" s="93"/>
      <c r="E13" s="407"/>
      <c r="F13" s="407"/>
      <c r="G13" s="407"/>
      <c r="H13" s="421" t="n">
        <f aca="false">+Assumptions!E42</f>
        <v>0</v>
      </c>
      <c r="I13" s="407"/>
      <c r="J13" s="421" t="n">
        <f aca="false">+Assumptions!G42</f>
        <v>0</v>
      </c>
      <c r="K13" s="422"/>
      <c r="L13" s="423" t="n">
        <f aca="false">+Assumptions!I42</f>
        <v>0</v>
      </c>
    </row>
    <row r="14" customFormat="false" ht="15" hidden="false" customHeight="true" outlineLevel="0" collapsed="false">
      <c r="A14" s="413"/>
      <c r="B14" s="407"/>
      <c r="C14" s="407"/>
      <c r="D14" s="407"/>
      <c r="E14" s="407"/>
      <c r="F14" s="407"/>
      <c r="G14" s="407"/>
      <c r="H14" s="407"/>
      <c r="I14" s="407"/>
      <c r="J14" s="407"/>
      <c r="K14" s="407"/>
      <c r="L14" s="420"/>
    </row>
    <row r="15" customFormat="false" ht="15" hidden="false" customHeight="true" outlineLevel="0" collapsed="false">
      <c r="A15" s="413" t="s">
        <v>337</v>
      </c>
      <c r="B15" s="407" t="s">
        <v>13</v>
      </c>
      <c r="C15" s="407"/>
      <c r="D15" s="407"/>
      <c r="E15" s="407"/>
      <c r="F15" s="407"/>
      <c r="G15" s="407"/>
      <c r="H15" s="424" t="n">
        <f aca="false">SUM(H7:H11)</f>
        <v>0</v>
      </c>
      <c r="I15" s="425"/>
      <c r="J15" s="424" t="n">
        <f aca="false">SUM(J7:J11)</f>
        <v>0</v>
      </c>
      <c r="K15" s="424"/>
      <c r="L15" s="426" t="n">
        <f aca="false">SUM(L7:L11)</f>
        <v>0</v>
      </c>
    </row>
    <row r="16" customFormat="false" ht="15" hidden="false" customHeight="true" outlineLevel="0" collapsed="false">
      <c r="A16" s="406"/>
      <c r="B16" s="407" t="s">
        <v>352</v>
      </c>
      <c r="C16" s="407"/>
      <c r="D16" s="407"/>
      <c r="E16" s="407"/>
      <c r="F16" s="407"/>
      <c r="G16" s="407"/>
      <c r="H16" s="530" t="n">
        <f aca="false">H13</f>
        <v>0</v>
      </c>
      <c r="I16" s="421"/>
      <c r="J16" s="530" t="n">
        <f aca="false">J13</f>
        <v>0</v>
      </c>
      <c r="K16" s="530"/>
      <c r="L16" s="531" t="n">
        <f aca="false">L13</f>
        <v>0</v>
      </c>
    </row>
    <row r="17" customFormat="false" ht="15" hidden="false" customHeight="true" outlineLevel="0" collapsed="false">
      <c r="A17" s="406"/>
      <c r="B17" s="404" t="s">
        <v>340</v>
      </c>
      <c r="C17" s="407"/>
      <c r="D17" s="407"/>
      <c r="E17" s="407"/>
      <c r="F17" s="407"/>
      <c r="G17" s="407"/>
      <c r="H17" s="427"/>
      <c r="I17" s="428"/>
      <c r="J17" s="532"/>
      <c r="K17" s="427"/>
      <c r="L17" s="429"/>
    </row>
    <row r="18" customFormat="false" ht="15" hidden="false" customHeight="true" outlineLevel="0" collapsed="false">
      <c r="A18" s="406"/>
      <c r="B18" s="407" t="s">
        <v>353</v>
      </c>
      <c r="C18" s="407"/>
      <c r="D18" s="407"/>
      <c r="E18" s="407"/>
      <c r="F18" s="407"/>
      <c r="G18" s="407"/>
      <c r="H18" s="414" t="n">
        <f aca="false">IF(ISERROR(H15*H16),0,(H15*H16))</f>
        <v>0</v>
      </c>
      <c r="I18" s="414"/>
      <c r="J18" s="414" t="n">
        <f aca="false">IF(ISERROR(J15*J16),0,(J15*J16))</f>
        <v>0</v>
      </c>
      <c r="K18" s="414"/>
      <c r="L18" s="415" t="n">
        <f aca="false">IF(ISERROR(L15*L16),0,(L15*L16))</f>
        <v>0</v>
      </c>
    </row>
    <row r="19" customFormat="false" ht="15" hidden="false" customHeight="true" outlineLevel="0" collapsed="false">
      <c r="A19" s="430"/>
      <c r="B19" s="431"/>
      <c r="C19" s="431"/>
      <c r="D19" s="431"/>
      <c r="E19" s="431"/>
      <c r="F19" s="431"/>
      <c r="G19" s="431"/>
      <c r="H19" s="431"/>
      <c r="I19" s="432"/>
      <c r="J19" s="431"/>
      <c r="K19" s="431"/>
      <c r="L19" s="433"/>
    </row>
    <row r="20" customFormat="false" ht="15.75" hidden="false" customHeight="false" outlineLevel="0" collapsed="false">
      <c r="A20" s="434" t="s">
        <v>342</v>
      </c>
      <c r="B20" s="435" t="s">
        <v>3</v>
      </c>
      <c r="C20" s="409"/>
      <c r="D20" s="435" t="s">
        <v>4</v>
      </c>
      <c r="E20" s="409"/>
      <c r="F20" s="435" t="s">
        <v>5</v>
      </c>
      <c r="G20" s="409"/>
      <c r="H20" s="435" t="s">
        <v>6</v>
      </c>
      <c r="I20" s="435"/>
      <c r="J20" s="435" t="s">
        <v>7</v>
      </c>
      <c r="K20" s="409"/>
      <c r="L20" s="436"/>
    </row>
    <row r="21" customFormat="false" ht="15" hidden="false" customHeight="true" outlineLevel="0" collapsed="false">
      <c r="A21" s="406"/>
      <c r="B21" s="407"/>
      <c r="C21" s="407"/>
      <c r="D21" s="407"/>
      <c r="E21" s="407"/>
      <c r="F21" s="407"/>
      <c r="G21" s="407"/>
      <c r="H21" s="407"/>
      <c r="I21" s="407"/>
      <c r="J21" s="407"/>
      <c r="K21" s="437"/>
      <c r="L21" s="420"/>
    </row>
    <row r="22" customFormat="false" ht="15" hidden="false" customHeight="true" outlineLevel="0" collapsed="false">
      <c r="A22" s="438" t="str">
        <f aca="false">H6</f>
        <v>Conservative Estimate </v>
      </c>
      <c r="B22" s="407" t="n">
        <f aca="false">+Assumptions!E6</f>
        <v>0.5</v>
      </c>
      <c r="C22" s="407"/>
      <c r="D22" s="407" t="n">
        <f aca="false">+Assumptions!G6</f>
        <v>1</v>
      </c>
      <c r="E22" s="407"/>
      <c r="F22" s="407" t="n">
        <f aca="false">+Assumptions!I6</f>
        <v>1</v>
      </c>
      <c r="G22" s="407"/>
      <c r="H22" s="407" t="n">
        <f aca="false">+Assumptions!K6</f>
        <v>1</v>
      </c>
      <c r="I22" s="407"/>
      <c r="J22" s="407" t="n">
        <f aca="false">+Assumptions!M6</f>
        <v>1</v>
      </c>
      <c r="K22" s="407"/>
      <c r="L22" s="420"/>
    </row>
    <row r="23" customFormat="false" ht="15" hidden="false" customHeight="true" outlineLevel="0" collapsed="false">
      <c r="A23" s="439" t="str">
        <f aca="false">J6</f>
        <v>Average Estimate </v>
      </c>
      <c r="B23" s="407" t="n">
        <f aca="false">+Assumptions!E7</f>
        <v>0.6</v>
      </c>
      <c r="C23" s="407"/>
      <c r="D23" s="407" t="n">
        <f aca="false">+Assumptions!G7</f>
        <v>1</v>
      </c>
      <c r="E23" s="407"/>
      <c r="F23" s="407" t="n">
        <f aca="false">+Assumptions!I7</f>
        <v>1</v>
      </c>
      <c r="G23" s="407"/>
      <c r="H23" s="407" t="n">
        <f aca="false">+Assumptions!K7</f>
        <v>1</v>
      </c>
      <c r="I23" s="407"/>
      <c r="J23" s="407" t="n">
        <f aca="false">+Assumptions!M7</f>
        <v>1</v>
      </c>
      <c r="K23" s="407"/>
      <c r="L23" s="420"/>
    </row>
    <row r="24" customFormat="false" ht="15" hidden="false" customHeight="true" outlineLevel="0" collapsed="false">
      <c r="A24" s="440" t="str">
        <f aca="false">L6</f>
        <v>Peak Performance</v>
      </c>
      <c r="B24" s="407" t="n">
        <f aca="false">+Assumptions!E8</f>
        <v>0.7</v>
      </c>
      <c r="C24" s="407"/>
      <c r="D24" s="407" t="n">
        <f aca="false">+Assumptions!G8</f>
        <v>1</v>
      </c>
      <c r="E24" s="407"/>
      <c r="F24" s="407" t="n">
        <f aca="false">+Assumptions!I8</f>
        <v>1</v>
      </c>
      <c r="G24" s="407"/>
      <c r="H24" s="407" t="n">
        <f aca="false">+Assumptions!K8</f>
        <v>1</v>
      </c>
      <c r="I24" s="407"/>
      <c r="J24" s="407" t="n">
        <f aca="false">+Assumptions!M8</f>
        <v>1</v>
      </c>
      <c r="K24" s="407"/>
      <c r="L24" s="420"/>
    </row>
    <row r="25" customFormat="false" ht="15.75" hidden="false" customHeight="false" outlineLevel="0" collapsed="false">
      <c r="A25" s="434" t="s">
        <v>343</v>
      </c>
      <c r="B25" s="435" t="s">
        <v>3</v>
      </c>
      <c r="C25" s="435"/>
      <c r="D25" s="435" t="s">
        <v>4</v>
      </c>
      <c r="E25" s="435"/>
      <c r="F25" s="435" t="s">
        <v>5</v>
      </c>
      <c r="G25" s="435"/>
      <c r="H25" s="435" t="s">
        <v>6</v>
      </c>
      <c r="I25" s="435"/>
      <c r="J25" s="435" t="s">
        <v>7</v>
      </c>
      <c r="K25" s="435"/>
      <c r="L25" s="441" t="s">
        <v>8</v>
      </c>
    </row>
    <row r="26" customFormat="false" ht="15" hidden="false" customHeight="true" outlineLevel="0" collapsed="false">
      <c r="A26" s="406"/>
      <c r="B26" s="407"/>
      <c r="C26" s="407"/>
      <c r="D26" s="407"/>
      <c r="E26" s="407"/>
      <c r="F26" s="407"/>
      <c r="G26" s="407"/>
      <c r="H26" s="407"/>
      <c r="I26" s="407"/>
      <c r="J26" s="407"/>
      <c r="K26" s="407"/>
      <c r="L26" s="420"/>
    </row>
    <row r="27" customFormat="false" ht="15" hidden="false" customHeight="true" outlineLevel="0" collapsed="false">
      <c r="A27" s="438" t="str">
        <f aca="false">+H6</f>
        <v>Conservative Estimate </v>
      </c>
      <c r="B27" s="442" t="n">
        <f aca="false">($H$18*B22)</f>
        <v>0</v>
      </c>
      <c r="C27" s="442"/>
      <c r="D27" s="442" t="n">
        <f aca="false">($H$18*D22)</f>
        <v>0</v>
      </c>
      <c r="E27" s="442"/>
      <c r="F27" s="442" t="n">
        <f aca="false">($H$18*F22)</f>
        <v>0</v>
      </c>
      <c r="G27" s="442"/>
      <c r="H27" s="442" t="n">
        <f aca="false">($H$18*H22)</f>
        <v>0</v>
      </c>
      <c r="I27" s="442"/>
      <c r="J27" s="442" t="n">
        <f aca="false">($H$18*J22)</f>
        <v>0</v>
      </c>
      <c r="K27" s="442"/>
      <c r="L27" s="443" t="n">
        <f aca="false">SUM(B27:J27)</f>
        <v>0</v>
      </c>
    </row>
    <row r="28" customFormat="false" ht="15" hidden="false" customHeight="true" outlineLevel="0" collapsed="false">
      <c r="A28" s="439" t="str">
        <f aca="false">+J6</f>
        <v>Average Estimate </v>
      </c>
      <c r="B28" s="442" t="n">
        <f aca="false">($J$18*B23)</f>
        <v>0</v>
      </c>
      <c r="C28" s="442"/>
      <c r="D28" s="442" t="n">
        <f aca="false">($J$18*D23)</f>
        <v>0</v>
      </c>
      <c r="E28" s="442"/>
      <c r="F28" s="442" t="n">
        <f aca="false">($J$18*F23)</f>
        <v>0</v>
      </c>
      <c r="G28" s="442"/>
      <c r="H28" s="442" t="n">
        <f aca="false">($J$18*H23)</f>
        <v>0</v>
      </c>
      <c r="I28" s="442"/>
      <c r="J28" s="442" t="n">
        <f aca="false">($J$18*J23)</f>
        <v>0</v>
      </c>
      <c r="K28" s="442"/>
      <c r="L28" s="443" t="n">
        <f aca="false">SUM(B28:J28)</f>
        <v>0</v>
      </c>
    </row>
    <row r="29" customFormat="false" ht="15" hidden="false" customHeight="true" outlineLevel="0" collapsed="false">
      <c r="A29" s="440" t="str">
        <f aca="false">+L6</f>
        <v>Peak Performance</v>
      </c>
      <c r="B29" s="444" t="n">
        <f aca="false">($L$18*B24)</f>
        <v>0</v>
      </c>
      <c r="C29" s="444"/>
      <c r="D29" s="444" t="n">
        <f aca="false">($L$18*D24)</f>
        <v>0</v>
      </c>
      <c r="E29" s="444"/>
      <c r="F29" s="444" t="n">
        <f aca="false">($L$18*F24)</f>
        <v>0</v>
      </c>
      <c r="G29" s="444"/>
      <c r="H29" s="444" t="n">
        <f aca="false">($L$18*H24)</f>
        <v>0</v>
      </c>
      <c r="I29" s="444"/>
      <c r="J29" s="444" t="n">
        <f aca="false">($L$18*J24)</f>
        <v>0</v>
      </c>
      <c r="K29" s="444"/>
      <c r="L29" s="445" t="n">
        <f aca="false">SUM(B29:J29)</f>
        <v>0</v>
      </c>
    </row>
    <row r="30" customFormat="false" ht="15" hidden="false" customHeight="true" outlineLevel="0" collapsed="false">
      <c r="A30" s="446"/>
      <c r="B30" s="400"/>
      <c r="C30" s="400"/>
      <c r="D30" s="400"/>
      <c r="E30" s="400"/>
      <c r="F30" s="400"/>
      <c r="G30" s="400"/>
      <c r="H30" s="447"/>
      <c r="I30" s="437"/>
      <c r="J30" s="447"/>
      <c r="K30" s="437"/>
      <c r="L30" s="448"/>
    </row>
    <row r="31" customFormat="false" ht="11.45" hidden="false" customHeight="true" outlineLevel="0" collapsed="false">
      <c r="A31" s="407"/>
      <c r="B31" s="407"/>
      <c r="C31" s="407"/>
      <c r="D31" s="407"/>
      <c r="E31" s="407"/>
      <c r="F31" s="407"/>
      <c r="G31" s="407"/>
      <c r="H31" s="407"/>
      <c r="I31" s="407"/>
      <c r="J31" s="407"/>
      <c r="K31" s="407"/>
      <c r="L31" s="407"/>
    </row>
    <row r="32" customFormat="false" ht="11.45" hidden="false" customHeight="true" outlineLevel="0" collapsed="false">
      <c r="A32" s="449"/>
      <c r="B32" s="407"/>
      <c r="C32" s="407"/>
      <c r="D32" s="407"/>
      <c r="E32" s="407"/>
      <c r="F32" s="407"/>
      <c r="G32" s="407"/>
      <c r="H32" s="93"/>
      <c r="I32" s="407"/>
      <c r="J32" s="407"/>
      <c r="K32" s="407"/>
      <c r="L32" s="407"/>
    </row>
    <row r="33" customFormat="false" ht="11.45" hidden="false" customHeight="true" outlineLevel="0" collapsed="false">
      <c r="A33" s="407"/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7"/>
    </row>
    <row r="34" customFormat="false" ht="11.45" hidden="false" customHeight="true" outlineLevel="0" collapsed="false"/>
  </sheetData>
  <printOptions headings="false" gridLines="false" gridLinesSet="true" horizontalCentered="false" verticalCentered="false"/>
  <pageMargins left="1" right="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4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L8" activeCellId="0" sqref="L8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386" width="25.7"/>
    <col collapsed="false" customWidth="true" hidden="false" outlineLevel="0" max="2" min="2" style="386" width="16.7"/>
    <col collapsed="false" customWidth="true" hidden="false" outlineLevel="0" max="3" min="3" style="386" width="1.7"/>
    <col collapsed="false" customWidth="true" hidden="false" outlineLevel="0" max="4" min="4" style="386" width="16.7"/>
    <col collapsed="false" customWidth="true" hidden="false" outlineLevel="0" max="5" min="5" style="386" width="1.7"/>
    <col collapsed="false" customWidth="true" hidden="false" outlineLevel="0" max="6" min="6" style="386" width="16.7"/>
    <col collapsed="false" customWidth="true" hidden="false" outlineLevel="0" max="7" min="7" style="386" width="1.7"/>
    <col collapsed="false" customWidth="true" hidden="false" outlineLevel="0" max="8" min="8" style="386" width="16.7"/>
    <col collapsed="false" customWidth="true" hidden="false" outlineLevel="0" max="9" min="9" style="386" width="1.7"/>
    <col collapsed="false" customWidth="true" hidden="false" outlineLevel="0" max="10" min="10" style="386" width="16.7"/>
    <col collapsed="false" customWidth="true" hidden="false" outlineLevel="0" max="11" min="11" style="386" width="1.7"/>
    <col collapsed="false" customWidth="true" hidden="false" outlineLevel="0" max="12" min="12" style="386" width="16.7"/>
    <col collapsed="false" customWidth="true" hidden="false" outlineLevel="0" max="13" min="13" style="386" width="2.42"/>
    <col collapsed="false" customWidth="false" hidden="false" outlineLevel="0" max="257" min="14" style="386" width="9.14"/>
  </cols>
  <sheetData>
    <row r="1" customFormat="false" ht="48" hidden="false" customHeight="true" outlineLevel="0" collapsed="false">
      <c r="A1" s="450"/>
      <c r="B1" s="451" t="s">
        <v>9</v>
      </c>
      <c r="C1" s="386" t="s">
        <v>9</v>
      </c>
      <c r="D1" s="386" t="s">
        <v>9</v>
      </c>
      <c r="H1" s="26"/>
      <c r="I1" s="26"/>
      <c r="J1" s="26"/>
      <c r="K1" s="26"/>
      <c r="L1" s="26"/>
      <c r="M1" s="26"/>
      <c r="N1" s="26"/>
    </row>
    <row r="2" customFormat="false" ht="32.25" hidden="false" customHeight="true" outlineLevel="0" collapsed="false">
      <c r="A2" s="387" t="s">
        <v>322</v>
      </c>
      <c r="B2" s="452" t="s">
        <v>376</v>
      </c>
      <c r="C2" s="388"/>
      <c r="D2" s="388"/>
      <c r="E2" s="388"/>
      <c r="F2" s="388"/>
      <c r="G2" s="388"/>
      <c r="H2" s="388"/>
      <c r="I2" s="388"/>
      <c r="J2" s="388"/>
      <c r="K2" s="388"/>
      <c r="L2" s="389"/>
    </row>
    <row r="3" customFormat="false" ht="15.75" hidden="false" customHeight="false" outlineLevel="0" collapsed="false">
      <c r="A3" s="453" t="s">
        <v>324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5"/>
    </row>
    <row r="4" customFormat="false" ht="15" hidden="false" customHeight="true" outlineLevel="0" collapsed="false">
      <c r="A4" s="406"/>
      <c r="B4" s="407" t="s">
        <v>377</v>
      </c>
      <c r="C4" s="403"/>
      <c r="D4" s="404"/>
      <c r="E4" s="404"/>
      <c r="F4" s="404"/>
      <c r="G4" s="404"/>
      <c r="H4" s="404"/>
      <c r="I4" s="404"/>
      <c r="J4" s="404"/>
      <c r="K4" s="404"/>
      <c r="L4" s="405"/>
    </row>
    <row r="5" customFormat="false" ht="15" hidden="false" customHeight="true" outlineLevel="0" collapsed="false">
      <c r="A5" s="401"/>
      <c r="B5" s="533"/>
      <c r="C5" s="403"/>
      <c r="D5" s="404"/>
      <c r="E5" s="404"/>
      <c r="F5" s="404"/>
      <c r="G5" s="404"/>
      <c r="H5" s="404"/>
      <c r="I5" s="404"/>
      <c r="J5" s="404"/>
      <c r="K5" s="404"/>
      <c r="L5" s="405"/>
    </row>
    <row r="6" customFormat="false" ht="33" hidden="false" customHeight="true" outlineLevel="0" collapsed="false">
      <c r="A6" s="408" t="s">
        <v>328</v>
      </c>
      <c r="B6" s="409"/>
      <c r="C6" s="409"/>
      <c r="D6" s="409"/>
      <c r="E6" s="409"/>
      <c r="F6" s="409"/>
      <c r="G6" s="409"/>
      <c r="H6" s="410" t="str">
        <f aca="false">R1!H8</f>
        <v>Conservative Estimate </v>
      </c>
      <c r="I6" s="411"/>
      <c r="J6" s="410" t="str">
        <f aca="false">R1!J8</f>
        <v>Average Estimate </v>
      </c>
      <c r="K6" s="411"/>
      <c r="L6" s="412" t="str">
        <f aca="false">R1!L8</f>
        <v>Peak Performance</v>
      </c>
    </row>
    <row r="7" customFormat="false" ht="15" hidden="false" customHeight="true" outlineLevel="0" collapsed="false">
      <c r="A7" s="413" t="s">
        <v>332</v>
      </c>
      <c r="B7" s="402" t="s">
        <v>378</v>
      </c>
      <c r="C7" s="407"/>
      <c r="D7" s="407"/>
      <c r="E7" s="407"/>
      <c r="F7" s="407"/>
      <c r="G7" s="407"/>
      <c r="H7" s="414" t="n">
        <f aca="false">+Assumptions!E44</f>
        <v>0</v>
      </c>
      <c r="I7" s="414"/>
      <c r="J7" s="414" t="n">
        <f aca="false">+Assumptions!G44</f>
        <v>0</v>
      </c>
      <c r="K7" s="414"/>
      <c r="L7" s="415" t="n">
        <f aca="false">+Assumptions!I44</f>
        <v>0</v>
      </c>
    </row>
    <row r="8" customFormat="false" ht="15" hidden="false" customHeight="true" outlineLevel="0" collapsed="false">
      <c r="A8" s="406"/>
      <c r="B8" s="407"/>
      <c r="C8" s="407"/>
      <c r="D8" s="407"/>
      <c r="E8" s="407"/>
      <c r="F8" s="407"/>
      <c r="G8" s="407"/>
      <c r="H8" s="528"/>
      <c r="I8" s="528"/>
      <c r="J8" s="528"/>
      <c r="K8" s="528"/>
      <c r="L8" s="529"/>
    </row>
    <row r="9" customFormat="false" ht="15" hidden="false" customHeight="true" outlineLevel="0" collapsed="false">
      <c r="A9" s="406"/>
      <c r="B9" s="407"/>
      <c r="C9" s="407"/>
      <c r="D9" s="407"/>
      <c r="E9" s="407"/>
      <c r="F9" s="407"/>
      <c r="G9" s="407"/>
      <c r="H9" s="528"/>
      <c r="I9" s="407"/>
      <c r="J9" s="528"/>
      <c r="K9" s="407"/>
      <c r="L9" s="529"/>
    </row>
    <row r="10" customFormat="false" ht="15" hidden="false" customHeight="true" outlineLevel="0" collapsed="false">
      <c r="A10" s="406"/>
      <c r="B10" s="407"/>
      <c r="C10" s="407"/>
      <c r="D10" s="407"/>
      <c r="E10" s="407"/>
      <c r="F10" s="407"/>
      <c r="G10" s="407"/>
      <c r="H10" s="528"/>
      <c r="I10" s="407"/>
      <c r="J10" s="528"/>
      <c r="K10" s="407"/>
      <c r="L10" s="529"/>
    </row>
    <row r="11" customFormat="false" ht="15" hidden="false" customHeight="true" outlineLevel="0" collapsed="false">
      <c r="A11" s="406"/>
      <c r="B11" s="407"/>
      <c r="C11" s="407"/>
      <c r="D11" s="407"/>
      <c r="E11" s="407"/>
      <c r="F11" s="407"/>
      <c r="G11" s="407"/>
      <c r="H11" s="528"/>
      <c r="I11" s="407"/>
      <c r="J11" s="528"/>
      <c r="K11" s="407"/>
      <c r="L11" s="529"/>
    </row>
    <row r="12" customFormat="false" ht="15" hidden="false" customHeight="true" outlineLevel="0" collapsed="false">
      <c r="A12" s="406"/>
      <c r="B12" s="407"/>
      <c r="C12" s="407"/>
      <c r="D12" s="407"/>
      <c r="E12" s="407"/>
      <c r="F12" s="407"/>
      <c r="G12" s="407"/>
      <c r="H12" s="407"/>
      <c r="I12" s="407"/>
      <c r="J12" s="407"/>
      <c r="K12" s="407"/>
      <c r="L12" s="420"/>
    </row>
    <row r="13" customFormat="false" ht="15" hidden="false" customHeight="true" outlineLevel="0" collapsed="false">
      <c r="A13" s="413" t="s">
        <v>335</v>
      </c>
      <c r="B13" s="407" t="s">
        <v>379</v>
      </c>
      <c r="C13" s="407"/>
      <c r="D13" s="93"/>
      <c r="E13" s="407"/>
      <c r="F13" s="407"/>
      <c r="G13" s="407"/>
      <c r="H13" s="422" t="n">
        <f aca="false">+Assumptions!E45</f>
        <v>0</v>
      </c>
      <c r="I13" s="407"/>
      <c r="J13" s="422" t="n">
        <f aca="false">+Assumptions!G45</f>
        <v>0</v>
      </c>
      <c r="K13" s="422"/>
      <c r="L13" s="534" t="n">
        <f aca="false">+Assumptions!I45</f>
        <v>0</v>
      </c>
    </row>
    <row r="14" customFormat="false" ht="15" hidden="false" customHeight="true" outlineLevel="0" collapsed="false">
      <c r="A14" s="413"/>
      <c r="B14" s="407"/>
      <c r="C14" s="407"/>
      <c r="D14" s="407"/>
      <c r="E14" s="407"/>
      <c r="F14" s="407"/>
      <c r="G14" s="407"/>
      <c r="H14" s="407"/>
      <c r="I14" s="407"/>
      <c r="J14" s="407"/>
      <c r="K14" s="407"/>
      <c r="L14" s="420"/>
    </row>
    <row r="15" customFormat="false" ht="15" hidden="false" customHeight="true" outlineLevel="0" collapsed="false">
      <c r="A15" s="413" t="s">
        <v>337</v>
      </c>
      <c r="B15" s="407" t="s">
        <v>380</v>
      </c>
      <c r="C15" s="407"/>
      <c r="D15" s="407"/>
      <c r="E15" s="407"/>
      <c r="F15" s="407"/>
      <c r="G15" s="407"/>
      <c r="H15" s="424" t="n">
        <f aca="false">SUM(H7:H11)</f>
        <v>0</v>
      </c>
      <c r="I15" s="425"/>
      <c r="J15" s="424" t="n">
        <f aca="false">SUM(J7:J11)</f>
        <v>0</v>
      </c>
      <c r="K15" s="424"/>
      <c r="L15" s="426" t="n">
        <f aca="false">SUM(L7:L11)</f>
        <v>0</v>
      </c>
    </row>
    <row r="16" customFormat="false" ht="15" hidden="false" customHeight="true" outlineLevel="0" collapsed="false">
      <c r="A16" s="406"/>
      <c r="B16" s="402" t="s">
        <v>381</v>
      </c>
      <c r="C16" s="407"/>
      <c r="D16" s="407"/>
      <c r="E16" s="407"/>
      <c r="F16" s="407"/>
      <c r="G16" s="407"/>
      <c r="H16" s="532" t="n">
        <f aca="false">H13</f>
        <v>0</v>
      </c>
      <c r="I16" s="428"/>
      <c r="J16" s="532" t="n">
        <f aca="false">J13</f>
        <v>0</v>
      </c>
      <c r="K16" s="427"/>
      <c r="L16" s="535" t="n">
        <f aca="false">L13</f>
        <v>0</v>
      </c>
    </row>
    <row r="17" customFormat="false" ht="15" hidden="false" customHeight="true" outlineLevel="0" collapsed="false">
      <c r="A17" s="406"/>
      <c r="B17" s="404" t="s">
        <v>340</v>
      </c>
      <c r="C17" s="407"/>
      <c r="D17" s="407"/>
      <c r="E17" s="407"/>
      <c r="F17" s="407"/>
      <c r="G17" s="407"/>
      <c r="H17" s="427"/>
      <c r="I17" s="428"/>
      <c r="J17" s="532"/>
      <c r="K17" s="427"/>
      <c r="L17" s="429"/>
    </row>
    <row r="18" customFormat="false" ht="15" hidden="false" customHeight="true" outlineLevel="0" collapsed="false">
      <c r="A18" s="406"/>
      <c r="B18" s="407" t="s">
        <v>353</v>
      </c>
      <c r="C18" s="407"/>
      <c r="D18" s="407"/>
      <c r="E18" s="407"/>
      <c r="F18" s="407"/>
      <c r="G18" s="407"/>
      <c r="H18" s="414" t="n">
        <f aca="false">IF(ISERROR(H15*H16),0,(H15*H16))</f>
        <v>0</v>
      </c>
      <c r="I18" s="414"/>
      <c r="J18" s="414" t="n">
        <f aca="false">IF(ISERROR(J15*J16),0,(J15*J16))</f>
        <v>0</v>
      </c>
      <c r="K18" s="414"/>
      <c r="L18" s="415" t="n">
        <f aca="false">IF(ISERROR(L15*L16),0,(L15*L16))</f>
        <v>0</v>
      </c>
    </row>
    <row r="19" customFormat="false" ht="15" hidden="false" customHeight="true" outlineLevel="0" collapsed="false">
      <c r="A19" s="430"/>
      <c r="B19" s="431"/>
      <c r="C19" s="431"/>
      <c r="D19" s="431"/>
      <c r="E19" s="431"/>
      <c r="F19" s="431"/>
      <c r="G19" s="431"/>
      <c r="H19" s="431"/>
      <c r="I19" s="432"/>
      <c r="J19" s="431"/>
      <c r="K19" s="431"/>
      <c r="L19" s="433"/>
    </row>
    <row r="20" customFormat="false" ht="15.75" hidden="false" customHeight="false" outlineLevel="0" collapsed="false">
      <c r="A20" s="434" t="s">
        <v>342</v>
      </c>
      <c r="B20" s="435" t="s">
        <v>3</v>
      </c>
      <c r="C20" s="409"/>
      <c r="D20" s="435" t="s">
        <v>4</v>
      </c>
      <c r="E20" s="409"/>
      <c r="F20" s="435" t="s">
        <v>5</v>
      </c>
      <c r="G20" s="409"/>
      <c r="H20" s="435" t="s">
        <v>6</v>
      </c>
      <c r="I20" s="435"/>
      <c r="J20" s="435" t="s">
        <v>7</v>
      </c>
      <c r="K20" s="409"/>
      <c r="L20" s="436"/>
    </row>
    <row r="21" customFormat="false" ht="15" hidden="false" customHeight="true" outlineLevel="0" collapsed="false">
      <c r="A21" s="406"/>
      <c r="B21" s="407"/>
      <c r="C21" s="407"/>
      <c r="D21" s="407"/>
      <c r="E21" s="407"/>
      <c r="F21" s="407"/>
      <c r="G21" s="407"/>
      <c r="H21" s="407"/>
      <c r="I21" s="407"/>
      <c r="J21" s="407"/>
      <c r="K21" s="437"/>
      <c r="L21" s="420"/>
    </row>
    <row r="22" customFormat="false" ht="15" hidden="false" customHeight="true" outlineLevel="0" collapsed="false">
      <c r="A22" s="438" t="str">
        <f aca="false">H6</f>
        <v>Conservative Estimate </v>
      </c>
      <c r="B22" s="407" t="n">
        <f aca="false">+Assumptions!E6</f>
        <v>0.5</v>
      </c>
      <c r="C22" s="407"/>
      <c r="D22" s="407" t="n">
        <f aca="false">+Assumptions!G6</f>
        <v>1</v>
      </c>
      <c r="E22" s="407"/>
      <c r="F22" s="407" t="n">
        <f aca="false">+Assumptions!I6</f>
        <v>1</v>
      </c>
      <c r="G22" s="407"/>
      <c r="H22" s="407" t="n">
        <f aca="false">+Assumptions!K6</f>
        <v>1</v>
      </c>
      <c r="I22" s="407"/>
      <c r="J22" s="407" t="n">
        <f aca="false">+Assumptions!M6</f>
        <v>1</v>
      </c>
      <c r="K22" s="407"/>
      <c r="L22" s="420"/>
    </row>
    <row r="23" customFormat="false" ht="15" hidden="false" customHeight="true" outlineLevel="0" collapsed="false">
      <c r="A23" s="439" t="str">
        <f aca="false">J6</f>
        <v>Average Estimate </v>
      </c>
      <c r="B23" s="407" t="n">
        <f aca="false">+Assumptions!E7</f>
        <v>0.6</v>
      </c>
      <c r="C23" s="407"/>
      <c r="D23" s="407" t="n">
        <f aca="false">+Assumptions!G7</f>
        <v>1</v>
      </c>
      <c r="E23" s="407"/>
      <c r="F23" s="407" t="n">
        <f aca="false">+Assumptions!I7</f>
        <v>1</v>
      </c>
      <c r="G23" s="407"/>
      <c r="H23" s="407" t="n">
        <f aca="false">+Assumptions!K7</f>
        <v>1</v>
      </c>
      <c r="I23" s="407"/>
      <c r="J23" s="407" t="n">
        <f aca="false">+Assumptions!M7</f>
        <v>1</v>
      </c>
      <c r="K23" s="407"/>
      <c r="L23" s="420"/>
    </row>
    <row r="24" customFormat="false" ht="15" hidden="false" customHeight="true" outlineLevel="0" collapsed="false">
      <c r="A24" s="440" t="str">
        <f aca="false">L6</f>
        <v>Peak Performance</v>
      </c>
      <c r="B24" s="407" t="n">
        <f aca="false">+Assumptions!E8</f>
        <v>0.7</v>
      </c>
      <c r="C24" s="407"/>
      <c r="D24" s="407" t="n">
        <f aca="false">+Assumptions!G8</f>
        <v>1</v>
      </c>
      <c r="E24" s="407"/>
      <c r="F24" s="407" t="n">
        <f aca="false">+Assumptions!I8</f>
        <v>1</v>
      </c>
      <c r="G24" s="407"/>
      <c r="H24" s="407" t="n">
        <f aca="false">+Assumptions!K8</f>
        <v>1</v>
      </c>
      <c r="I24" s="407"/>
      <c r="J24" s="407" t="n">
        <f aca="false">+Assumptions!M8</f>
        <v>1</v>
      </c>
      <c r="K24" s="407"/>
      <c r="L24" s="420"/>
    </row>
    <row r="25" customFormat="false" ht="15.75" hidden="false" customHeight="false" outlineLevel="0" collapsed="false">
      <c r="A25" s="434" t="s">
        <v>343</v>
      </c>
      <c r="B25" s="435" t="s">
        <v>3</v>
      </c>
      <c r="C25" s="435"/>
      <c r="D25" s="435" t="s">
        <v>4</v>
      </c>
      <c r="E25" s="435"/>
      <c r="F25" s="435" t="s">
        <v>5</v>
      </c>
      <c r="G25" s="435"/>
      <c r="H25" s="435" t="s">
        <v>6</v>
      </c>
      <c r="I25" s="435"/>
      <c r="J25" s="435" t="s">
        <v>7</v>
      </c>
      <c r="K25" s="435"/>
      <c r="L25" s="441" t="s">
        <v>8</v>
      </c>
    </row>
    <row r="26" customFormat="false" ht="15" hidden="false" customHeight="true" outlineLevel="0" collapsed="false">
      <c r="A26" s="406"/>
      <c r="B26" s="407"/>
      <c r="C26" s="407"/>
      <c r="D26" s="407"/>
      <c r="E26" s="407"/>
      <c r="F26" s="407"/>
      <c r="G26" s="407"/>
      <c r="H26" s="407"/>
      <c r="I26" s="407"/>
      <c r="J26" s="407"/>
      <c r="K26" s="407"/>
      <c r="L26" s="420"/>
    </row>
    <row r="27" customFormat="false" ht="15" hidden="false" customHeight="true" outlineLevel="0" collapsed="false">
      <c r="A27" s="438" t="str">
        <f aca="false">+H6</f>
        <v>Conservative Estimate </v>
      </c>
      <c r="B27" s="442" t="n">
        <f aca="false">($H$18*B22)</f>
        <v>0</v>
      </c>
      <c r="C27" s="442"/>
      <c r="D27" s="442" t="n">
        <f aca="false">($H$18*D22)</f>
        <v>0</v>
      </c>
      <c r="E27" s="442"/>
      <c r="F27" s="442" t="n">
        <f aca="false">($H$18*F22)</f>
        <v>0</v>
      </c>
      <c r="G27" s="442"/>
      <c r="H27" s="442" t="n">
        <f aca="false">($H$18*H22)</f>
        <v>0</v>
      </c>
      <c r="I27" s="442"/>
      <c r="J27" s="442" t="n">
        <f aca="false">($H$18*J22)</f>
        <v>0</v>
      </c>
      <c r="K27" s="442"/>
      <c r="L27" s="443" t="n">
        <f aca="false">SUM(B27:J27)</f>
        <v>0</v>
      </c>
    </row>
    <row r="28" customFormat="false" ht="15" hidden="false" customHeight="true" outlineLevel="0" collapsed="false">
      <c r="A28" s="439" t="str">
        <f aca="false">+J6</f>
        <v>Average Estimate </v>
      </c>
      <c r="B28" s="442" t="n">
        <f aca="false">($J$18*B23)</f>
        <v>0</v>
      </c>
      <c r="C28" s="442"/>
      <c r="D28" s="442" t="n">
        <f aca="false">($J$18*D23)</f>
        <v>0</v>
      </c>
      <c r="E28" s="442"/>
      <c r="F28" s="442" t="n">
        <f aca="false">($J$18*F23)</f>
        <v>0</v>
      </c>
      <c r="G28" s="442"/>
      <c r="H28" s="442" t="n">
        <f aca="false">($J$18*H23)</f>
        <v>0</v>
      </c>
      <c r="I28" s="442"/>
      <c r="J28" s="442" t="n">
        <f aca="false">($J$18*J23)</f>
        <v>0</v>
      </c>
      <c r="K28" s="442"/>
      <c r="L28" s="443" t="n">
        <f aca="false">SUM(B28:J28)</f>
        <v>0</v>
      </c>
    </row>
    <row r="29" customFormat="false" ht="15" hidden="false" customHeight="true" outlineLevel="0" collapsed="false">
      <c r="A29" s="440" t="str">
        <f aca="false">+L6</f>
        <v>Peak Performance</v>
      </c>
      <c r="B29" s="444" t="n">
        <f aca="false">($L$18*B24)</f>
        <v>0</v>
      </c>
      <c r="C29" s="444"/>
      <c r="D29" s="444" t="n">
        <f aca="false">($L$18*D24)</f>
        <v>0</v>
      </c>
      <c r="E29" s="444"/>
      <c r="F29" s="444" t="n">
        <f aca="false">($L$18*F24)</f>
        <v>0</v>
      </c>
      <c r="G29" s="444"/>
      <c r="H29" s="444" t="n">
        <f aca="false">($L$18*H24)</f>
        <v>0</v>
      </c>
      <c r="I29" s="444"/>
      <c r="J29" s="444" t="n">
        <f aca="false">($L$18*J24)</f>
        <v>0</v>
      </c>
      <c r="K29" s="444"/>
      <c r="L29" s="445" t="n">
        <f aca="false">SUM(B29:J29)</f>
        <v>0</v>
      </c>
    </row>
    <row r="30" customFormat="false" ht="15" hidden="false" customHeight="true" outlineLevel="0" collapsed="false">
      <c r="A30" s="446"/>
      <c r="B30" s="400"/>
      <c r="C30" s="400"/>
      <c r="D30" s="400"/>
      <c r="E30" s="400"/>
      <c r="F30" s="400"/>
      <c r="G30" s="400"/>
      <c r="H30" s="447"/>
      <c r="I30" s="437"/>
      <c r="J30" s="447"/>
      <c r="K30" s="437"/>
      <c r="L30" s="448"/>
    </row>
    <row r="31" customFormat="false" ht="11.45" hidden="false" customHeight="true" outlineLevel="0" collapsed="false">
      <c r="A31" s="407"/>
      <c r="B31" s="407"/>
      <c r="C31" s="407"/>
      <c r="D31" s="407"/>
      <c r="E31" s="407"/>
      <c r="F31" s="407"/>
      <c r="G31" s="407"/>
      <c r="H31" s="407"/>
      <c r="I31" s="407"/>
      <c r="J31" s="407"/>
      <c r="K31" s="407"/>
      <c r="L31" s="407"/>
    </row>
    <row r="32" customFormat="false" ht="11.45" hidden="false" customHeight="true" outlineLevel="0" collapsed="false">
      <c r="A32" s="449"/>
      <c r="B32" s="407"/>
      <c r="C32" s="407"/>
      <c r="D32" s="407"/>
      <c r="E32" s="407"/>
      <c r="F32" s="407"/>
      <c r="G32" s="407"/>
      <c r="H32" s="93"/>
      <c r="I32" s="407"/>
      <c r="J32" s="407"/>
      <c r="K32" s="407"/>
      <c r="L32" s="407"/>
    </row>
    <row r="33" customFormat="false" ht="11.45" hidden="false" customHeight="true" outlineLevel="0" collapsed="false">
      <c r="A33" s="407"/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7"/>
    </row>
    <row r="34" customFormat="false" ht="11.45" hidden="false" customHeight="true" outlineLevel="0" collapsed="false"/>
  </sheetData>
  <printOptions headings="false" gridLines="false" gridLinesSet="true" horizontalCentered="false" verticalCentered="false"/>
  <pageMargins left="1" right="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3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6" activeCellId="0" sqref="H6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456" width="25.7"/>
    <col collapsed="false" customWidth="true" hidden="false" outlineLevel="0" max="2" min="2" style="456" width="16.7"/>
    <col collapsed="false" customWidth="true" hidden="false" outlineLevel="0" max="3" min="3" style="456" width="1.7"/>
    <col collapsed="false" customWidth="true" hidden="false" outlineLevel="0" max="4" min="4" style="456" width="16.7"/>
    <col collapsed="false" customWidth="true" hidden="false" outlineLevel="0" max="5" min="5" style="456" width="1.7"/>
    <col collapsed="false" customWidth="true" hidden="false" outlineLevel="0" max="6" min="6" style="456" width="16.7"/>
    <col collapsed="false" customWidth="true" hidden="false" outlineLevel="0" max="7" min="7" style="456" width="1.7"/>
    <col collapsed="false" customWidth="true" hidden="false" outlineLevel="0" max="8" min="8" style="456" width="16.7"/>
    <col collapsed="false" customWidth="true" hidden="false" outlineLevel="0" max="9" min="9" style="456" width="1.7"/>
    <col collapsed="false" customWidth="true" hidden="false" outlineLevel="0" max="10" min="10" style="456" width="16.7"/>
    <col collapsed="false" customWidth="true" hidden="false" outlineLevel="0" max="11" min="11" style="456" width="1.7"/>
    <col collapsed="false" customWidth="true" hidden="false" outlineLevel="0" max="12" min="12" style="456" width="16.7"/>
    <col collapsed="false" customWidth="true" hidden="false" outlineLevel="0" max="13" min="13" style="456" width="1.85"/>
    <col collapsed="false" customWidth="false" hidden="false" outlineLevel="0" max="257" min="14" style="456" width="9.14"/>
  </cols>
  <sheetData>
    <row r="1" customFormat="false" ht="48" hidden="false" customHeight="true" outlineLevel="0" collapsed="false">
      <c r="A1" s="457"/>
      <c r="B1" s="458" t="s">
        <v>9</v>
      </c>
      <c r="C1" s="536" t="s">
        <v>9</v>
      </c>
      <c r="D1" s="536"/>
      <c r="H1" s="26"/>
      <c r="I1" s="26"/>
      <c r="J1" s="26"/>
      <c r="K1" s="26"/>
      <c r="L1" s="26"/>
      <c r="M1" s="26"/>
      <c r="N1" s="26"/>
    </row>
    <row r="2" customFormat="false" ht="32.25" hidden="false" customHeight="true" outlineLevel="0" collapsed="false">
      <c r="A2" s="459" t="s">
        <v>382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1"/>
      <c r="P2" s="536"/>
    </row>
    <row r="3" customFormat="false" ht="15" hidden="false" customHeight="true" outlineLevel="0" collapsed="false">
      <c r="A3" s="462" t="s">
        <v>383</v>
      </c>
      <c r="B3" s="463"/>
      <c r="C3" s="464"/>
      <c r="D3" s="465"/>
      <c r="E3" s="465"/>
      <c r="F3" s="465"/>
      <c r="G3" s="465"/>
      <c r="H3" s="465"/>
      <c r="I3" s="465"/>
      <c r="J3" s="465"/>
      <c r="K3" s="465"/>
      <c r="L3" s="466"/>
    </row>
    <row r="4" customFormat="false" ht="15" hidden="false" customHeight="true" outlineLevel="0" collapsed="false">
      <c r="A4" s="462" t="s">
        <v>384</v>
      </c>
      <c r="B4" s="463"/>
      <c r="C4" s="464"/>
      <c r="D4" s="465"/>
      <c r="E4" s="465"/>
      <c r="F4" s="465"/>
      <c r="G4" s="465"/>
      <c r="H4" s="465"/>
      <c r="I4" s="465"/>
      <c r="J4" s="465"/>
      <c r="K4" s="465"/>
      <c r="L4" s="466"/>
    </row>
    <row r="5" customFormat="false" ht="33" hidden="false" customHeight="true" outlineLevel="0" collapsed="false">
      <c r="A5" s="467" t="s">
        <v>328</v>
      </c>
      <c r="B5" s="468"/>
      <c r="C5" s="468"/>
      <c r="D5" s="468"/>
      <c r="E5" s="468"/>
      <c r="F5" s="468"/>
      <c r="G5" s="468"/>
      <c r="H5" s="469" t="str">
        <f aca="false">R1!H8</f>
        <v>Conservative Estimate </v>
      </c>
      <c r="I5" s="470"/>
      <c r="J5" s="469" t="str">
        <f aca="false">R1!J8</f>
        <v>Average Estimate </v>
      </c>
      <c r="K5" s="470"/>
      <c r="L5" s="471" t="str">
        <f aca="false">R1!L8</f>
        <v>Peak Performance</v>
      </c>
    </row>
    <row r="6" customFormat="false" ht="15" hidden="false" customHeight="true" outlineLevel="0" collapsed="false">
      <c r="A6" s="472" t="s">
        <v>332</v>
      </c>
      <c r="B6" s="463" t="s">
        <v>234</v>
      </c>
      <c r="C6" s="463"/>
      <c r="D6" s="463"/>
      <c r="E6" s="463"/>
      <c r="F6" s="463"/>
      <c r="G6" s="463"/>
      <c r="H6" s="475" t="n">
        <f aca="false">+Assumptions!E52</f>
        <v>597000000</v>
      </c>
      <c r="I6" s="475"/>
      <c r="J6" s="475" t="n">
        <f aca="false">+Assumptions!G52</f>
        <v>597000000</v>
      </c>
      <c r="K6" s="475"/>
      <c r="L6" s="477" t="n">
        <f aca="false">+Assumptions!I52</f>
        <v>597000000</v>
      </c>
    </row>
    <row r="7" customFormat="false" ht="15" hidden="false" customHeight="true" outlineLevel="0" collapsed="false">
      <c r="A7" s="472"/>
      <c r="B7" s="463" t="s">
        <v>239</v>
      </c>
      <c r="C7" s="463"/>
      <c r="D7" s="463"/>
      <c r="E7" s="463"/>
      <c r="F7" s="463"/>
      <c r="G7" s="463"/>
      <c r="H7" s="537" t="n">
        <f aca="false">+Assumptions!E53</f>
        <v>-0</v>
      </c>
      <c r="I7" s="474"/>
      <c r="J7" s="537" t="n">
        <f aca="false">+Assumptions!G53</f>
        <v>-0</v>
      </c>
      <c r="K7" s="474"/>
      <c r="L7" s="538" t="n">
        <f aca="false">+Assumptions!I53</f>
        <v>-0</v>
      </c>
    </row>
    <row r="8" customFormat="false" ht="15" hidden="false" customHeight="true" outlineLevel="0" collapsed="false">
      <c r="A8" s="472"/>
      <c r="B8" s="517" t="s">
        <v>385</v>
      </c>
      <c r="C8" s="463"/>
      <c r="D8" s="463"/>
      <c r="E8" s="463"/>
      <c r="F8" s="463"/>
      <c r="G8" s="463"/>
      <c r="H8" s="539" t="n">
        <f aca="false">+Assumptions!E54</f>
        <v>0</v>
      </c>
      <c r="I8" s="540"/>
      <c r="J8" s="539" t="n">
        <f aca="false">+Assumptions!G54</f>
        <v>0</v>
      </c>
      <c r="K8" s="540"/>
      <c r="L8" s="541" t="n">
        <f aca="false">+Assumptions!I54</f>
        <v>0</v>
      </c>
    </row>
    <row r="9" customFormat="false" ht="15" hidden="false" customHeight="true" outlineLevel="0" collapsed="false">
      <c r="A9" s="472"/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78"/>
    </row>
    <row r="10" customFormat="false" ht="15" hidden="false" customHeight="true" outlineLevel="0" collapsed="false">
      <c r="A10" s="472" t="s">
        <v>335</v>
      </c>
      <c r="B10" s="517" t="s">
        <v>386</v>
      </c>
      <c r="C10" s="463"/>
      <c r="D10" s="93"/>
      <c r="E10" s="463"/>
      <c r="F10" s="463"/>
      <c r="G10" s="463"/>
      <c r="H10" s="479" t="n">
        <f aca="false">+Assumptions!E55</f>
        <v>0</v>
      </c>
      <c r="I10" s="463"/>
      <c r="J10" s="479" t="n">
        <f aca="false">+Assumptions!G55</f>
        <v>0</v>
      </c>
      <c r="K10" s="480"/>
      <c r="L10" s="481" t="n">
        <f aca="false">+Assumptions!I55</f>
        <v>0</v>
      </c>
    </row>
    <row r="11" customFormat="false" ht="15" hidden="false" customHeight="true" outlineLevel="0" collapsed="false">
      <c r="A11" s="472"/>
      <c r="B11" s="517"/>
      <c r="C11" s="463"/>
      <c r="D11" s="93"/>
      <c r="E11" s="463"/>
      <c r="F11" s="463"/>
      <c r="G11" s="463"/>
      <c r="H11" s="479"/>
      <c r="I11" s="463"/>
      <c r="J11" s="479"/>
      <c r="K11" s="480"/>
      <c r="L11" s="481"/>
    </row>
    <row r="12" customFormat="false" ht="15" hidden="false" customHeight="true" outlineLevel="0" collapsed="false">
      <c r="A12" s="472" t="s">
        <v>337</v>
      </c>
      <c r="B12" s="517" t="s">
        <v>387</v>
      </c>
      <c r="C12" s="463"/>
      <c r="D12" s="463"/>
      <c r="E12" s="463"/>
      <c r="F12" s="463"/>
      <c r="G12" s="463"/>
      <c r="H12" s="539" t="n">
        <f aca="false">H8*(1-H10)</f>
        <v>0</v>
      </c>
      <c r="I12" s="540"/>
      <c r="J12" s="539" t="n">
        <f aca="false">J8*(1-J10)</f>
        <v>0</v>
      </c>
      <c r="K12" s="540"/>
      <c r="L12" s="541" t="n">
        <f aca="false">L8*(1-L10)</f>
        <v>0</v>
      </c>
    </row>
    <row r="13" customFormat="false" ht="15" hidden="false" customHeight="true" outlineLevel="0" collapsed="false">
      <c r="A13" s="472"/>
      <c r="B13" s="517" t="s">
        <v>388</v>
      </c>
      <c r="C13" s="463"/>
      <c r="D13" s="463"/>
      <c r="E13" s="463"/>
      <c r="F13" s="463"/>
      <c r="G13" s="463"/>
      <c r="H13" s="542" t="n">
        <f aca="false">Assumptions!E17*(H8-H12)/1000</f>
        <v>0</v>
      </c>
      <c r="I13" s="542"/>
      <c r="J13" s="542" t="n">
        <f aca="false">Assumptions!G17*(J8-J12)/1000</f>
        <v>0</v>
      </c>
      <c r="K13" s="542"/>
      <c r="L13" s="543" t="n">
        <f aca="false">Assumptions!I17*(L8-L12)/1000</f>
        <v>0</v>
      </c>
    </row>
    <row r="14" customFormat="false" ht="15" hidden="false" customHeight="true" outlineLevel="0" collapsed="false">
      <c r="A14" s="524"/>
      <c r="B14" s="517"/>
      <c r="C14" s="463"/>
      <c r="D14" s="463"/>
      <c r="E14" s="463"/>
      <c r="F14" s="463"/>
      <c r="G14" s="463"/>
      <c r="H14" s="482"/>
      <c r="I14" s="482"/>
      <c r="J14" s="482"/>
      <c r="K14" s="482"/>
      <c r="L14" s="484"/>
    </row>
    <row r="15" customFormat="false" ht="15" hidden="false" customHeight="true" outlineLevel="0" collapsed="false">
      <c r="A15" s="524"/>
      <c r="B15" s="463" t="s">
        <v>366</v>
      </c>
      <c r="C15" s="463"/>
      <c r="D15" s="463"/>
      <c r="E15" s="463"/>
      <c r="F15" s="463"/>
      <c r="G15" s="463"/>
      <c r="H15" s="485" t="n">
        <v>0.0675</v>
      </c>
      <c r="I15" s="544"/>
      <c r="J15" s="485" t="n">
        <v>0.0675</v>
      </c>
      <c r="K15" s="545"/>
      <c r="L15" s="487" t="n">
        <v>0.0675</v>
      </c>
    </row>
    <row r="16" customFormat="false" ht="15" hidden="false" customHeight="true" outlineLevel="0" collapsed="false">
      <c r="A16" s="524"/>
      <c r="B16" s="465"/>
      <c r="C16" s="463"/>
      <c r="D16" s="463"/>
      <c r="E16" s="463"/>
      <c r="F16" s="463"/>
      <c r="G16" s="463"/>
      <c r="H16" s="488"/>
      <c r="I16" s="489"/>
      <c r="J16" s="490"/>
      <c r="K16" s="488"/>
      <c r="L16" s="491"/>
    </row>
    <row r="17" customFormat="false" ht="15" hidden="false" customHeight="true" outlineLevel="0" collapsed="false">
      <c r="A17" s="499"/>
      <c r="B17" s="517" t="s">
        <v>389</v>
      </c>
      <c r="C17" s="463"/>
      <c r="D17" s="463"/>
      <c r="E17" s="463"/>
      <c r="F17" s="463"/>
      <c r="G17" s="463"/>
      <c r="H17" s="546" t="n">
        <f aca="false">H13*H15</f>
        <v>0</v>
      </c>
      <c r="I17" s="546"/>
      <c r="J17" s="546" t="n">
        <f aca="false">J13*J15</f>
        <v>0</v>
      </c>
      <c r="K17" s="546"/>
      <c r="L17" s="547" t="n">
        <f aca="false">L13*L15</f>
        <v>0</v>
      </c>
    </row>
    <row r="18" customFormat="false" ht="15" hidden="false" customHeight="true" outlineLevel="0" collapsed="false">
      <c r="A18" s="519"/>
      <c r="B18" s="493"/>
      <c r="C18" s="493"/>
      <c r="D18" s="493"/>
      <c r="E18" s="493"/>
      <c r="F18" s="493"/>
      <c r="G18" s="493"/>
      <c r="H18" s="493"/>
      <c r="I18" s="494"/>
      <c r="J18" s="493"/>
      <c r="K18" s="493"/>
      <c r="L18" s="495"/>
    </row>
    <row r="19" customFormat="false" ht="15.75" hidden="false" customHeight="false" outlineLevel="0" collapsed="false">
      <c r="A19" s="496" t="s">
        <v>342</v>
      </c>
      <c r="B19" s="497" t="s">
        <v>3</v>
      </c>
      <c r="C19" s="468"/>
      <c r="D19" s="497" t="s">
        <v>4</v>
      </c>
      <c r="E19" s="468"/>
      <c r="F19" s="497" t="s">
        <v>5</v>
      </c>
      <c r="G19" s="468"/>
      <c r="H19" s="497" t="s">
        <v>6</v>
      </c>
      <c r="I19" s="497"/>
      <c r="J19" s="497" t="s">
        <v>7</v>
      </c>
      <c r="K19" s="468"/>
      <c r="L19" s="498"/>
    </row>
    <row r="20" customFormat="false" ht="15" hidden="false" customHeight="true" outlineLevel="0" collapsed="false">
      <c r="A20" s="499"/>
      <c r="B20" s="463"/>
      <c r="C20" s="463"/>
      <c r="D20" s="463"/>
      <c r="E20" s="463"/>
      <c r="F20" s="463"/>
      <c r="G20" s="463"/>
      <c r="H20" s="463"/>
      <c r="I20" s="463"/>
      <c r="J20" s="463"/>
      <c r="K20" s="500"/>
      <c r="L20" s="478"/>
    </row>
    <row r="21" customFormat="false" ht="15" hidden="false" customHeight="true" outlineLevel="0" collapsed="false">
      <c r="A21" s="501" t="str">
        <f aca="false">H5</f>
        <v>Conservative Estimate </v>
      </c>
      <c r="B21" s="463" t="n">
        <f aca="false">+Assumptions!E6</f>
        <v>0.5</v>
      </c>
      <c r="C21" s="463"/>
      <c r="D21" s="463" t="n">
        <f aca="false">+Assumptions!G6</f>
        <v>1</v>
      </c>
      <c r="E21" s="463"/>
      <c r="F21" s="463" t="n">
        <f aca="false">+Assumptions!I6</f>
        <v>1</v>
      </c>
      <c r="G21" s="463"/>
      <c r="H21" s="463" t="n">
        <f aca="false">+Assumptions!K6</f>
        <v>1</v>
      </c>
      <c r="I21" s="463"/>
      <c r="J21" s="463" t="n">
        <f aca="false">+Assumptions!M6</f>
        <v>1</v>
      </c>
      <c r="K21" s="463"/>
      <c r="L21" s="478"/>
    </row>
    <row r="22" customFormat="false" ht="15" hidden="false" customHeight="true" outlineLevel="0" collapsed="false">
      <c r="A22" s="502" t="str">
        <f aca="false">J5</f>
        <v>Average Estimate </v>
      </c>
      <c r="B22" s="463" t="n">
        <f aca="false">+Assumptions!E7</f>
        <v>0.6</v>
      </c>
      <c r="C22" s="463"/>
      <c r="D22" s="463" t="n">
        <f aca="false">+Assumptions!G7</f>
        <v>1</v>
      </c>
      <c r="E22" s="463"/>
      <c r="F22" s="463" t="n">
        <f aca="false">+Assumptions!I7</f>
        <v>1</v>
      </c>
      <c r="G22" s="463"/>
      <c r="H22" s="463" t="n">
        <f aca="false">+Assumptions!K7</f>
        <v>1</v>
      </c>
      <c r="I22" s="463"/>
      <c r="J22" s="463" t="n">
        <f aca="false">+Assumptions!M7</f>
        <v>1</v>
      </c>
      <c r="K22" s="463"/>
      <c r="L22" s="478"/>
    </row>
    <row r="23" customFormat="false" ht="15" hidden="false" customHeight="true" outlineLevel="0" collapsed="false">
      <c r="A23" s="503" t="str">
        <f aca="false">L5</f>
        <v>Peak Performance</v>
      </c>
      <c r="B23" s="463" t="n">
        <f aca="false">+Assumptions!E8</f>
        <v>0.7</v>
      </c>
      <c r="C23" s="463"/>
      <c r="D23" s="463" t="n">
        <f aca="false">+Assumptions!G8</f>
        <v>1</v>
      </c>
      <c r="E23" s="463"/>
      <c r="F23" s="463" t="n">
        <f aca="false">+Assumptions!I8</f>
        <v>1</v>
      </c>
      <c r="G23" s="463"/>
      <c r="H23" s="463" t="n">
        <f aca="false">+Assumptions!K8</f>
        <v>1</v>
      </c>
      <c r="I23" s="463"/>
      <c r="J23" s="463" t="n">
        <f aca="false">+Assumptions!M8</f>
        <v>1</v>
      </c>
      <c r="K23" s="463"/>
      <c r="L23" s="478"/>
    </row>
    <row r="24" customFormat="false" ht="15.75" hidden="false" customHeight="false" outlineLevel="0" collapsed="false">
      <c r="A24" s="496" t="s">
        <v>343</v>
      </c>
      <c r="B24" s="497" t="s">
        <v>3</v>
      </c>
      <c r="C24" s="497"/>
      <c r="D24" s="497" t="s">
        <v>4</v>
      </c>
      <c r="E24" s="497"/>
      <c r="F24" s="497" t="s">
        <v>5</v>
      </c>
      <c r="G24" s="497"/>
      <c r="H24" s="497" t="s">
        <v>6</v>
      </c>
      <c r="I24" s="497"/>
      <c r="J24" s="497" t="s">
        <v>7</v>
      </c>
      <c r="K24" s="497"/>
      <c r="L24" s="504" t="s">
        <v>8</v>
      </c>
    </row>
    <row r="25" customFormat="false" ht="15" hidden="false" customHeight="true" outlineLevel="0" collapsed="false">
      <c r="A25" s="499"/>
      <c r="B25" s="463"/>
      <c r="C25" s="463"/>
      <c r="D25" s="463"/>
      <c r="E25" s="463"/>
      <c r="F25" s="463"/>
      <c r="G25" s="463"/>
      <c r="H25" s="463"/>
      <c r="I25" s="463"/>
      <c r="J25" s="463"/>
      <c r="K25" s="463"/>
      <c r="L25" s="478"/>
    </row>
    <row r="26" customFormat="false" ht="15" hidden="false" customHeight="true" outlineLevel="0" collapsed="false">
      <c r="A26" s="501" t="str">
        <f aca="false">+H5</f>
        <v>Conservative Estimate </v>
      </c>
      <c r="B26" s="505" t="n">
        <f aca="false">($H$17*B21)</f>
        <v>0</v>
      </c>
      <c r="C26" s="505"/>
      <c r="D26" s="505" t="n">
        <f aca="false">($H$17*D21)</f>
        <v>0</v>
      </c>
      <c r="E26" s="505"/>
      <c r="F26" s="505" t="n">
        <f aca="false">($H$17*F21)</f>
        <v>0</v>
      </c>
      <c r="G26" s="505"/>
      <c r="H26" s="505" t="n">
        <f aca="false">($H$17*H21)</f>
        <v>0</v>
      </c>
      <c r="I26" s="505"/>
      <c r="J26" s="505" t="n">
        <f aca="false">($H$17*J21)</f>
        <v>0</v>
      </c>
      <c r="K26" s="548"/>
      <c r="L26" s="549" t="n">
        <f aca="false">SUM(B26:J26)</f>
        <v>0</v>
      </c>
    </row>
    <row r="27" customFormat="false" ht="15" hidden="false" customHeight="true" outlineLevel="0" collapsed="false">
      <c r="A27" s="502" t="str">
        <f aca="false">+J5</f>
        <v>Average Estimate </v>
      </c>
      <c r="B27" s="505" t="n">
        <f aca="false">($J$17*B22)</f>
        <v>0</v>
      </c>
      <c r="C27" s="505"/>
      <c r="D27" s="505" t="n">
        <f aca="false">($J$17*D22)</f>
        <v>0</v>
      </c>
      <c r="E27" s="505"/>
      <c r="F27" s="505" t="n">
        <f aca="false">($J$17*F22)</f>
        <v>0</v>
      </c>
      <c r="G27" s="505"/>
      <c r="H27" s="505" t="n">
        <f aca="false">($J$17*H22)</f>
        <v>0</v>
      </c>
      <c r="I27" s="505"/>
      <c r="J27" s="505" t="n">
        <f aca="false">($J$17*J22)</f>
        <v>0</v>
      </c>
      <c r="K27" s="463"/>
      <c r="L27" s="549" t="n">
        <f aca="false">SUM(B27:J27)</f>
        <v>0</v>
      </c>
    </row>
    <row r="28" customFormat="false" ht="15" hidden="false" customHeight="true" outlineLevel="0" collapsed="false">
      <c r="A28" s="503" t="str">
        <f aca="false">+L5</f>
        <v>Peak Performance</v>
      </c>
      <c r="B28" s="507" t="n">
        <f aca="false">($L$17*B23)</f>
        <v>0</v>
      </c>
      <c r="C28" s="507"/>
      <c r="D28" s="507" t="n">
        <f aca="false">($L$17*D23)</f>
        <v>0</v>
      </c>
      <c r="E28" s="507"/>
      <c r="F28" s="507" t="n">
        <f aca="false">($L$17*F23)</f>
        <v>0</v>
      </c>
      <c r="G28" s="507"/>
      <c r="H28" s="507" t="n">
        <f aca="false">($L$17*H23)</f>
        <v>0</v>
      </c>
      <c r="I28" s="507"/>
      <c r="J28" s="507" t="n">
        <f aca="false">($L$17*J23)</f>
        <v>0</v>
      </c>
      <c r="K28" s="493"/>
      <c r="L28" s="550" t="n">
        <f aca="false">SUM(B28:J28)</f>
        <v>0</v>
      </c>
    </row>
    <row r="29" customFormat="false" ht="15" hidden="false" customHeight="true" outlineLevel="0" collapsed="false">
      <c r="A29" s="509"/>
      <c r="B29" s="510"/>
      <c r="C29" s="510"/>
      <c r="D29" s="510"/>
      <c r="E29" s="510"/>
      <c r="F29" s="510"/>
      <c r="G29" s="510"/>
      <c r="H29" s="511"/>
      <c r="I29" s="500"/>
      <c r="J29" s="511"/>
      <c r="K29" s="500"/>
      <c r="L29" s="512"/>
    </row>
    <row r="30" customFormat="false" ht="11.45" hidden="false" customHeight="true" outlineLevel="0" collapsed="false">
      <c r="A30" s="463"/>
      <c r="B30" s="463"/>
      <c r="C30" s="463"/>
      <c r="D30" s="463"/>
      <c r="E30" s="463"/>
      <c r="F30" s="463"/>
      <c r="G30" s="463"/>
      <c r="H30" s="463"/>
      <c r="I30" s="463"/>
      <c r="J30" s="463"/>
      <c r="K30" s="463"/>
      <c r="L30" s="463"/>
    </row>
    <row r="31" customFormat="false" ht="11.45" hidden="false" customHeight="true" outlineLevel="0" collapsed="false">
      <c r="A31" s="513"/>
      <c r="B31" s="463"/>
      <c r="C31" s="463"/>
      <c r="D31" s="463"/>
      <c r="E31" s="463"/>
      <c r="F31" s="463"/>
      <c r="G31" s="463"/>
      <c r="H31" s="93"/>
      <c r="I31" s="463"/>
      <c r="J31" s="463"/>
      <c r="K31" s="463"/>
      <c r="L31" s="463"/>
    </row>
    <row r="32" customFormat="false" ht="11.45" hidden="false" customHeight="true" outlineLevel="0" collapsed="false">
      <c r="A32" s="463"/>
      <c r="B32" s="463"/>
      <c r="C32" s="463"/>
      <c r="D32" s="463"/>
      <c r="E32" s="463"/>
      <c r="F32" s="463"/>
      <c r="G32" s="463"/>
      <c r="H32" s="463"/>
      <c r="I32" s="463"/>
      <c r="J32" s="463"/>
      <c r="K32" s="463"/>
      <c r="L32" s="463"/>
    </row>
    <row r="33" customFormat="false" ht="11.45" hidden="false" customHeight="true" outlineLevel="0" collapsed="false"/>
  </sheetData>
  <printOptions headings="false" gridLines="false" gridLinesSet="true" horizontalCentered="false" verticalCentered="false"/>
  <pageMargins left="1" right="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S5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73" activeCellId="0" sqref="B7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3" min="3" style="0" width="15.85"/>
    <col collapsed="false" customWidth="true" hidden="false" outlineLevel="0" max="4" min="4" style="0" width="11.42"/>
    <col collapsed="false" customWidth="true" hidden="false" outlineLevel="0" max="6" min="5" style="0" width="1.7"/>
    <col collapsed="false" customWidth="true" hidden="false" outlineLevel="0" max="7" min="7" style="0" width="12.7"/>
    <col collapsed="false" customWidth="true" hidden="false" outlineLevel="0" max="8" min="8" style="0" width="1.7"/>
    <col collapsed="false" customWidth="true" hidden="false" outlineLevel="0" max="9" min="9" style="0" width="12.7"/>
    <col collapsed="false" customWidth="true" hidden="false" outlineLevel="0" max="10" min="10" style="0" width="1.7"/>
    <col collapsed="false" customWidth="true" hidden="false" outlineLevel="0" max="11" min="11" style="0" width="12.7"/>
    <col collapsed="false" customWidth="true" hidden="false" outlineLevel="0" max="12" min="12" style="0" width="1.7"/>
    <col collapsed="false" customWidth="true" hidden="false" outlineLevel="0" max="13" min="13" style="0" width="12.7"/>
    <col collapsed="false" customWidth="true" hidden="false" outlineLevel="0" max="14" min="14" style="0" width="1.7"/>
    <col collapsed="false" customWidth="true" hidden="false" outlineLevel="0" max="15" min="15" style="0" width="12.7"/>
    <col collapsed="false" customWidth="true" hidden="false" outlineLevel="0" max="16" min="16" style="0" width="1.7"/>
    <col collapsed="false" customWidth="true" hidden="false" outlineLevel="0" max="17" min="17" style="0" width="14.41"/>
    <col collapsed="false" customWidth="true" hidden="false" outlineLevel="0" max="19" min="18" style="0" width="1.7"/>
  </cols>
  <sheetData>
    <row r="2" customFormat="false" ht="18" hidden="false" customHeight="false" outlineLevel="0" collapsed="false">
      <c r="I2" s="1" t="s">
        <v>0</v>
      </c>
    </row>
    <row r="3" customFormat="false" ht="18" hidden="false" customHeight="false" outlineLevel="0" collapsed="false">
      <c r="I3" s="1" t="s">
        <v>30</v>
      </c>
    </row>
    <row r="4" customFormat="false" ht="12.75" hidden="false" customHeight="false" outlineLevel="0" collapsed="false"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</row>
    <row r="5" customFormat="false" ht="12.75" hidden="false" customHeight="false" outlineLevel="0" collapsed="false">
      <c r="B5" s="4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2"/>
    </row>
    <row r="6" customFormat="false" ht="12.75" hidden="false" customHeight="false" outlineLevel="0" collapsed="false">
      <c r="B6" s="8"/>
      <c r="C6" s="9" t="s">
        <v>2</v>
      </c>
      <c r="D6" s="9"/>
      <c r="E6" s="2"/>
      <c r="F6" s="2"/>
      <c r="G6" s="10" t="s">
        <v>3</v>
      </c>
      <c r="H6" s="10"/>
      <c r="I6" s="10" t="s">
        <v>4</v>
      </c>
      <c r="J6" s="10"/>
      <c r="K6" s="10" t="s">
        <v>5</v>
      </c>
      <c r="L6" s="10"/>
      <c r="M6" s="10" t="s">
        <v>6</v>
      </c>
      <c r="N6" s="10"/>
      <c r="O6" s="10" t="s">
        <v>7</v>
      </c>
      <c r="P6" s="10"/>
      <c r="Q6" s="10" t="s">
        <v>8</v>
      </c>
      <c r="R6" s="11"/>
      <c r="S6" s="2"/>
    </row>
    <row r="7" customFormat="false" ht="12.75" hidden="false" customHeight="false" outlineLevel="0" collapsed="false">
      <c r="B7" s="8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11"/>
      <c r="S7" s="2"/>
    </row>
    <row r="8" customFormat="false" ht="12.75" hidden="false" customHeight="false" outlineLevel="0" collapsed="false">
      <c r="B8" s="8"/>
      <c r="C8" s="2" t="str">
        <f aca="false">+'ROI Breakdown'!B23</f>
        <v>Software</v>
      </c>
      <c r="D8" s="2"/>
      <c r="E8" s="2"/>
      <c r="F8" s="2"/>
      <c r="G8" s="12" t="n">
        <f aca="false">+'ROI Breakdown'!D23</f>
        <v>725000</v>
      </c>
      <c r="H8" s="12"/>
      <c r="I8" s="12" t="n">
        <f aca="false">+'ROI Breakdown'!F23</f>
        <v>0</v>
      </c>
      <c r="J8" s="12"/>
      <c r="K8" s="12" t="n">
        <f aca="false">+'ROI Breakdown'!H23</f>
        <v>0</v>
      </c>
      <c r="L8" s="12"/>
      <c r="M8" s="12" t="n">
        <f aca="false">+'ROI Breakdown'!J23</f>
        <v>0</v>
      </c>
      <c r="N8" s="12"/>
      <c r="O8" s="12" t="n">
        <f aca="false">+'ROI Breakdown'!L23</f>
        <v>0</v>
      </c>
      <c r="P8" s="12"/>
      <c r="Q8" s="12" t="n">
        <f aca="false">SUM(G8:O8)</f>
        <v>725000</v>
      </c>
      <c r="R8" s="11"/>
      <c r="S8" s="2"/>
    </row>
    <row r="9" customFormat="false" ht="12.75" hidden="false" customHeight="false" outlineLevel="0" collapsed="false">
      <c r="B9" s="8"/>
      <c r="C9" s="2" t="str">
        <f aca="false">+'ROI Breakdown'!B25</f>
        <v>Implementation</v>
      </c>
      <c r="D9" s="2"/>
      <c r="E9" s="2"/>
      <c r="F9" s="2"/>
      <c r="G9" s="12" t="n">
        <f aca="false">+'ROI Breakdown'!D25</f>
        <v>362500</v>
      </c>
      <c r="H9" s="12"/>
      <c r="I9" s="12" t="n">
        <f aca="false">+'ROI Breakdown'!F25</f>
        <v>72500</v>
      </c>
      <c r="J9" s="12"/>
      <c r="K9" s="12" t="n">
        <f aca="false">+'ROI Breakdown'!H25</f>
        <v>72500</v>
      </c>
      <c r="L9" s="12"/>
      <c r="M9" s="12" t="n">
        <f aca="false">+'ROI Breakdown'!J25</f>
        <v>72500</v>
      </c>
      <c r="N9" s="12"/>
      <c r="O9" s="12" t="n">
        <f aca="false">+'ROI Breakdown'!L25</f>
        <v>72500</v>
      </c>
      <c r="P9" s="12"/>
      <c r="Q9" s="12" t="n">
        <f aca="false">SUM(G9:O9)</f>
        <v>652500</v>
      </c>
      <c r="R9" s="11"/>
      <c r="S9" s="2"/>
    </row>
    <row r="10" customFormat="false" ht="12.75" hidden="false" customHeight="false" outlineLevel="0" collapsed="false">
      <c r="B10" s="8"/>
      <c r="C10" s="2" t="str">
        <f aca="false">+'ROI Breakdown'!B26</f>
        <v>Training</v>
      </c>
      <c r="D10" s="2"/>
      <c r="E10" s="2"/>
      <c r="F10" s="2"/>
      <c r="G10" s="12" t="n">
        <f aca="false">+'ROI Breakdown'!D26</f>
        <v>0</v>
      </c>
      <c r="H10" s="12"/>
      <c r="I10" s="12" t="n">
        <f aca="false">+'ROI Breakdown'!F26</f>
        <v>0</v>
      </c>
      <c r="J10" s="12"/>
      <c r="K10" s="12" t="n">
        <f aca="false">+'ROI Breakdown'!H26</f>
        <v>0</v>
      </c>
      <c r="L10" s="12"/>
      <c r="M10" s="12" t="n">
        <f aca="false">+'ROI Breakdown'!J26</f>
        <v>0</v>
      </c>
      <c r="N10" s="12"/>
      <c r="O10" s="12" t="n">
        <f aca="false">+'ROI Breakdown'!L26</f>
        <v>0</v>
      </c>
      <c r="P10" s="12"/>
      <c r="Q10" s="12" t="n">
        <f aca="false">SUM(G10:O10)</f>
        <v>0</v>
      </c>
      <c r="R10" s="11"/>
      <c r="S10" s="2"/>
    </row>
    <row r="11" customFormat="false" ht="12.75" hidden="false" customHeight="false" outlineLevel="0" collapsed="false">
      <c r="B11" s="8"/>
      <c r="C11" s="2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3" t="s">
        <v>9</v>
      </c>
      <c r="P11" s="13"/>
      <c r="Q11" s="13"/>
      <c r="R11" s="11"/>
      <c r="S11" s="2"/>
    </row>
    <row r="12" customFormat="false" ht="12.75" hidden="false" customHeight="false" outlineLevel="0" collapsed="false">
      <c r="B12" s="8"/>
      <c r="C12" s="2" t="str">
        <f aca="false">+'ROI Breakdown'!B24</f>
        <v>Maintenance</v>
      </c>
      <c r="D12" s="2"/>
      <c r="E12" s="2"/>
      <c r="F12" s="2"/>
      <c r="G12" s="12" t="n">
        <f aca="false">+'ROI Breakdown'!D24</f>
        <v>130500</v>
      </c>
      <c r="H12" s="12"/>
      <c r="I12" s="12" t="n">
        <f aca="false">+'ROI Breakdown'!F24</f>
        <v>130500</v>
      </c>
      <c r="J12" s="12"/>
      <c r="K12" s="12" t="n">
        <f aca="false">+'ROI Breakdown'!H24</f>
        <v>130500</v>
      </c>
      <c r="L12" s="12"/>
      <c r="M12" s="12" t="n">
        <f aca="false">+'ROI Breakdown'!J24</f>
        <v>130500</v>
      </c>
      <c r="N12" s="12"/>
      <c r="O12" s="12" t="n">
        <f aca="false">+'ROI Breakdown'!L24</f>
        <v>130500</v>
      </c>
      <c r="P12" s="12"/>
      <c r="Q12" s="12" t="n">
        <f aca="false">SUM(G12:O12)</f>
        <v>652500</v>
      </c>
      <c r="R12" s="11"/>
      <c r="S12" s="2"/>
    </row>
    <row r="13" customFormat="false" ht="13.5" hidden="false" customHeight="false" outlineLevel="0" collapsed="false">
      <c r="B13" s="8"/>
      <c r="C13" s="2" t="s">
        <v>10</v>
      </c>
      <c r="D13" s="2"/>
      <c r="E13" s="2"/>
      <c r="F13" s="2"/>
      <c r="G13" s="14" t="n">
        <f aca="false">SUM(G7:G12)</f>
        <v>1218000</v>
      </c>
      <c r="H13" s="14"/>
      <c r="I13" s="14" t="n">
        <f aca="false">SUM(I7:I12)</f>
        <v>203000</v>
      </c>
      <c r="J13" s="14"/>
      <c r="K13" s="14" t="n">
        <f aca="false">SUM(K7:K12)</f>
        <v>203000</v>
      </c>
      <c r="L13" s="14"/>
      <c r="M13" s="14" t="n">
        <f aca="false">SUM(M7:M12)</f>
        <v>203000</v>
      </c>
      <c r="N13" s="14"/>
      <c r="O13" s="14" t="n">
        <f aca="false">SUM(O7:O12)</f>
        <v>203000</v>
      </c>
      <c r="P13" s="15"/>
      <c r="Q13" s="14" t="n">
        <f aca="false">SUM(Q7:Q12)</f>
        <v>2030000</v>
      </c>
      <c r="R13" s="11"/>
      <c r="S13" s="2"/>
    </row>
    <row r="14" customFormat="false" ht="13.5" hidden="false" customHeight="false" outlineLevel="0" collapsed="false"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8"/>
      <c r="S14" s="2"/>
    </row>
    <row r="15" customFormat="false" ht="12.75" hidden="false" customHeight="false" outlineLevel="0" collapsed="false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customFormat="false" ht="12.75" hidden="false" customHeight="false" outlineLevel="0" collapsed="false"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7"/>
      <c r="S16" s="2"/>
    </row>
    <row r="17" customFormat="false" ht="12.75" hidden="false" customHeight="false" outlineLevel="0" collapsed="false">
      <c r="B17" s="8"/>
      <c r="C17" s="9" t="s">
        <v>11</v>
      </c>
      <c r="D17" s="9"/>
      <c r="E17" s="2"/>
      <c r="F17" s="2"/>
      <c r="G17" s="10" t="s">
        <v>3</v>
      </c>
      <c r="H17" s="10"/>
      <c r="I17" s="10" t="s">
        <v>4</v>
      </c>
      <c r="J17" s="10"/>
      <c r="K17" s="10" t="s">
        <v>5</v>
      </c>
      <c r="L17" s="10"/>
      <c r="M17" s="10" t="s">
        <v>6</v>
      </c>
      <c r="N17" s="10"/>
      <c r="O17" s="10" t="s">
        <v>7</v>
      </c>
      <c r="P17" s="10"/>
      <c r="Q17" s="10" t="s">
        <v>8</v>
      </c>
      <c r="R17" s="11"/>
      <c r="S17" s="2"/>
    </row>
    <row r="18" customFormat="false" ht="12.75" hidden="false" customHeight="false" outlineLevel="0" collapsed="false"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11"/>
      <c r="S18" s="2"/>
    </row>
    <row r="19" customFormat="false" ht="12.75" hidden="false" customHeight="false" outlineLevel="0" collapsed="false">
      <c r="B19" s="8"/>
      <c r="C19" s="2" t="str">
        <f aca="false">+C9</f>
        <v>Implementation</v>
      </c>
      <c r="D19" s="2"/>
      <c r="E19" s="2"/>
      <c r="F19" s="2"/>
      <c r="G19" s="19" t="n">
        <f aca="false">+G9</f>
        <v>362500</v>
      </c>
      <c r="H19" s="2"/>
      <c r="I19" s="19" t="n">
        <f aca="false">+I9</f>
        <v>72500</v>
      </c>
      <c r="J19" s="2"/>
      <c r="K19" s="19" t="n">
        <f aca="false">+K9</f>
        <v>72500</v>
      </c>
      <c r="L19" s="2"/>
      <c r="M19" s="19" t="n">
        <f aca="false">+M9</f>
        <v>72500</v>
      </c>
      <c r="N19" s="2"/>
      <c r="O19" s="19" t="n">
        <f aca="false">+O9</f>
        <v>72500</v>
      </c>
      <c r="P19" s="19"/>
      <c r="Q19" s="12" t="n">
        <f aca="false">SUM(G19:O19)</f>
        <v>652500</v>
      </c>
      <c r="R19" s="11"/>
      <c r="S19" s="2"/>
    </row>
    <row r="20" customFormat="false" ht="12.75" hidden="false" customHeight="false" outlineLevel="0" collapsed="false">
      <c r="B20" s="8"/>
      <c r="C20" s="2" t="str">
        <f aca="false">+C10</f>
        <v>Training</v>
      </c>
      <c r="D20" s="2"/>
      <c r="E20" s="2"/>
      <c r="F20" s="2"/>
      <c r="G20" s="19" t="n">
        <f aca="false">+G10</f>
        <v>0</v>
      </c>
      <c r="H20" s="2"/>
      <c r="I20" s="19" t="n">
        <f aca="false">+I10</f>
        <v>0</v>
      </c>
      <c r="J20" s="2"/>
      <c r="K20" s="19" t="n">
        <f aca="false">+K10</f>
        <v>0</v>
      </c>
      <c r="L20" s="2"/>
      <c r="M20" s="19" t="n">
        <f aca="false">+M10</f>
        <v>0</v>
      </c>
      <c r="N20" s="2"/>
      <c r="O20" s="19" t="n">
        <f aca="false">+O10</f>
        <v>0</v>
      </c>
      <c r="P20" s="19"/>
      <c r="Q20" s="12" t="n">
        <f aca="false">SUM(G20:O20)</f>
        <v>0</v>
      </c>
      <c r="R20" s="11"/>
      <c r="S20" s="2"/>
    </row>
    <row r="21" customFormat="false" ht="12.75" hidden="false" customHeight="false" outlineLevel="0" collapsed="false">
      <c r="B21" s="8"/>
      <c r="C21" s="2" t="str">
        <f aca="false">+C12</f>
        <v>Maintenance</v>
      </c>
      <c r="D21" s="2"/>
      <c r="E21" s="2"/>
      <c r="F21" s="2"/>
      <c r="G21" s="19" t="n">
        <f aca="false">+G12</f>
        <v>130500</v>
      </c>
      <c r="H21" s="2"/>
      <c r="I21" s="19" t="n">
        <f aca="false">+I12</f>
        <v>130500</v>
      </c>
      <c r="J21" s="2"/>
      <c r="K21" s="19" t="n">
        <f aca="false">+K12</f>
        <v>130500</v>
      </c>
      <c r="L21" s="2"/>
      <c r="M21" s="19" t="n">
        <f aca="false">+M12</f>
        <v>130500</v>
      </c>
      <c r="N21" s="2"/>
      <c r="O21" s="19" t="n">
        <f aca="false">+O12</f>
        <v>130500</v>
      </c>
      <c r="P21" s="19"/>
      <c r="Q21" s="12" t="n">
        <f aca="false">SUM(G21:O21)</f>
        <v>652500</v>
      </c>
      <c r="R21" s="11"/>
      <c r="S21" s="2"/>
    </row>
    <row r="22" customFormat="false" ht="12.75" hidden="false" customHeight="false" outlineLevel="0" collapsed="false">
      <c r="B22" s="8"/>
      <c r="C22" s="2" t="s">
        <v>12</v>
      </c>
      <c r="D22" s="2"/>
      <c r="E22" s="2"/>
      <c r="F22" s="2"/>
      <c r="G22" s="2"/>
      <c r="H22" s="2"/>
      <c r="I22" s="12" t="n">
        <f aca="false">G8/3</f>
        <v>241666.666666667</v>
      </c>
      <c r="J22" s="2"/>
      <c r="K22" s="19" t="n">
        <f aca="false">+I22</f>
        <v>241666.666666667</v>
      </c>
      <c r="L22" s="2"/>
      <c r="M22" s="19" t="n">
        <f aca="false">+I22</f>
        <v>241666.666666667</v>
      </c>
      <c r="N22" s="2"/>
      <c r="O22" s="2"/>
      <c r="P22" s="2"/>
      <c r="Q22" s="12" t="n">
        <f aca="false">SUM(G22:O22)</f>
        <v>725000</v>
      </c>
      <c r="R22" s="11"/>
      <c r="S22" s="2"/>
    </row>
    <row r="23" customFormat="false" ht="13.5" hidden="false" customHeight="false" outlineLevel="0" collapsed="false">
      <c r="B23" s="8"/>
      <c r="C23" s="2" t="s">
        <v>13</v>
      </c>
      <c r="D23" s="2"/>
      <c r="E23" s="2"/>
      <c r="F23" s="2"/>
      <c r="G23" s="14" t="n">
        <f aca="false">SUM(G19:G22)</f>
        <v>493000</v>
      </c>
      <c r="H23" s="14"/>
      <c r="I23" s="14" t="n">
        <f aca="false">SUM(I19:I22)</f>
        <v>444666.666666667</v>
      </c>
      <c r="J23" s="14"/>
      <c r="K23" s="14" t="n">
        <f aca="false">SUM(K19:K22)</f>
        <v>444666.666666667</v>
      </c>
      <c r="L23" s="14"/>
      <c r="M23" s="14" t="n">
        <f aca="false">SUM(M19:M22)</f>
        <v>444666.666666667</v>
      </c>
      <c r="N23" s="14"/>
      <c r="O23" s="14" t="n">
        <f aca="false">SUM(O19:O22)</f>
        <v>203000</v>
      </c>
      <c r="P23" s="15"/>
      <c r="Q23" s="14" t="n">
        <f aca="false">SUM(Q19:Q22)</f>
        <v>2030000</v>
      </c>
      <c r="R23" s="11"/>
      <c r="S23" s="2"/>
    </row>
    <row r="24" customFormat="false" ht="13.5" hidden="false" customHeight="false" outlineLevel="0" collapsed="false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8"/>
      <c r="S24" s="2"/>
    </row>
    <row r="25" customFormat="false" ht="12.75" hidden="false" customHeight="false" outlineLevel="0" collapsed="false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customFormat="false" ht="12.75" hidden="false" customHeight="false" outlineLevel="0" collapsed="false"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7"/>
      <c r="S26" s="2"/>
    </row>
    <row r="27" customFormat="false" ht="12.75" hidden="false" customHeight="false" outlineLevel="0" collapsed="false">
      <c r="B27" s="8"/>
      <c r="C27" s="9" t="s">
        <v>14</v>
      </c>
      <c r="D27" s="9"/>
      <c r="E27" s="2"/>
      <c r="F27" s="2"/>
      <c r="G27" s="10" t="s">
        <v>3</v>
      </c>
      <c r="H27" s="10"/>
      <c r="I27" s="10" t="s">
        <v>4</v>
      </c>
      <c r="J27" s="10"/>
      <c r="K27" s="10" t="s">
        <v>5</v>
      </c>
      <c r="L27" s="10"/>
      <c r="M27" s="10" t="s">
        <v>6</v>
      </c>
      <c r="N27" s="10"/>
      <c r="O27" s="10" t="s">
        <v>7</v>
      </c>
      <c r="P27" s="10"/>
      <c r="Q27" s="10" t="s">
        <v>8</v>
      </c>
      <c r="R27" s="11"/>
      <c r="S27" s="2"/>
    </row>
    <row r="28" customFormat="false" ht="12.75" hidden="false" customHeight="false" outlineLevel="0" collapsed="false">
      <c r="B28" s="8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1"/>
    </row>
    <row r="29" customFormat="false" ht="12.75" hidden="true" customHeight="false" outlineLevel="0" collapsed="false">
      <c r="B29" s="8"/>
      <c r="C29" s="9" t="s">
        <v>15</v>
      </c>
      <c r="D29" s="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11"/>
    </row>
    <row r="30" customFormat="false" ht="12.75" hidden="true" customHeight="false" outlineLevel="0" collapsed="false">
      <c r="B30" s="8"/>
      <c r="C30" s="20" t="s">
        <v>16</v>
      </c>
      <c r="D30" s="2"/>
      <c r="E30" s="2"/>
      <c r="F30" s="2"/>
      <c r="G30" s="12" t="n">
        <f aca="false">+R1!B30</f>
        <v>0</v>
      </c>
      <c r="H30" s="12"/>
      <c r="I30" s="12" t="n">
        <f aca="false">+R1!D30</f>
        <v>0</v>
      </c>
      <c r="J30" s="12"/>
      <c r="K30" s="12" t="n">
        <f aca="false">+R1!F30</f>
        <v>0</v>
      </c>
      <c r="L30" s="12"/>
      <c r="M30" s="12" t="n">
        <f aca="false">+R1!H30</f>
        <v>0</v>
      </c>
      <c r="N30" s="12"/>
      <c r="O30" s="12" t="n">
        <f aca="false">+R1!J30</f>
        <v>0</v>
      </c>
      <c r="P30" s="20"/>
      <c r="Q30" s="12" t="n">
        <f aca="false">SUM(G30:O30)</f>
        <v>0</v>
      </c>
      <c r="R30" s="11"/>
    </row>
    <row r="31" customFormat="false" ht="12.75" hidden="true" customHeight="false" outlineLevel="0" collapsed="false">
      <c r="B31" s="8"/>
      <c r="C31" s="2" t="s">
        <v>17</v>
      </c>
      <c r="D31" s="2"/>
      <c r="E31" s="2"/>
      <c r="F31" s="2"/>
      <c r="G31" s="12" t="n">
        <f aca="false">+R2!B28</f>
        <v>0</v>
      </c>
      <c r="H31" s="12"/>
      <c r="I31" s="12" t="n">
        <f aca="false">+R2!D28</f>
        <v>0</v>
      </c>
      <c r="J31" s="12"/>
      <c r="K31" s="12" t="n">
        <f aca="false">+R2!F28</f>
        <v>0</v>
      </c>
      <c r="L31" s="12"/>
      <c r="M31" s="12" t="n">
        <f aca="false">+R2!H28</f>
        <v>0</v>
      </c>
      <c r="N31" s="12"/>
      <c r="O31" s="12" t="n">
        <f aca="false">+R2!J28</f>
        <v>0</v>
      </c>
      <c r="P31" s="20"/>
      <c r="Q31" s="12" t="n">
        <f aca="false">SUM(G31:O31)</f>
        <v>0</v>
      </c>
      <c r="R31" s="11"/>
    </row>
    <row r="32" customFormat="false" ht="13.5" hidden="true" customHeight="false" outlineLevel="0" collapsed="false">
      <c r="B32" s="8"/>
      <c r="C32" s="2" t="s">
        <v>9</v>
      </c>
      <c r="D32" s="2" t="s">
        <v>8</v>
      </c>
      <c r="E32" s="2"/>
      <c r="F32" s="2"/>
      <c r="G32" s="21" t="n">
        <f aca="false">SUM(G30:G31)</f>
        <v>0</v>
      </c>
      <c r="H32" s="22"/>
      <c r="I32" s="21" t="n">
        <f aca="false">SUM(I30:I31)</f>
        <v>0</v>
      </c>
      <c r="J32" s="22"/>
      <c r="K32" s="21" t="n">
        <f aca="false">SUM(K30:K31)</f>
        <v>0</v>
      </c>
      <c r="L32" s="22"/>
      <c r="M32" s="21" t="n">
        <f aca="false">SUM(M30:M31)</f>
        <v>0</v>
      </c>
      <c r="N32" s="22"/>
      <c r="O32" s="21" t="n">
        <f aca="false">SUM(O30:O31)</f>
        <v>0</v>
      </c>
      <c r="P32" s="23"/>
      <c r="Q32" s="21" t="n">
        <f aca="false">SUM(Q30:Q31)</f>
        <v>0</v>
      </c>
      <c r="R32" s="11"/>
    </row>
    <row r="33" customFormat="false" ht="13.5" hidden="true" customHeight="false" outlineLevel="0" collapsed="false">
      <c r="B33" s="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1"/>
    </row>
    <row r="34" customFormat="false" ht="12.75" hidden="false" customHeight="false" outlineLevel="0" collapsed="false">
      <c r="B34" s="8"/>
      <c r="C34" s="9" t="s">
        <v>18</v>
      </c>
      <c r="D34" s="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11"/>
    </row>
    <row r="35" customFormat="false" ht="12.75" hidden="false" customHeight="false" outlineLevel="0" collapsed="false">
      <c r="B35" s="8"/>
      <c r="C35" s="24" t="s">
        <v>19</v>
      </c>
      <c r="D35" s="2"/>
      <c r="E35" s="2"/>
      <c r="F35" s="2"/>
      <c r="G35" s="12" t="n">
        <f aca="false">+E1!B27</f>
        <v>0</v>
      </c>
      <c r="H35" s="12"/>
      <c r="I35" s="12" t="n">
        <f aca="false">+E1!D27</f>
        <v>0</v>
      </c>
      <c r="J35" s="12"/>
      <c r="K35" s="12" t="n">
        <f aca="false">+E1!F27</f>
        <v>0</v>
      </c>
      <c r="L35" s="12"/>
      <c r="M35" s="12" t="n">
        <f aca="false">+E1!H27</f>
        <v>0</v>
      </c>
      <c r="N35" s="12"/>
      <c r="O35" s="12" t="n">
        <f aca="false">+E1!J27</f>
        <v>0</v>
      </c>
      <c r="P35" s="12"/>
      <c r="Q35" s="12" t="n">
        <f aca="false">SUM(G35:O35)</f>
        <v>0</v>
      </c>
      <c r="R35" s="11"/>
    </row>
    <row r="36" customFormat="false" ht="12.75" hidden="false" customHeight="false" outlineLevel="0" collapsed="false">
      <c r="B36" s="8"/>
      <c r="C36" s="24" t="s">
        <v>20</v>
      </c>
      <c r="D36" s="2"/>
      <c r="E36" s="2"/>
      <c r="F36" s="2"/>
      <c r="G36" s="12" t="n">
        <f aca="false">+E2!B27</f>
        <v>46333500</v>
      </c>
      <c r="H36" s="12"/>
      <c r="I36" s="12" t="n">
        <f aca="false">+E2!D27</f>
        <v>77222500</v>
      </c>
      <c r="J36" s="12"/>
      <c r="K36" s="12" t="n">
        <f aca="false">+E2!F27</f>
        <v>77222500</v>
      </c>
      <c r="L36" s="12"/>
      <c r="M36" s="12" t="n">
        <f aca="false">+E2!H27</f>
        <v>77222500</v>
      </c>
      <c r="N36" s="12"/>
      <c r="O36" s="12" t="n">
        <f aca="false">+E2!J27</f>
        <v>77222500</v>
      </c>
      <c r="P36" s="12"/>
      <c r="Q36" s="12" t="n">
        <f aca="false">SUM(G36:O36)</f>
        <v>355223500</v>
      </c>
      <c r="R36" s="11"/>
    </row>
    <row r="37" customFormat="false" ht="12.75" hidden="false" customHeight="false" outlineLevel="0" collapsed="false">
      <c r="B37" s="8"/>
      <c r="C37" s="24" t="s">
        <v>21</v>
      </c>
      <c r="D37" s="2"/>
      <c r="E37" s="2"/>
      <c r="F37" s="2"/>
      <c r="G37" s="12" t="n">
        <f aca="false">+E3!B27</f>
        <v>46333500</v>
      </c>
      <c r="H37" s="12"/>
      <c r="I37" s="12" t="n">
        <f aca="false">+E3!D27</f>
        <v>77222500</v>
      </c>
      <c r="J37" s="12"/>
      <c r="K37" s="12" t="n">
        <f aca="false">+E3!F27</f>
        <v>77222500</v>
      </c>
      <c r="L37" s="12"/>
      <c r="M37" s="12" t="n">
        <f aca="false">+E3!H27</f>
        <v>77222500</v>
      </c>
      <c r="N37" s="12"/>
      <c r="O37" s="12" t="n">
        <f aca="false">+E3!J27</f>
        <v>77222500</v>
      </c>
      <c r="P37" s="12"/>
      <c r="Q37" s="12" t="n">
        <f aca="false">SUM(G37:O37)</f>
        <v>355223500</v>
      </c>
      <c r="R37" s="11"/>
    </row>
    <row r="38" customFormat="false" ht="12.75" hidden="false" customHeight="false" outlineLevel="0" collapsed="false">
      <c r="B38" s="8"/>
      <c r="C38" s="24" t="s">
        <v>22</v>
      </c>
      <c r="D38" s="2"/>
      <c r="E38" s="2"/>
      <c r="F38" s="2"/>
      <c r="G38" s="12" t="n">
        <f aca="false">+E4!B28</f>
        <v>13286436</v>
      </c>
      <c r="H38" s="12"/>
      <c r="I38" s="12" t="n">
        <f aca="false">+E4!D28</f>
        <v>22144060</v>
      </c>
      <c r="J38" s="12"/>
      <c r="K38" s="12" t="n">
        <f aca="false">+E4!F28</f>
        <v>22144060</v>
      </c>
      <c r="L38" s="12"/>
      <c r="M38" s="12" t="n">
        <f aca="false">+E4!H28</f>
        <v>22144060</v>
      </c>
      <c r="N38" s="12"/>
      <c r="O38" s="12" t="n">
        <f aca="false">+E4!J28</f>
        <v>22144060</v>
      </c>
      <c r="P38" s="12"/>
      <c r="Q38" s="12" t="n">
        <f aca="false">SUM(G38:O38)</f>
        <v>101862676</v>
      </c>
      <c r="R38" s="11"/>
    </row>
    <row r="39" customFormat="false" ht="12.75" hidden="false" customHeight="false" outlineLevel="0" collapsed="false">
      <c r="B39" s="8"/>
      <c r="C39" s="24" t="s">
        <v>23</v>
      </c>
      <c r="D39" s="2"/>
      <c r="E39" s="2"/>
      <c r="F39" s="2"/>
      <c r="G39" s="12" t="n">
        <f aca="false">+E5!B26</f>
        <v>37066800</v>
      </c>
      <c r="H39" s="12"/>
      <c r="I39" s="12" t="n">
        <f aca="false">+E5!D26</f>
        <v>61778000</v>
      </c>
      <c r="J39" s="12"/>
      <c r="K39" s="12" t="n">
        <f aca="false">+E5!F26</f>
        <v>61778000</v>
      </c>
      <c r="L39" s="12"/>
      <c r="M39" s="12" t="n">
        <f aca="false">+E5!H26</f>
        <v>61778000</v>
      </c>
      <c r="N39" s="12"/>
      <c r="O39" s="12" t="n">
        <f aca="false">+E5!J26</f>
        <v>61778000</v>
      </c>
      <c r="P39" s="12"/>
      <c r="Q39" s="12" t="n">
        <f aca="false">SUM(G39:O39)</f>
        <v>284178800</v>
      </c>
      <c r="R39" s="11"/>
    </row>
    <row r="40" customFormat="false" ht="12.75" hidden="false" customHeight="false" outlineLevel="0" collapsed="false">
      <c r="B40" s="8"/>
      <c r="C40" s="24" t="s">
        <v>24</v>
      </c>
      <c r="D40" s="2"/>
      <c r="E40" s="2"/>
      <c r="F40" s="2"/>
      <c r="G40" s="12" t="n">
        <f aca="false">+E6!B30</f>
        <v>1510560</v>
      </c>
      <c r="H40" s="12"/>
      <c r="I40" s="12" t="n">
        <f aca="false">+E6!D30</f>
        <v>2517600</v>
      </c>
      <c r="J40" s="12"/>
      <c r="K40" s="12" t="n">
        <f aca="false">+E6!F30</f>
        <v>2517600</v>
      </c>
      <c r="L40" s="12"/>
      <c r="M40" s="12" t="n">
        <f aca="false">+E6!H30</f>
        <v>2517600</v>
      </c>
      <c r="N40" s="12"/>
      <c r="O40" s="12" t="n">
        <f aca="false">+E6!J30</f>
        <v>2517600</v>
      </c>
      <c r="P40" s="12"/>
      <c r="Q40" s="12" t="n">
        <f aca="false">SUM(G40:O40)</f>
        <v>11580960</v>
      </c>
      <c r="R40" s="11"/>
    </row>
    <row r="41" customFormat="false" ht="12.75" hidden="false" customHeight="false" outlineLevel="0" collapsed="false">
      <c r="B41" s="8"/>
      <c r="C41" s="24" t="s">
        <v>25</v>
      </c>
      <c r="D41" s="2"/>
      <c r="E41" s="2"/>
      <c r="F41" s="2"/>
      <c r="G41" s="12" t="n">
        <f aca="false">+E7!B28</f>
        <v>0</v>
      </c>
      <c r="H41" s="12"/>
      <c r="I41" s="12" t="n">
        <f aca="false">+E7!D28</f>
        <v>0</v>
      </c>
      <c r="J41" s="12"/>
      <c r="K41" s="12" t="n">
        <f aca="false">+E7!F28</f>
        <v>0</v>
      </c>
      <c r="L41" s="12"/>
      <c r="M41" s="12" t="n">
        <f aca="false">+E7!H28</f>
        <v>0</v>
      </c>
      <c r="N41" s="12"/>
      <c r="O41" s="12" t="n">
        <f aca="false">+E7!J28</f>
        <v>0</v>
      </c>
      <c r="P41" s="12"/>
      <c r="Q41" s="12" t="n">
        <f aca="false">SUM(G41:O41)</f>
        <v>0</v>
      </c>
      <c r="R41" s="11"/>
    </row>
    <row r="42" customFormat="false" ht="12.75" hidden="false" customHeight="false" outlineLevel="0" collapsed="false">
      <c r="B42" s="8"/>
      <c r="C42" s="24" t="s">
        <v>26</v>
      </c>
      <c r="D42" s="2"/>
      <c r="E42" s="2"/>
      <c r="F42" s="2"/>
      <c r="G42" s="12" t="n">
        <f aca="false">+E8!B28</f>
        <v>0</v>
      </c>
      <c r="H42" s="12"/>
      <c r="I42" s="12" t="n">
        <f aca="false">+E8!D28</f>
        <v>0</v>
      </c>
      <c r="J42" s="12"/>
      <c r="K42" s="12" t="n">
        <f aca="false">+E8!F28</f>
        <v>0</v>
      </c>
      <c r="L42" s="12"/>
      <c r="M42" s="12" t="n">
        <f aca="false">+E8!H28</f>
        <v>0</v>
      </c>
      <c r="N42" s="12"/>
      <c r="O42" s="12" t="n">
        <f aca="false">+E8!J28</f>
        <v>0</v>
      </c>
      <c r="P42" s="12"/>
      <c r="Q42" s="12" t="n">
        <f aca="false">SUM(G42:O42)</f>
        <v>0</v>
      </c>
      <c r="R42" s="11"/>
    </row>
    <row r="43" customFormat="false" ht="13.5" hidden="false" customHeight="false" outlineLevel="0" collapsed="false">
      <c r="B43" s="8"/>
      <c r="C43" s="24" t="s">
        <v>9</v>
      </c>
      <c r="D43" s="2" t="s">
        <v>8</v>
      </c>
      <c r="E43" s="2"/>
      <c r="F43" s="2"/>
      <c r="G43" s="21" t="n">
        <f aca="false">SUM(G35:G42)</f>
        <v>144530796</v>
      </c>
      <c r="H43" s="22"/>
      <c r="I43" s="21" t="n">
        <f aca="false">SUM(I35:I42)</f>
        <v>240884660</v>
      </c>
      <c r="J43" s="22"/>
      <c r="K43" s="21" t="n">
        <f aca="false">SUM(K35:K42)</f>
        <v>240884660</v>
      </c>
      <c r="L43" s="22"/>
      <c r="M43" s="21" t="n">
        <f aca="false">SUM(M35:M42)</f>
        <v>240884660</v>
      </c>
      <c r="N43" s="22"/>
      <c r="O43" s="21" t="n">
        <f aca="false">SUM(O35:O42)</f>
        <v>240884660</v>
      </c>
      <c r="P43" s="23"/>
      <c r="Q43" s="21" t="n">
        <f aca="false">SUM(Q35:Q42)</f>
        <v>1108069436</v>
      </c>
      <c r="R43" s="11"/>
    </row>
    <row r="44" customFormat="false" ht="13.5" hidden="false" customHeight="false" outlineLevel="0" collapsed="false">
      <c r="B44" s="8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11"/>
    </row>
    <row r="45" customFormat="false" ht="12.75" hidden="false" customHeight="false" outlineLevel="0" collapsed="false">
      <c r="B45" s="8"/>
      <c r="C45" s="9" t="s">
        <v>27</v>
      </c>
      <c r="D45" s="9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11"/>
    </row>
    <row r="46" customFormat="false" ht="12.75" hidden="false" customHeight="false" outlineLevel="0" collapsed="false">
      <c r="B46" s="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11"/>
    </row>
    <row r="47" customFormat="false" ht="12.75" hidden="true" customHeight="false" outlineLevel="0" collapsed="false">
      <c r="B47" s="8"/>
      <c r="C47" s="2" t="s">
        <v>28</v>
      </c>
      <c r="D47" s="2"/>
      <c r="E47" s="2"/>
      <c r="F47" s="2"/>
      <c r="G47" s="12" t="n">
        <f aca="false">+A1!B27</f>
        <v>0</v>
      </c>
      <c r="H47" s="12"/>
      <c r="I47" s="12" t="n">
        <f aca="false">+A1!D27</f>
        <v>0</v>
      </c>
      <c r="J47" s="12"/>
      <c r="K47" s="12" t="n">
        <f aca="false">+A1!F27</f>
        <v>0</v>
      </c>
      <c r="L47" s="12"/>
      <c r="M47" s="12" t="n">
        <f aca="false">+A1!H27</f>
        <v>0</v>
      </c>
      <c r="N47" s="12"/>
      <c r="O47" s="12" t="n">
        <f aca="false">+A1!J27</f>
        <v>0</v>
      </c>
      <c r="P47" s="12"/>
      <c r="Q47" s="12" t="n">
        <f aca="false">SUM(G47:O47)</f>
        <v>0</v>
      </c>
      <c r="R47" s="11"/>
    </row>
    <row r="48" customFormat="false" ht="12.75" hidden="false" customHeight="false" outlineLevel="0" collapsed="false">
      <c r="B48" s="8"/>
      <c r="C48" s="2" t="s">
        <v>29</v>
      </c>
      <c r="D48" s="2"/>
      <c r="E48" s="2"/>
      <c r="F48" s="2"/>
      <c r="G48" s="12" t="n">
        <f aca="false">+A2!B27</f>
        <v>1620000</v>
      </c>
      <c r="H48" s="12"/>
      <c r="I48" s="12" t="n">
        <f aca="false">+A2!D27</f>
        <v>2700000</v>
      </c>
      <c r="J48" s="12"/>
      <c r="K48" s="12" t="n">
        <f aca="false">+A2!F27</f>
        <v>2700000</v>
      </c>
      <c r="L48" s="12"/>
      <c r="M48" s="12" t="n">
        <f aca="false">+A2!H27</f>
        <v>2700000</v>
      </c>
      <c r="N48" s="12"/>
      <c r="O48" s="12" t="n">
        <f aca="false">+A2!J27</f>
        <v>2700000</v>
      </c>
      <c r="P48" s="12"/>
      <c r="Q48" s="12" t="n">
        <f aca="false">SUM(G48:O48)</f>
        <v>12420000</v>
      </c>
      <c r="R48" s="11"/>
    </row>
    <row r="49" customFormat="false" ht="13.5" hidden="false" customHeight="false" outlineLevel="0" collapsed="false">
      <c r="B49" s="8"/>
      <c r="C49" s="2"/>
      <c r="D49" s="2" t="s">
        <v>8</v>
      </c>
      <c r="E49" s="2"/>
      <c r="F49" s="2"/>
      <c r="G49" s="21" t="n">
        <f aca="false">SUM(G47:G48)</f>
        <v>1620000</v>
      </c>
      <c r="H49" s="22"/>
      <c r="I49" s="21" t="n">
        <f aca="false">SUM(I47:I48)</f>
        <v>2700000</v>
      </c>
      <c r="J49" s="22"/>
      <c r="K49" s="21" t="n">
        <f aca="false">SUM(K47:K48)</f>
        <v>2700000</v>
      </c>
      <c r="L49" s="22"/>
      <c r="M49" s="21" t="n">
        <f aca="false">SUM(M47:M48)</f>
        <v>2700000</v>
      </c>
      <c r="N49" s="22"/>
      <c r="O49" s="21" t="n">
        <f aca="false">SUM(O47:O48)</f>
        <v>2700000</v>
      </c>
      <c r="P49" s="23"/>
      <c r="Q49" s="21" t="n">
        <f aca="false">SUM(Q47:Q48)</f>
        <v>12420000</v>
      </c>
      <c r="R49" s="11"/>
    </row>
    <row r="50" customFormat="false" ht="13.5" hidden="false" customHeight="false" outlineLevel="0" collapsed="false"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8"/>
    </row>
    <row r="54" customFormat="false" ht="12.75" hidden="false" customHeight="false" outlineLevel="0" collapsed="false">
      <c r="G54" s="25" t="n">
        <f aca="false">G49+G43+G23-G13</f>
        <v>145425796</v>
      </c>
    </row>
  </sheetData>
  <printOptions headings="false" gridLines="false" gridLinesSet="true" horizontalCentered="false" verticalCentered="false"/>
  <pageMargins left="1" right="1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3"/>
  <sheetViews>
    <sheetView showFormulas="false" showGridLines="true" showRowColHeaders="true" showZeros="true" rightToLeft="false" tabSelected="false" showOutlineSymbols="true" defaultGridColor="true" view="normal" topLeftCell="A2" colorId="64" zoomScale="85" zoomScaleNormal="85" zoomScalePageLayoutView="100" workbookViewId="0">
      <selection pane="topLeft" activeCell="G35" activeCellId="0" sqref="G35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456" width="25.7"/>
    <col collapsed="false" customWidth="true" hidden="false" outlineLevel="0" max="2" min="2" style="456" width="16.7"/>
    <col collapsed="false" customWidth="true" hidden="false" outlineLevel="0" max="3" min="3" style="456" width="1.7"/>
    <col collapsed="false" customWidth="true" hidden="false" outlineLevel="0" max="4" min="4" style="456" width="16.7"/>
    <col collapsed="false" customWidth="true" hidden="false" outlineLevel="0" max="5" min="5" style="456" width="1.7"/>
    <col collapsed="false" customWidth="true" hidden="false" outlineLevel="0" max="6" min="6" style="456" width="16.7"/>
    <col collapsed="false" customWidth="true" hidden="false" outlineLevel="0" max="7" min="7" style="456" width="1.7"/>
    <col collapsed="false" customWidth="true" hidden="false" outlineLevel="0" max="8" min="8" style="456" width="16.7"/>
    <col collapsed="false" customWidth="true" hidden="false" outlineLevel="0" max="9" min="9" style="456" width="1.7"/>
    <col collapsed="false" customWidth="true" hidden="false" outlineLevel="0" max="10" min="10" style="456" width="16.7"/>
    <col collapsed="false" customWidth="true" hidden="false" outlineLevel="0" max="11" min="11" style="456" width="1.7"/>
    <col collapsed="false" customWidth="true" hidden="false" outlineLevel="0" max="12" min="12" style="456" width="16.7"/>
    <col collapsed="false" customWidth="true" hidden="false" outlineLevel="0" max="13" min="13" style="456" width="2.42"/>
    <col collapsed="false" customWidth="false" hidden="false" outlineLevel="0" max="257" min="14" style="456" width="9.14"/>
  </cols>
  <sheetData>
    <row r="1" customFormat="false" ht="48" hidden="false" customHeight="true" outlineLevel="0" collapsed="false">
      <c r="A1" s="551"/>
      <c r="B1" s="552" t="s">
        <v>9</v>
      </c>
      <c r="C1" s="536" t="s">
        <v>9</v>
      </c>
      <c r="D1" s="536"/>
      <c r="E1" s="536"/>
      <c r="F1" s="536"/>
      <c r="H1" s="26"/>
      <c r="I1" s="26"/>
      <c r="J1" s="26"/>
      <c r="K1" s="26"/>
      <c r="L1" s="26"/>
      <c r="M1" s="26"/>
      <c r="N1" s="26"/>
    </row>
    <row r="2" customFormat="false" ht="32.25" hidden="false" customHeight="true" outlineLevel="0" collapsed="false">
      <c r="A2" s="459" t="s">
        <v>29</v>
      </c>
      <c r="B2" s="553"/>
      <c r="C2" s="460"/>
      <c r="D2" s="460"/>
      <c r="E2" s="460"/>
      <c r="F2" s="460"/>
      <c r="G2" s="460"/>
      <c r="H2" s="460"/>
      <c r="I2" s="460"/>
      <c r="J2" s="460"/>
      <c r="K2" s="460"/>
      <c r="L2" s="461"/>
    </row>
    <row r="3" customFormat="false" ht="15" hidden="false" customHeight="true" outlineLevel="0" collapsed="false">
      <c r="A3" s="462" t="s">
        <v>390</v>
      </c>
      <c r="B3" s="463"/>
      <c r="C3" s="464"/>
      <c r="D3" s="465"/>
      <c r="E3" s="465"/>
      <c r="F3" s="465"/>
      <c r="G3" s="465"/>
      <c r="H3" s="465"/>
      <c r="I3" s="465"/>
      <c r="J3" s="465"/>
      <c r="K3" s="465"/>
      <c r="L3" s="466"/>
    </row>
    <row r="4" customFormat="false" ht="15" hidden="false" customHeight="true" outlineLevel="0" collapsed="false">
      <c r="A4" s="462" t="s">
        <v>391</v>
      </c>
      <c r="B4" s="463"/>
      <c r="C4" s="464"/>
      <c r="D4" s="465"/>
      <c r="E4" s="465"/>
      <c r="F4" s="465"/>
      <c r="G4" s="465"/>
      <c r="H4" s="465"/>
      <c r="I4" s="465"/>
      <c r="J4" s="465"/>
      <c r="K4" s="465"/>
      <c r="L4" s="466"/>
    </row>
    <row r="5" customFormat="false" ht="33" hidden="false" customHeight="true" outlineLevel="0" collapsed="false">
      <c r="A5" s="467" t="s">
        <v>328</v>
      </c>
      <c r="B5" s="468"/>
      <c r="C5" s="468"/>
      <c r="D5" s="468"/>
      <c r="E5" s="468"/>
      <c r="F5" s="468"/>
      <c r="G5" s="468"/>
      <c r="H5" s="469" t="str">
        <f aca="false">R1!H8</f>
        <v>Conservative Estimate </v>
      </c>
      <c r="I5" s="470"/>
      <c r="J5" s="469" t="str">
        <f aca="false">R1!J8</f>
        <v>Average Estimate </v>
      </c>
      <c r="K5" s="470"/>
      <c r="L5" s="471" t="str">
        <f aca="false">R1!L8</f>
        <v>Peak Performance</v>
      </c>
    </row>
    <row r="6" customFormat="false" ht="15" hidden="false" customHeight="true" outlineLevel="0" collapsed="false">
      <c r="A6" s="472" t="s">
        <v>332</v>
      </c>
      <c r="B6" s="463" t="s">
        <v>241</v>
      </c>
      <c r="C6" s="463"/>
      <c r="D6" s="463"/>
      <c r="E6" s="463"/>
      <c r="F6" s="463"/>
      <c r="G6" s="463"/>
      <c r="H6" s="475" t="n">
        <f aca="false">+Assumptions!E58</f>
        <v>360000000</v>
      </c>
      <c r="I6" s="475"/>
      <c r="J6" s="475" t="n">
        <f aca="false">+H6</f>
        <v>360000000</v>
      </c>
      <c r="K6" s="475"/>
      <c r="L6" s="477" t="n">
        <f aca="false">+H6</f>
        <v>360000000</v>
      </c>
    </row>
    <row r="7" customFormat="false" ht="15" hidden="false" customHeight="true" outlineLevel="0" collapsed="false">
      <c r="A7" s="524"/>
      <c r="B7" s="463"/>
      <c r="C7" s="463"/>
      <c r="D7" s="463"/>
      <c r="E7" s="463"/>
      <c r="F7" s="463"/>
      <c r="G7" s="463"/>
      <c r="H7" s="474"/>
      <c r="I7" s="474"/>
      <c r="J7" s="474"/>
      <c r="K7" s="474"/>
      <c r="L7" s="476"/>
    </row>
    <row r="8" customFormat="false" ht="15" hidden="false" customHeight="true" outlineLevel="0" collapsed="false">
      <c r="A8" s="524"/>
      <c r="B8" s="463"/>
      <c r="C8" s="463"/>
      <c r="D8" s="463"/>
      <c r="E8" s="463"/>
      <c r="F8" s="463"/>
      <c r="G8" s="463"/>
      <c r="H8" s="474"/>
      <c r="I8" s="463"/>
      <c r="J8" s="474"/>
      <c r="K8" s="463"/>
      <c r="L8" s="476"/>
    </row>
    <row r="9" customFormat="false" ht="15" hidden="false" customHeight="true" outlineLevel="0" collapsed="false">
      <c r="A9" s="524"/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78"/>
    </row>
    <row r="10" customFormat="false" ht="15" hidden="false" customHeight="true" outlineLevel="0" collapsed="false">
      <c r="A10" s="524"/>
      <c r="B10" s="463"/>
      <c r="C10" s="463"/>
      <c r="D10" s="463"/>
      <c r="E10" s="463"/>
      <c r="F10" s="463"/>
      <c r="G10" s="463"/>
      <c r="H10" s="463"/>
      <c r="I10" s="463"/>
      <c r="J10" s="463"/>
      <c r="K10" s="463"/>
      <c r="L10" s="478"/>
    </row>
    <row r="11" customFormat="false" ht="15" hidden="false" customHeight="true" outlineLevel="0" collapsed="false">
      <c r="A11" s="472" t="s">
        <v>335</v>
      </c>
      <c r="B11" s="463" t="s">
        <v>392</v>
      </c>
      <c r="C11" s="463"/>
      <c r="D11" s="93"/>
      <c r="E11" s="463"/>
      <c r="F11" s="510" t="s">
        <v>9</v>
      </c>
      <c r="G11" s="463"/>
      <c r="H11" s="479" t="n">
        <f aca="false">+Assumptions!E59</f>
        <v>0.02</v>
      </c>
      <c r="I11" s="479"/>
      <c r="J11" s="479" t="n">
        <f aca="false">+Assumptions!G59</f>
        <v>0.05</v>
      </c>
      <c r="K11" s="479"/>
      <c r="L11" s="481" t="n">
        <f aca="false">+Assumptions!I59</f>
        <v>0.1</v>
      </c>
    </row>
    <row r="12" customFormat="false" ht="15" hidden="false" customHeight="true" outlineLevel="0" collapsed="false">
      <c r="A12" s="472"/>
      <c r="B12" s="463"/>
      <c r="C12" s="463"/>
      <c r="D12" s="463"/>
      <c r="E12" s="463"/>
      <c r="F12" s="463"/>
      <c r="G12" s="463"/>
      <c r="H12" s="463"/>
      <c r="I12" s="463"/>
      <c r="J12" s="463"/>
      <c r="K12" s="463"/>
      <c r="L12" s="478"/>
    </row>
    <row r="13" customFormat="false" ht="15" hidden="false" customHeight="true" outlineLevel="0" collapsed="false">
      <c r="A13" s="472"/>
      <c r="B13" s="463"/>
      <c r="C13" s="463"/>
      <c r="D13" s="463"/>
      <c r="E13" s="463"/>
      <c r="F13" s="463"/>
      <c r="G13" s="463"/>
      <c r="H13" s="463"/>
      <c r="I13" s="463"/>
      <c r="J13" s="463"/>
      <c r="K13" s="463"/>
      <c r="L13" s="478"/>
    </row>
    <row r="14" customFormat="false" ht="15" hidden="false" customHeight="true" outlineLevel="0" collapsed="false">
      <c r="A14" s="472" t="s">
        <v>337</v>
      </c>
      <c r="B14" s="463" t="s">
        <v>393</v>
      </c>
      <c r="C14" s="463"/>
      <c r="D14" s="463"/>
      <c r="E14" s="463"/>
      <c r="F14" s="463"/>
      <c r="G14" s="463"/>
      <c r="H14" s="482" t="n">
        <f aca="false">SUM(H6:H8)*H11</f>
        <v>7200000</v>
      </c>
      <c r="I14" s="482"/>
      <c r="J14" s="482" t="n">
        <f aca="false">SUM(J6:J8)*J11</f>
        <v>18000000</v>
      </c>
      <c r="K14" s="482"/>
      <c r="L14" s="484" t="n">
        <f aca="false">SUM(L6:L8)*L11</f>
        <v>36000000</v>
      </c>
    </row>
    <row r="15" customFormat="false" ht="15" hidden="false" customHeight="true" outlineLevel="0" collapsed="false">
      <c r="A15" s="524"/>
      <c r="B15" s="463" t="s">
        <v>394</v>
      </c>
      <c r="C15" s="463"/>
      <c r="D15" s="463"/>
      <c r="E15" s="463"/>
      <c r="F15" s="463"/>
      <c r="G15" s="463"/>
      <c r="H15" s="554" t="n">
        <f aca="false">+Assumptions!E60</f>
        <v>0.15</v>
      </c>
      <c r="I15" s="489"/>
      <c r="J15" s="554" t="n">
        <f aca="false">+Assumptions!G60</f>
        <v>0.15</v>
      </c>
      <c r="K15" s="488"/>
      <c r="L15" s="555" t="n">
        <f aca="false">+Assumptions!I60</f>
        <v>0.15</v>
      </c>
    </row>
    <row r="16" customFormat="false" ht="15" hidden="false" customHeight="true" outlineLevel="0" collapsed="false">
      <c r="A16" s="499"/>
      <c r="B16" s="465"/>
      <c r="C16" s="463"/>
      <c r="D16" s="463"/>
      <c r="E16" s="463"/>
      <c r="F16" s="463"/>
      <c r="G16" s="463"/>
      <c r="H16" s="488"/>
      <c r="I16" s="489"/>
      <c r="J16" s="490"/>
      <c r="K16" s="488"/>
      <c r="L16" s="491"/>
    </row>
    <row r="17" customFormat="false" ht="15" hidden="false" customHeight="true" outlineLevel="0" collapsed="false">
      <c r="A17" s="499"/>
      <c r="B17" s="517" t="s">
        <v>395</v>
      </c>
      <c r="C17" s="463"/>
      <c r="D17" s="463"/>
      <c r="E17" s="463"/>
      <c r="F17" s="463"/>
      <c r="G17" s="463"/>
      <c r="H17" s="475" t="n">
        <f aca="false">IF(ISERROR(H14*H15),0,(H14*H15))</f>
        <v>1080000</v>
      </c>
      <c r="I17" s="475"/>
      <c r="J17" s="475" t="n">
        <f aca="false">IF(ISERROR(J14*J15),0,(J14*J15))</f>
        <v>2700000</v>
      </c>
      <c r="K17" s="475"/>
      <c r="L17" s="477" t="n">
        <f aca="false">IF(ISERROR(L14*L15),0,(L14*L15))</f>
        <v>5400000</v>
      </c>
    </row>
    <row r="18" customFormat="false" ht="15" hidden="false" customHeight="true" outlineLevel="0" collapsed="false">
      <c r="A18" s="519"/>
      <c r="B18" s="493"/>
      <c r="C18" s="493"/>
      <c r="D18" s="493"/>
      <c r="E18" s="493"/>
      <c r="F18" s="493"/>
      <c r="G18" s="493"/>
      <c r="H18" s="493"/>
      <c r="I18" s="494"/>
      <c r="J18" s="493"/>
      <c r="K18" s="493"/>
      <c r="L18" s="495"/>
    </row>
    <row r="19" customFormat="false" ht="15.75" hidden="false" customHeight="false" outlineLevel="0" collapsed="false">
      <c r="A19" s="496" t="s">
        <v>342</v>
      </c>
      <c r="B19" s="497" t="s">
        <v>3</v>
      </c>
      <c r="C19" s="468"/>
      <c r="D19" s="497" t="s">
        <v>4</v>
      </c>
      <c r="E19" s="468"/>
      <c r="F19" s="497" t="s">
        <v>5</v>
      </c>
      <c r="G19" s="468"/>
      <c r="H19" s="497" t="s">
        <v>6</v>
      </c>
      <c r="I19" s="497"/>
      <c r="J19" s="497" t="s">
        <v>7</v>
      </c>
      <c r="K19" s="468"/>
      <c r="L19" s="498"/>
    </row>
    <row r="20" customFormat="false" ht="15" hidden="false" customHeight="true" outlineLevel="0" collapsed="false">
      <c r="A20" s="499" t="s">
        <v>373</v>
      </c>
      <c r="B20" s="463"/>
      <c r="C20" s="463"/>
      <c r="D20" s="463"/>
      <c r="E20" s="463"/>
      <c r="F20" s="463"/>
      <c r="G20" s="463"/>
      <c r="H20" s="463"/>
      <c r="I20" s="463"/>
      <c r="J20" s="463"/>
      <c r="K20" s="500"/>
      <c r="L20" s="478"/>
    </row>
    <row r="21" customFormat="false" ht="15" hidden="false" customHeight="true" outlineLevel="0" collapsed="false">
      <c r="A21" s="501" t="str">
        <f aca="false">H5</f>
        <v>Conservative Estimate </v>
      </c>
      <c r="B21" s="463" t="n">
        <f aca="false">+Assumptions!E6</f>
        <v>0.5</v>
      </c>
      <c r="C21" s="463"/>
      <c r="D21" s="463" t="n">
        <f aca="false">+Assumptions!G6</f>
        <v>1</v>
      </c>
      <c r="E21" s="463"/>
      <c r="F21" s="463" t="n">
        <f aca="false">+Assumptions!I6</f>
        <v>1</v>
      </c>
      <c r="G21" s="463"/>
      <c r="H21" s="463" t="n">
        <f aca="false">+Assumptions!K6</f>
        <v>1</v>
      </c>
      <c r="I21" s="463"/>
      <c r="J21" s="463" t="n">
        <f aca="false">+Assumptions!M6</f>
        <v>1</v>
      </c>
      <c r="K21" s="463"/>
      <c r="L21" s="478"/>
    </row>
    <row r="22" customFormat="false" ht="15" hidden="false" customHeight="true" outlineLevel="0" collapsed="false">
      <c r="A22" s="502" t="str">
        <f aca="false">J5</f>
        <v>Average Estimate </v>
      </c>
      <c r="B22" s="463" t="n">
        <f aca="false">+Assumptions!E7</f>
        <v>0.6</v>
      </c>
      <c r="C22" s="463"/>
      <c r="D22" s="463" t="n">
        <f aca="false">+Assumptions!G7</f>
        <v>1</v>
      </c>
      <c r="E22" s="463"/>
      <c r="F22" s="463" t="n">
        <f aca="false">+Assumptions!I7</f>
        <v>1</v>
      </c>
      <c r="G22" s="463"/>
      <c r="H22" s="463" t="n">
        <f aca="false">+Assumptions!K7</f>
        <v>1</v>
      </c>
      <c r="I22" s="463"/>
      <c r="J22" s="463" t="n">
        <f aca="false">+Assumptions!M7</f>
        <v>1</v>
      </c>
      <c r="K22" s="463"/>
      <c r="L22" s="478"/>
    </row>
    <row r="23" customFormat="false" ht="15" hidden="false" customHeight="true" outlineLevel="0" collapsed="false">
      <c r="A23" s="503" t="str">
        <f aca="false">L5</f>
        <v>Peak Performance</v>
      </c>
      <c r="B23" s="463" t="n">
        <f aca="false">+Assumptions!E8</f>
        <v>0.7</v>
      </c>
      <c r="C23" s="463"/>
      <c r="D23" s="463" t="n">
        <f aca="false">+Assumptions!G8</f>
        <v>1</v>
      </c>
      <c r="E23" s="463"/>
      <c r="F23" s="463" t="n">
        <f aca="false">+Assumptions!I8</f>
        <v>1</v>
      </c>
      <c r="G23" s="463"/>
      <c r="H23" s="463" t="n">
        <f aca="false">+Assumptions!K8</f>
        <v>1</v>
      </c>
      <c r="I23" s="463"/>
      <c r="J23" s="463" t="n">
        <f aca="false">+Assumptions!M8</f>
        <v>1</v>
      </c>
      <c r="K23" s="463"/>
      <c r="L23" s="478"/>
    </row>
    <row r="24" customFormat="false" ht="15.75" hidden="false" customHeight="false" outlineLevel="0" collapsed="false">
      <c r="A24" s="496" t="s">
        <v>343</v>
      </c>
      <c r="B24" s="497" t="s">
        <v>3</v>
      </c>
      <c r="C24" s="497"/>
      <c r="D24" s="497" t="s">
        <v>4</v>
      </c>
      <c r="E24" s="497"/>
      <c r="F24" s="497" t="s">
        <v>5</v>
      </c>
      <c r="G24" s="497"/>
      <c r="H24" s="497" t="s">
        <v>6</v>
      </c>
      <c r="I24" s="497"/>
      <c r="J24" s="497" t="s">
        <v>7</v>
      </c>
      <c r="K24" s="497"/>
      <c r="L24" s="504" t="s">
        <v>8</v>
      </c>
    </row>
    <row r="25" customFormat="false" ht="15" hidden="false" customHeight="true" outlineLevel="0" collapsed="false">
      <c r="A25" s="499"/>
      <c r="B25" s="463"/>
      <c r="C25" s="463"/>
      <c r="D25" s="463"/>
      <c r="E25" s="463"/>
      <c r="F25" s="463"/>
      <c r="G25" s="463"/>
      <c r="H25" s="463"/>
      <c r="I25" s="463"/>
      <c r="J25" s="463"/>
      <c r="K25" s="463"/>
      <c r="L25" s="478"/>
    </row>
    <row r="26" customFormat="false" ht="15" hidden="false" customHeight="true" outlineLevel="0" collapsed="false">
      <c r="A26" s="501" t="str">
        <f aca="false">+H5</f>
        <v>Conservative Estimate </v>
      </c>
      <c r="B26" s="505" t="n">
        <f aca="false">($H$17*B21)</f>
        <v>540000</v>
      </c>
      <c r="C26" s="505"/>
      <c r="D26" s="505" t="n">
        <f aca="false">($H$17*D21)</f>
        <v>1080000</v>
      </c>
      <c r="E26" s="505"/>
      <c r="F26" s="505" t="n">
        <f aca="false">($H$17*F21)</f>
        <v>1080000</v>
      </c>
      <c r="G26" s="505"/>
      <c r="H26" s="505" t="n">
        <f aca="false">($H$17*H21)</f>
        <v>1080000</v>
      </c>
      <c r="I26" s="505"/>
      <c r="J26" s="505" t="n">
        <f aca="false">($H$17*J21)</f>
        <v>1080000</v>
      </c>
      <c r="K26" s="548"/>
      <c r="L26" s="549" t="n">
        <f aca="false">SUM(B26:J26)</f>
        <v>4860000</v>
      </c>
    </row>
    <row r="27" customFormat="false" ht="15" hidden="false" customHeight="true" outlineLevel="0" collapsed="false">
      <c r="A27" s="502" t="str">
        <f aca="false">+J5</f>
        <v>Average Estimate </v>
      </c>
      <c r="B27" s="505" t="n">
        <f aca="false">($J$17*B22)</f>
        <v>1620000</v>
      </c>
      <c r="C27" s="505"/>
      <c r="D27" s="505" t="n">
        <f aca="false">($J$17*D22)</f>
        <v>2700000</v>
      </c>
      <c r="E27" s="505"/>
      <c r="F27" s="505" t="n">
        <f aca="false">($J$17*F22)</f>
        <v>2700000</v>
      </c>
      <c r="G27" s="505"/>
      <c r="H27" s="505" t="n">
        <f aca="false">($J$17*H22)</f>
        <v>2700000</v>
      </c>
      <c r="I27" s="505"/>
      <c r="J27" s="505" t="n">
        <f aca="false">($J$17*J22)</f>
        <v>2700000</v>
      </c>
      <c r="K27" s="463"/>
      <c r="L27" s="549" t="n">
        <f aca="false">SUM(B27:J27)</f>
        <v>12420000</v>
      </c>
    </row>
    <row r="28" customFormat="false" ht="15" hidden="false" customHeight="true" outlineLevel="0" collapsed="false">
      <c r="A28" s="503" t="str">
        <f aca="false">+L5</f>
        <v>Peak Performance</v>
      </c>
      <c r="B28" s="507" t="n">
        <f aca="false">($L$17*B23)</f>
        <v>3780000</v>
      </c>
      <c r="C28" s="507"/>
      <c r="D28" s="507" t="n">
        <f aca="false">($L$17*D23)</f>
        <v>5400000</v>
      </c>
      <c r="E28" s="507"/>
      <c r="F28" s="507" t="n">
        <f aca="false">($L$17*F23)</f>
        <v>5400000</v>
      </c>
      <c r="G28" s="507"/>
      <c r="H28" s="507" t="n">
        <f aca="false">($L$17*H23)</f>
        <v>5400000</v>
      </c>
      <c r="I28" s="507"/>
      <c r="J28" s="507" t="n">
        <f aca="false">($L$17*J23)</f>
        <v>5400000</v>
      </c>
      <c r="K28" s="493"/>
      <c r="L28" s="550" t="n">
        <f aca="false">SUM(B28:J28)</f>
        <v>25380000</v>
      </c>
    </row>
    <row r="29" customFormat="false" ht="15" hidden="false" customHeight="true" outlineLevel="0" collapsed="false">
      <c r="A29" s="509"/>
      <c r="B29" s="510"/>
      <c r="C29" s="510"/>
      <c r="D29" s="510"/>
      <c r="E29" s="510"/>
      <c r="F29" s="510"/>
      <c r="G29" s="510"/>
      <c r="H29" s="511"/>
      <c r="I29" s="500"/>
      <c r="J29" s="511"/>
      <c r="K29" s="500"/>
      <c r="L29" s="512"/>
    </row>
    <row r="30" customFormat="false" ht="11.45" hidden="false" customHeight="true" outlineLevel="0" collapsed="false">
      <c r="A30" s="463"/>
      <c r="B30" s="463"/>
      <c r="C30" s="463"/>
      <c r="D30" s="463"/>
      <c r="E30" s="463"/>
      <c r="F30" s="463"/>
      <c r="G30" s="463"/>
      <c r="H30" s="463"/>
      <c r="I30" s="463"/>
      <c r="J30" s="463"/>
      <c r="K30" s="463"/>
      <c r="L30" s="463"/>
    </row>
    <row r="31" customFormat="false" ht="11.45" hidden="false" customHeight="true" outlineLevel="0" collapsed="false">
      <c r="A31" s="513"/>
      <c r="B31" s="463"/>
      <c r="C31" s="463"/>
      <c r="D31" s="463"/>
      <c r="E31" s="463"/>
      <c r="F31" s="463"/>
      <c r="G31" s="463"/>
      <c r="H31" s="93"/>
      <c r="I31" s="463"/>
      <c r="J31" s="463"/>
      <c r="K31" s="463"/>
      <c r="L31" s="463"/>
    </row>
    <row r="32" customFormat="false" ht="11.45" hidden="false" customHeight="true" outlineLevel="0" collapsed="false">
      <c r="A32" s="463"/>
      <c r="B32" s="463"/>
      <c r="C32" s="463"/>
      <c r="D32" s="463"/>
      <c r="E32" s="463"/>
      <c r="F32" s="463"/>
      <c r="G32" s="463"/>
      <c r="H32" s="463"/>
      <c r="I32" s="463"/>
      <c r="J32" s="463"/>
      <c r="K32" s="463"/>
      <c r="L32" s="463"/>
    </row>
    <row r="33" customFormat="false" ht="11.45" hidden="false" customHeight="true" outlineLevel="0" collapsed="false"/>
  </sheetData>
  <printOptions headings="false" gridLines="false" gridLinesSet="true" horizontalCentered="false" verticalCentered="false"/>
  <pageMargins left="1" right="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C27" activeCellId="0" sqref="C27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556" width="40.28"/>
    <col collapsed="false" customWidth="true" hidden="false" outlineLevel="0" max="2" min="2" style="456" width="1.99"/>
    <col collapsed="false" customWidth="true" hidden="false" outlineLevel="0" max="3" min="3" style="557" width="15.85"/>
    <col collapsed="false" customWidth="true" hidden="false" outlineLevel="0" max="4" min="4" style="456" width="1.99"/>
    <col collapsed="false" customWidth="true" hidden="false" outlineLevel="0" max="5" min="5" style="463" width="11.28"/>
    <col collapsed="false" customWidth="true" hidden="false" outlineLevel="0" max="6" min="6" style="456" width="1.99"/>
    <col collapsed="false" customWidth="true" hidden="false" outlineLevel="0" max="7" min="7" style="456" width="42.41"/>
    <col collapsed="false" customWidth="false" hidden="false" outlineLevel="0" max="257" min="8" style="456" width="9.14"/>
  </cols>
  <sheetData>
    <row r="1" customFormat="false" ht="12.75" hidden="false" customHeight="true" outlineLevel="0" collapsed="false">
      <c r="A1" s="558"/>
      <c r="B1" s="559"/>
      <c r="C1" s="560"/>
      <c r="D1" s="559"/>
      <c r="E1" s="561"/>
      <c r="F1" s="559"/>
      <c r="G1" s="46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  <c r="AA1" s="493"/>
      <c r="AB1" s="493"/>
      <c r="AC1" s="493"/>
      <c r="AD1" s="493"/>
      <c r="AE1" s="493"/>
      <c r="AF1" s="493"/>
      <c r="AG1" s="493"/>
      <c r="AH1" s="493"/>
      <c r="AI1" s="493"/>
      <c r="AJ1" s="493"/>
      <c r="AK1" s="493"/>
      <c r="AL1" s="493"/>
      <c r="AM1" s="493"/>
      <c r="AN1" s="493"/>
      <c r="AO1" s="493"/>
      <c r="AP1" s="493"/>
      <c r="AQ1" s="493"/>
      <c r="AR1" s="493"/>
      <c r="AS1" s="493"/>
      <c r="AT1" s="493"/>
      <c r="AU1" s="493"/>
      <c r="AV1" s="493"/>
      <c r="AW1" s="493"/>
      <c r="AX1" s="493"/>
      <c r="AY1" s="493"/>
      <c r="AZ1" s="493"/>
      <c r="BA1" s="493"/>
      <c r="BB1" s="493"/>
      <c r="BC1" s="493"/>
      <c r="BD1" s="493"/>
      <c r="BE1" s="493"/>
      <c r="BF1" s="493"/>
      <c r="BG1" s="493"/>
      <c r="BH1" s="493"/>
      <c r="BI1" s="493"/>
      <c r="BJ1" s="493"/>
      <c r="BK1" s="493"/>
      <c r="BL1" s="493"/>
      <c r="BM1" s="493"/>
      <c r="BN1" s="493"/>
      <c r="BO1" s="493"/>
      <c r="BP1" s="493"/>
      <c r="BQ1" s="493"/>
      <c r="BR1" s="493"/>
      <c r="BS1" s="493"/>
      <c r="BT1" s="493"/>
      <c r="BU1" s="493"/>
      <c r="BV1" s="493"/>
      <c r="BW1" s="493"/>
      <c r="BX1" s="493"/>
      <c r="BY1" s="493"/>
      <c r="BZ1" s="493"/>
      <c r="CA1" s="493"/>
      <c r="CB1" s="493"/>
      <c r="CC1" s="493"/>
      <c r="CD1" s="493"/>
      <c r="CE1" s="493"/>
      <c r="CF1" s="493"/>
      <c r="CG1" s="493"/>
      <c r="CH1" s="493"/>
      <c r="CI1" s="493"/>
      <c r="CJ1" s="493"/>
      <c r="CK1" s="493"/>
      <c r="CL1" s="493"/>
      <c r="CM1" s="493"/>
      <c r="CN1" s="493"/>
      <c r="CO1" s="493"/>
      <c r="CP1" s="493"/>
      <c r="CQ1" s="493"/>
      <c r="CR1" s="493"/>
      <c r="CS1" s="493"/>
      <c r="CT1" s="493"/>
      <c r="CU1" s="493"/>
      <c r="CV1" s="493"/>
      <c r="CW1" s="493"/>
      <c r="CX1" s="493"/>
      <c r="CY1" s="493"/>
      <c r="CZ1" s="493"/>
      <c r="DA1" s="493"/>
      <c r="DB1" s="493"/>
      <c r="DC1" s="493"/>
      <c r="DD1" s="493"/>
      <c r="DE1" s="493"/>
      <c r="DF1" s="493"/>
      <c r="DG1" s="493"/>
      <c r="DH1" s="493"/>
      <c r="DI1" s="493"/>
      <c r="DJ1" s="493"/>
      <c r="DK1" s="493"/>
      <c r="DL1" s="493"/>
      <c r="DM1" s="493"/>
      <c r="DN1" s="493"/>
      <c r="DO1" s="493"/>
      <c r="DP1" s="493"/>
      <c r="DQ1" s="493"/>
      <c r="DR1" s="493"/>
      <c r="DS1" s="493"/>
      <c r="DT1" s="493"/>
      <c r="DU1" s="493"/>
      <c r="DV1" s="493"/>
      <c r="DW1" s="493"/>
      <c r="DX1" s="493"/>
      <c r="DY1" s="493"/>
      <c r="DZ1" s="493"/>
      <c r="EA1" s="493"/>
      <c r="EB1" s="493"/>
      <c r="EC1" s="493"/>
      <c r="ED1" s="493"/>
      <c r="EE1" s="493"/>
      <c r="EF1" s="493"/>
      <c r="EG1" s="493"/>
      <c r="EH1" s="493"/>
      <c r="EI1" s="493"/>
      <c r="EJ1" s="493"/>
      <c r="EK1" s="493"/>
      <c r="EL1" s="493"/>
      <c r="EM1" s="493"/>
      <c r="EN1" s="493"/>
      <c r="EO1" s="493"/>
      <c r="EP1" s="493"/>
      <c r="EQ1" s="493"/>
      <c r="ER1" s="493"/>
      <c r="ES1" s="493"/>
      <c r="ET1" s="493"/>
      <c r="EU1" s="493"/>
      <c r="EV1" s="493"/>
      <c r="EW1" s="493"/>
      <c r="EX1" s="493"/>
      <c r="EY1" s="493"/>
      <c r="EZ1" s="493"/>
      <c r="FA1" s="493"/>
      <c r="FB1" s="493"/>
      <c r="FC1" s="493"/>
      <c r="FD1" s="493"/>
      <c r="FE1" s="493"/>
      <c r="FF1" s="493"/>
      <c r="FG1" s="493"/>
      <c r="FH1" s="493"/>
      <c r="FI1" s="493"/>
      <c r="FJ1" s="493"/>
      <c r="FK1" s="493"/>
      <c r="FL1" s="493"/>
      <c r="FM1" s="493"/>
      <c r="FN1" s="493"/>
      <c r="FO1" s="493"/>
      <c r="FP1" s="493"/>
      <c r="FQ1" s="493"/>
      <c r="FR1" s="493"/>
      <c r="FS1" s="493"/>
      <c r="FT1" s="493"/>
      <c r="FU1" s="493"/>
      <c r="FV1" s="493"/>
      <c r="FW1" s="493"/>
      <c r="FX1" s="493"/>
      <c r="FY1" s="493"/>
      <c r="FZ1" s="493"/>
      <c r="GA1" s="493"/>
      <c r="GB1" s="493"/>
      <c r="GC1" s="493"/>
      <c r="GD1" s="493"/>
      <c r="GE1" s="493"/>
      <c r="GF1" s="493"/>
      <c r="GG1" s="493"/>
      <c r="GH1" s="493"/>
      <c r="GI1" s="493"/>
      <c r="GJ1" s="493"/>
      <c r="GK1" s="493"/>
      <c r="GL1" s="493"/>
      <c r="GM1" s="493"/>
      <c r="GN1" s="493"/>
      <c r="GO1" s="493"/>
      <c r="GP1" s="493"/>
      <c r="GQ1" s="493"/>
      <c r="GR1" s="493"/>
      <c r="GS1" s="493"/>
      <c r="GT1" s="493"/>
      <c r="GU1" s="493"/>
      <c r="GV1" s="493"/>
      <c r="GW1" s="493"/>
      <c r="GX1" s="493"/>
      <c r="GY1" s="493"/>
      <c r="GZ1" s="493"/>
      <c r="HA1" s="493"/>
      <c r="HB1" s="493"/>
      <c r="HC1" s="493"/>
      <c r="HD1" s="493"/>
      <c r="HE1" s="493"/>
      <c r="HF1" s="493"/>
      <c r="HG1" s="493"/>
      <c r="HH1" s="493"/>
      <c r="HI1" s="493"/>
      <c r="HJ1" s="493"/>
      <c r="HK1" s="493"/>
      <c r="HL1" s="493"/>
      <c r="HM1" s="493"/>
      <c r="HN1" s="493"/>
      <c r="HO1" s="493"/>
      <c r="HP1" s="493"/>
      <c r="HQ1" s="493"/>
      <c r="HR1" s="493"/>
      <c r="HS1" s="493"/>
      <c r="HT1" s="493"/>
      <c r="HU1" s="493"/>
      <c r="HV1" s="493"/>
      <c r="HW1" s="493"/>
      <c r="HX1" s="493"/>
      <c r="HY1" s="493"/>
      <c r="HZ1" s="493"/>
      <c r="IA1" s="493"/>
      <c r="IB1" s="493"/>
      <c r="IC1" s="493"/>
      <c r="ID1" s="493"/>
      <c r="IE1" s="493"/>
      <c r="IF1" s="493"/>
      <c r="IG1" s="493"/>
      <c r="IH1" s="493"/>
      <c r="II1" s="493"/>
      <c r="IJ1" s="493"/>
      <c r="IK1" s="493"/>
      <c r="IL1" s="493"/>
      <c r="IM1" s="493"/>
      <c r="IN1" s="493"/>
      <c r="IO1" s="493"/>
      <c r="IP1" s="493"/>
      <c r="IQ1" s="493"/>
      <c r="IR1" s="493"/>
      <c r="IS1" s="493"/>
      <c r="IT1" s="493"/>
      <c r="IU1" s="493"/>
      <c r="IV1" s="493"/>
      <c r="IW1" s="493"/>
    </row>
    <row r="2" customFormat="false" ht="18.75" hidden="false" customHeight="true" outlineLevel="0" collapsed="false">
      <c r="A2" s="236" t="s">
        <v>396</v>
      </c>
      <c r="B2" s="236"/>
      <c r="C2" s="236"/>
      <c r="D2" s="236"/>
      <c r="E2" s="236"/>
      <c r="F2" s="236"/>
      <c r="G2" s="236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  <c r="AD2" s="463"/>
      <c r="AE2" s="463"/>
      <c r="AF2" s="463"/>
      <c r="AG2" s="463"/>
      <c r="AH2" s="463"/>
      <c r="AI2" s="463"/>
      <c r="AJ2" s="463"/>
      <c r="AK2" s="463"/>
      <c r="AL2" s="463"/>
      <c r="AM2" s="463"/>
      <c r="AN2" s="463"/>
      <c r="AO2" s="463"/>
      <c r="AP2" s="463"/>
      <c r="AQ2" s="463"/>
      <c r="AR2" s="463"/>
      <c r="AS2" s="463"/>
      <c r="AT2" s="463"/>
      <c r="AU2" s="463"/>
      <c r="AV2" s="463"/>
      <c r="AW2" s="463"/>
      <c r="AX2" s="463"/>
      <c r="AY2" s="463"/>
      <c r="AZ2" s="463"/>
      <c r="BA2" s="463"/>
      <c r="BB2" s="463"/>
      <c r="BC2" s="463"/>
      <c r="BD2" s="463"/>
      <c r="BE2" s="463"/>
      <c r="BF2" s="463"/>
      <c r="BG2" s="463"/>
      <c r="BH2" s="463"/>
      <c r="BI2" s="463"/>
      <c r="BJ2" s="463"/>
      <c r="BK2" s="463"/>
      <c r="BL2" s="463"/>
      <c r="BM2" s="463"/>
      <c r="BN2" s="463"/>
      <c r="BO2" s="463"/>
      <c r="BP2" s="463"/>
      <c r="BQ2" s="463"/>
      <c r="BR2" s="463"/>
      <c r="BS2" s="463"/>
      <c r="BT2" s="463"/>
      <c r="BU2" s="463"/>
      <c r="BV2" s="463"/>
      <c r="BW2" s="463"/>
      <c r="BX2" s="463"/>
      <c r="BY2" s="463"/>
      <c r="BZ2" s="463"/>
      <c r="CA2" s="463"/>
      <c r="CB2" s="463"/>
      <c r="CC2" s="463"/>
      <c r="CD2" s="463"/>
      <c r="CE2" s="463"/>
      <c r="CF2" s="463"/>
      <c r="CG2" s="463"/>
      <c r="CH2" s="463"/>
      <c r="CI2" s="463"/>
      <c r="CJ2" s="463"/>
      <c r="CK2" s="463"/>
      <c r="CL2" s="463"/>
      <c r="CM2" s="463"/>
      <c r="CN2" s="463"/>
      <c r="CO2" s="463"/>
      <c r="CP2" s="463"/>
      <c r="CQ2" s="463"/>
      <c r="CR2" s="463"/>
      <c r="CS2" s="463"/>
      <c r="CT2" s="463"/>
      <c r="CU2" s="463"/>
      <c r="CV2" s="463"/>
      <c r="CW2" s="463"/>
      <c r="CX2" s="463"/>
      <c r="CY2" s="463"/>
      <c r="CZ2" s="463"/>
      <c r="DA2" s="463"/>
      <c r="DB2" s="463"/>
      <c r="DC2" s="463"/>
      <c r="DD2" s="463"/>
      <c r="DE2" s="463"/>
      <c r="DF2" s="463"/>
      <c r="DG2" s="463"/>
      <c r="DH2" s="463"/>
      <c r="DI2" s="463"/>
      <c r="DJ2" s="463"/>
      <c r="DK2" s="463"/>
      <c r="DL2" s="463"/>
      <c r="DM2" s="463"/>
      <c r="DN2" s="463"/>
      <c r="DO2" s="463"/>
      <c r="DP2" s="463"/>
      <c r="DQ2" s="463"/>
      <c r="DR2" s="463"/>
      <c r="DS2" s="463"/>
      <c r="DT2" s="463"/>
      <c r="DU2" s="463"/>
      <c r="DV2" s="463"/>
      <c r="DW2" s="463"/>
      <c r="DX2" s="463"/>
      <c r="DY2" s="463"/>
      <c r="DZ2" s="463"/>
      <c r="EA2" s="463"/>
      <c r="EB2" s="463"/>
      <c r="EC2" s="463"/>
      <c r="ED2" s="463"/>
      <c r="EE2" s="463"/>
      <c r="EF2" s="463"/>
      <c r="EG2" s="463"/>
      <c r="EH2" s="463"/>
      <c r="EI2" s="463"/>
      <c r="EJ2" s="463"/>
      <c r="EK2" s="463"/>
      <c r="EL2" s="463"/>
      <c r="EM2" s="463"/>
      <c r="EN2" s="463"/>
      <c r="EO2" s="463"/>
      <c r="EP2" s="463"/>
      <c r="EQ2" s="463"/>
      <c r="ER2" s="463"/>
      <c r="ES2" s="463"/>
      <c r="ET2" s="463"/>
      <c r="EU2" s="463"/>
      <c r="EV2" s="463"/>
      <c r="EW2" s="463"/>
      <c r="EX2" s="463"/>
      <c r="EY2" s="463"/>
      <c r="EZ2" s="463"/>
      <c r="FA2" s="463"/>
      <c r="FB2" s="463"/>
      <c r="FC2" s="463"/>
      <c r="FD2" s="463"/>
      <c r="FE2" s="463"/>
      <c r="FF2" s="463"/>
      <c r="FG2" s="463"/>
      <c r="FH2" s="463"/>
      <c r="FI2" s="463"/>
      <c r="FJ2" s="463"/>
      <c r="FK2" s="463"/>
      <c r="FL2" s="463"/>
      <c r="FM2" s="463"/>
      <c r="FN2" s="463"/>
      <c r="FO2" s="463"/>
      <c r="FP2" s="463"/>
      <c r="FQ2" s="463"/>
      <c r="FR2" s="463"/>
      <c r="FS2" s="463"/>
      <c r="FT2" s="463"/>
      <c r="FU2" s="463"/>
      <c r="FV2" s="463"/>
      <c r="FW2" s="463"/>
      <c r="FX2" s="463"/>
      <c r="FY2" s="463"/>
      <c r="FZ2" s="463"/>
      <c r="GA2" s="463"/>
      <c r="GB2" s="463"/>
      <c r="GC2" s="463"/>
      <c r="GD2" s="463"/>
      <c r="GE2" s="463"/>
      <c r="GF2" s="463"/>
      <c r="GG2" s="463"/>
      <c r="GH2" s="463"/>
      <c r="GI2" s="463"/>
      <c r="GJ2" s="463"/>
      <c r="GK2" s="463"/>
      <c r="GL2" s="463"/>
      <c r="GM2" s="463"/>
      <c r="GN2" s="463"/>
      <c r="GO2" s="463"/>
      <c r="GP2" s="463"/>
      <c r="GQ2" s="463"/>
      <c r="GR2" s="463"/>
      <c r="GS2" s="463"/>
      <c r="GT2" s="463"/>
      <c r="GU2" s="463"/>
      <c r="GV2" s="463"/>
      <c r="GW2" s="463"/>
      <c r="GX2" s="463"/>
      <c r="GY2" s="463"/>
      <c r="GZ2" s="463"/>
      <c r="HA2" s="463"/>
      <c r="HB2" s="463"/>
      <c r="HC2" s="463"/>
      <c r="HD2" s="463"/>
      <c r="HE2" s="463"/>
      <c r="HF2" s="463"/>
      <c r="HG2" s="463"/>
      <c r="HH2" s="463"/>
      <c r="HI2" s="463"/>
      <c r="HJ2" s="463"/>
      <c r="HK2" s="463"/>
      <c r="HL2" s="463"/>
      <c r="HM2" s="463"/>
      <c r="HN2" s="463"/>
      <c r="HO2" s="463"/>
      <c r="HP2" s="463"/>
      <c r="HQ2" s="463"/>
      <c r="HR2" s="463"/>
      <c r="HS2" s="463"/>
      <c r="HT2" s="463"/>
      <c r="HU2" s="463"/>
      <c r="HV2" s="463"/>
      <c r="HW2" s="463"/>
      <c r="HX2" s="463"/>
      <c r="HY2" s="463"/>
      <c r="HZ2" s="463"/>
      <c r="IA2" s="463"/>
      <c r="IB2" s="463"/>
      <c r="IC2" s="463"/>
      <c r="ID2" s="463"/>
      <c r="IE2" s="463"/>
      <c r="IF2" s="463"/>
      <c r="IG2" s="463"/>
      <c r="IH2" s="463"/>
      <c r="II2" s="463"/>
      <c r="IJ2" s="463"/>
      <c r="IK2" s="463"/>
      <c r="IL2" s="463"/>
      <c r="IM2" s="463"/>
      <c r="IN2" s="463"/>
      <c r="IO2" s="463"/>
      <c r="IP2" s="463"/>
      <c r="IQ2" s="463"/>
      <c r="IR2" s="463"/>
      <c r="IS2" s="463"/>
      <c r="IT2" s="463"/>
      <c r="IU2" s="463"/>
      <c r="IV2" s="463"/>
      <c r="IW2" s="463"/>
    </row>
    <row r="4" customFormat="false" ht="15" hidden="false" customHeight="false" outlineLevel="0" collapsed="false">
      <c r="A4" s="562" t="s">
        <v>397</v>
      </c>
      <c r="B4" s="468"/>
      <c r="C4" s="470" t="s">
        <v>398</v>
      </c>
      <c r="D4" s="468"/>
      <c r="E4" s="563" t="s">
        <v>399</v>
      </c>
      <c r="F4" s="497"/>
      <c r="G4" s="563" t="s">
        <v>400</v>
      </c>
    </row>
    <row r="5" customFormat="false" ht="3" hidden="false" customHeight="true" outlineLevel="0" collapsed="false"/>
    <row r="6" customFormat="false" ht="15" hidden="false" customHeight="false" outlineLevel="0" collapsed="false">
      <c r="A6" s="564" t="s">
        <v>401</v>
      </c>
      <c r="B6" s="565"/>
      <c r="C6" s="566"/>
      <c r="D6" s="567"/>
      <c r="E6" s="568"/>
      <c r="F6" s="569"/>
      <c r="G6" s="567"/>
    </row>
    <row r="7" customFormat="false" ht="15" hidden="false" customHeight="false" outlineLevel="0" collapsed="false">
      <c r="A7" s="556" t="s">
        <v>402</v>
      </c>
      <c r="B7" s="463"/>
      <c r="D7" s="510"/>
      <c r="E7" s="474"/>
      <c r="F7" s="567"/>
      <c r="G7" s="567"/>
    </row>
    <row r="8" customFormat="false" ht="15" hidden="false" customHeight="false" outlineLevel="0" collapsed="false">
      <c r="A8" s="556" t="s">
        <v>403</v>
      </c>
      <c r="B8" s="565"/>
      <c r="D8" s="567"/>
      <c r="E8" s="570"/>
      <c r="F8" s="571"/>
      <c r="G8" s="567"/>
    </row>
    <row r="9" customFormat="false" ht="14.25" hidden="false" customHeight="false" outlineLevel="0" collapsed="false">
      <c r="A9" s="558" t="s">
        <v>404</v>
      </c>
      <c r="B9" s="572"/>
      <c r="C9" s="573"/>
      <c r="D9" s="574"/>
      <c r="E9" s="575"/>
      <c r="F9" s="574"/>
      <c r="G9" s="574"/>
      <c r="H9" s="573"/>
      <c r="I9" s="573"/>
      <c r="J9" s="573"/>
      <c r="K9" s="573"/>
      <c r="L9" s="573"/>
      <c r="M9" s="573"/>
      <c r="N9" s="573"/>
      <c r="O9" s="573"/>
      <c r="P9" s="573"/>
      <c r="Q9" s="573"/>
      <c r="R9" s="573"/>
      <c r="S9" s="573"/>
      <c r="T9" s="573"/>
      <c r="U9" s="573"/>
      <c r="V9" s="573"/>
      <c r="W9" s="573"/>
      <c r="X9" s="573"/>
      <c r="Y9" s="573"/>
      <c r="Z9" s="573"/>
      <c r="AA9" s="573"/>
      <c r="AB9" s="573"/>
      <c r="AC9" s="573"/>
      <c r="AD9" s="573"/>
      <c r="AE9" s="573"/>
      <c r="AF9" s="573"/>
      <c r="AG9" s="573"/>
      <c r="AH9" s="573"/>
      <c r="AI9" s="573"/>
      <c r="AJ9" s="573"/>
      <c r="AK9" s="573"/>
      <c r="AL9" s="573"/>
      <c r="AM9" s="573"/>
      <c r="AN9" s="573"/>
      <c r="AO9" s="573"/>
      <c r="AP9" s="573"/>
      <c r="AQ9" s="573"/>
      <c r="AR9" s="573"/>
      <c r="AS9" s="573"/>
      <c r="AT9" s="573"/>
      <c r="AU9" s="573"/>
      <c r="AV9" s="573"/>
      <c r="AW9" s="573"/>
      <c r="AX9" s="573"/>
      <c r="AY9" s="573"/>
      <c r="AZ9" s="573"/>
      <c r="BA9" s="573"/>
      <c r="BB9" s="573"/>
      <c r="BC9" s="573"/>
      <c r="BD9" s="573"/>
      <c r="BE9" s="573"/>
      <c r="BF9" s="573"/>
      <c r="BG9" s="573"/>
      <c r="BH9" s="573"/>
      <c r="BI9" s="573"/>
      <c r="BJ9" s="573"/>
      <c r="BK9" s="573"/>
      <c r="BL9" s="573"/>
      <c r="BM9" s="573"/>
      <c r="BN9" s="573"/>
      <c r="BO9" s="573"/>
      <c r="BP9" s="573"/>
      <c r="BQ9" s="573"/>
      <c r="BR9" s="573"/>
      <c r="BS9" s="573"/>
      <c r="BT9" s="573"/>
      <c r="BU9" s="573"/>
      <c r="BV9" s="573"/>
      <c r="BW9" s="573"/>
      <c r="BX9" s="573"/>
      <c r="BY9" s="573"/>
      <c r="BZ9" s="573"/>
      <c r="CA9" s="573"/>
      <c r="CB9" s="573"/>
      <c r="CC9" s="573"/>
      <c r="CD9" s="573"/>
      <c r="CE9" s="573"/>
      <c r="CF9" s="573"/>
      <c r="CG9" s="573"/>
      <c r="CH9" s="573"/>
      <c r="CI9" s="573"/>
      <c r="CJ9" s="573"/>
      <c r="CK9" s="573"/>
      <c r="CL9" s="573"/>
      <c r="CM9" s="573"/>
      <c r="CN9" s="573"/>
      <c r="CO9" s="573"/>
      <c r="CP9" s="573"/>
      <c r="CQ9" s="573"/>
      <c r="CR9" s="573"/>
      <c r="CS9" s="573"/>
      <c r="CT9" s="573"/>
      <c r="CU9" s="573"/>
      <c r="CV9" s="573"/>
      <c r="CW9" s="573"/>
      <c r="CX9" s="573"/>
      <c r="CY9" s="573"/>
      <c r="CZ9" s="573"/>
      <c r="DA9" s="573"/>
      <c r="DB9" s="573"/>
      <c r="DC9" s="573"/>
      <c r="DD9" s="573"/>
      <c r="DE9" s="573"/>
      <c r="DF9" s="573"/>
      <c r="DG9" s="573"/>
      <c r="DH9" s="573"/>
      <c r="DI9" s="573"/>
      <c r="DJ9" s="573"/>
      <c r="DK9" s="573"/>
      <c r="DL9" s="573"/>
      <c r="DM9" s="573"/>
      <c r="DN9" s="573"/>
      <c r="DO9" s="573"/>
      <c r="DP9" s="573"/>
      <c r="DQ9" s="573"/>
      <c r="DR9" s="573"/>
      <c r="DS9" s="573"/>
      <c r="DT9" s="573"/>
      <c r="DU9" s="573"/>
      <c r="DV9" s="573"/>
      <c r="DW9" s="573"/>
      <c r="DX9" s="573"/>
      <c r="DY9" s="573"/>
      <c r="DZ9" s="573"/>
      <c r="EA9" s="573"/>
      <c r="EB9" s="573"/>
      <c r="EC9" s="573"/>
      <c r="ED9" s="573"/>
      <c r="EE9" s="573"/>
      <c r="EF9" s="573"/>
      <c r="EG9" s="573"/>
      <c r="EH9" s="573"/>
      <c r="EI9" s="573"/>
      <c r="EJ9" s="573"/>
      <c r="EK9" s="573"/>
      <c r="EL9" s="573"/>
      <c r="EM9" s="573"/>
      <c r="EN9" s="573"/>
      <c r="EO9" s="573"/>
      <c r="EP9" s="573"/>
      <c r="EQ9" s="573"/>
      <c r="ER9" s="573"/>
      <c r="ES9" s="573"/>
      <c r="ET9" s="573"/>
      <c r="EU9" s="573"/>
      <c r="EV9" s="573"/>
      <c r="EW9" s="573"/>
      <c r="EX9" s="573"/>
      <c r="EY9" s="573"/>
      <c r="EZ9" s="573"/>
      <c r="FA9" s="573"/>
      <c r="FB9" s="573"/>
      <c r="FC9" s="573"/>
      <c r="FD9" s="573"/>
      <c r="FE9" s="573"/>
      <c r="FF9" s="573"/>
      <c r="FG9" s="573"/>
      <c r="FH9" s="573"/>
      <c r="FI9" s="573"/>
      <c r="FJ9" s="573"/>
      <c r="FK9" s="573"/>
      <c r="FL9" s="573"/>
      <c r="FM9" s="573"/>
      <c r="FN9" s="573"/>
      <c r="FO9" s="573"/>
      <c r="FP9" s="573"/>
      <c r="FQ9" s="573"/>
      <c r="FR9" s="573"/>
      <c r="FS9" s="573"/>
      <c r="FT9" s="573"/>
      <c r="FU9" s="573"/>
      <c r="FV9" s="573"/>
      <c r="FW9" s="573"/>
      <c r="FX9" s="573"/>
      <c r="FY9" s="573"/>
      <c r="FZ9" s="573"/>
      <c r="GA9" s="573"/>
      <c r="GB9" s="573"/>
      <c r="GC9" s="573"/>
      <c r="GD9" s="573"/>
      <c r="GE9" s="573"/>
      <c r="GF9" s="573"/>
      <c r="GG9" s="573"/>
      <c r="GH9" s="573"/>
      <c r="GI9" s="573"/>
      <c r="GJ9" s="573"/>
      <c r="GK9" s="573"/>
      <c r="GL9" s="573"/>
      <c r="GM9" s="573"/>
      <c r="GN9" s="573"/>
      <c r="GO9" s="573"/>
      <c r="GP9" s="573"/>
      <c r="GQ9" s="573"/>
      <c r="GR9" s="573"/>
      <c r="GS9" s="573"/>
      <c r="GT9" s="573"/>
      <c r="GU9" s="573"/>
      <c r="GV9" s="573"/>
      <c r="GW9" s="573"/>
      <c r="GX9" s="573"/>
      <c r="GY9" s="573"/>
      <c r="GZ9" s="573"/>
      <c r="HA9" s="573"/>
      <c r="HB9" s="573"/>
      <c r="HC9" s="573"/>
      <c r="HD9" s="573"/>
      <c r="HE9" s="573"/>
      <c r="HF9" s="573"/>
      <c r="HG9" s="573"/>
      <c r="HH9" s="573"/>
      <c r="HI9" s="573"/>
      <c r="HJ9" s="573"/>
      <c r="HK9" s="573"/>
      <c r="HL9" s="573"/>
      <c r="HM9" s="573"/>
      <c r="HN9" s="573"/>
      <c r="HO9" s="573"/>
      <c r="HP9" s="573"/>
      <c r="HQ9" s="573"/>
      <c r="HR9" s="573"/>
      <c r="HS9" s="573"/>
      <c r="HT9" s="573"/>
      <c r="HU9" s="573"/>
      <c r="HV9" s="573"/>
      <c r="HW9" s="573"/>
      <c r="HX9" s="573"/>
      <c r="HY9" s="573"/>
      <c r="HZ9" s="573"/>
      <c r="IA9" s="573"/>
      <c r="IB9" s="573"/>
      <c r="IC9" s="573"/>
      <c r="ID9" s="573"/>
      <c r="IE9" s="573"/>
      <c r="IF9" s="573"/>
      <c r="IG9" s="573"/>
      <c r="IH9" s="573"/>
      <c r="II9" s="573"/>
      <c r="IJ9" s="573"/>
      <c r="IK9" s="573"/>
      <c r="IL9" s="573"/>
      <c r="IM9" s="573"/>
      <c r="IN9" s="573"/>
      <c r="IO9" s="573"/>
      <c r="IP9" s="573"/>
      <c r="IQ9" s="573"/>
      <c r="IR9" s="573"/>
      <c r="IS9" s="573"/>
      <c r="IT9" s="573"/>
      <c r="IU9" s="573"/>
      <c r="IV9" s="573"/>
      <c r="IW9" s="573"/>
    </row>
    <row r="10" customFormat="false" ht="14.25" hidden="false" customHeight="false" outlineLevel="0" collapsed="false">
      <c r="A10" s="558" t="s">
        <v>405</v>
      </c>
      <c r="B10" s="572"/>
      <c r="C10" s="573"/>
      <c r="D10" s="574"/>
      <c r="E10" s="576"/>
      <c r="F10" s="574"/>
      <c r="G10" s="577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  <c r="X10" s="573"/>
      <c r="Y10" s="573"/>
      <c r="Z10" s="573"/>
      <c r="AA10" s="573"/>
      <c r="AB10" s="573"/>
      <c r="AC10" s="573"/>
      <c r="AD10" s="573"/>
      <c r="AE10" s="573"/>
      <c r="AF10" s="573"/>
      <c r="AG10" s="573"/>
      <c r="AH10" s="573"/>
      <c r="AI10" s="573"/>
      <c r="AJ10" s="573"/>
      <c r="AK10" s="573"/>
      <c r="AL10" s="573"/>
      <c r="AM10" s="573"/>
      <c r="AN10" s="573"/>
      <c r="AO10" s="573"/>
      <c r="AP10" s="573"/>
      <c r="AQ10" s="573"/>
      <c r="AR10" s="573"/>
      <c r="AS10" s="573"/>
      <c r="AT10" s="573"/>
      <c r="AU10" s="573"/>
      <c r="AV10" s="573"/>
      <c r="AW10" s="573"/>
      <c r="AX10" s="573"/>
      <c r="AY10" s="573"/>
      <c r="AZ10" s="573"/>
      <c r="BA10" s="573"/>
      <c r="BB10" s="573"/>
      <c r="BC10" s="573"/>
      <c r="BD10" s="573"/>
      <c r="BE10" s="573"/>
      <c r="BF10" s="573"/>
      <c r="BG10" s="573"/>
      <c r="BH10" s="573"/>
      <c r="BI10" s="573"/>
      <c r="BJ10" s="573"/>
      <c r="BK10" s="573"/>
      <c r="BL10" s="573"/>
      <c r="BM10" s="573"/>
      <c r="BN10" s="573"/>
      <c r="BO10" s="573"/>
      <c r="BP10" s="573"/>
      <c r="BQ10" s="573"/>
      <c r="BR10" s="573"/>
      <c r="BS10" s="573"/>
      <c r="BT10" s="573"/>
      <c r="BU10" s="573"/>
      <c r="BV10" s="573"/>
      <c r="BW10" s="573"/>
      <c r="BX10" s="573"/>
      <c r="BY10" s="573"/>
      <c r="BZ10" s="573"/>
      <c r="CA10" s="573"/>
      <c r="CB10" s="573"/>
      <c r="CC10" s="573"/>
      <c r="CD10" s="573"/>
      <c r="CE10" s="573"/>
      <c r="CF10" s="573"/>
      <c r="CG10" s="573"/>
      <c r="CH10" s="573"/>
      <c r="CI10" s="573"/>
      <c r="CJ10" s="573"/>
      <c r="CK10" s="573"/>
      <c r="CL10" s="573"/>
      <c r="CM10" s="573"/>
      <c r="CN10" s="573"/>
      <c r="CO10" s="573"/>
      <c r="CP10" s="573"/>
      <c r="CQ10" s="573"/>
      <c r="CR10" s="573"/>
      <c r="CS10" s="573"/>
      <c r="CT10" s="573"/>
      <c r="CU10" s="573"/>
      <c r="CV10" s="573"/>
      <c r="CW10" s="573"/>
      <c r="CX10" s="573"/>
      <c r="CY10" s="573"/>
      <c r="CZ10" s="573"/>
      <c r="DA10" s="573"/>
      <c r="DB10" s="573"/>
      <c r="DC10" s="573"/>
      <c r="DD10" s="573"/>
      <c r="DE10" s="573"/>
      <c r="DF10" s="573"/>
      <c r="DG10" s="573"/>
      <c r="DH10" s="573"/>
      <c r="DI10" s="573"/>
      <c r="DJ10" s="573"/>
      <c r="DK10" s="573"/>
      <c r="DL10" s="573"/>
      <c r="DM10" s="573"/>
      <c r="DN10" s="573"/>
      <c r="DO10" s="573"/>
      <c r="DP10" s="573"/>
      <c r="DQ10" s="573"/>
      <c r="DR10" s="573"/>
      <c r="DS10" s="573"/>
      <c r="DT10" s="573"/>
      <c r="DU10" s="573"/>
      <c r="DV10" s="573"/>
      <c r="DW10" s="573"/>
      <c r="DX10" s="573"/>
      <c r="DY10" s="573"/>
      <c r="DZ10" s="573"/>
      <c r="EA10" s="573"/>
      <c r="EB10" s="573"/>
      <c r="EC10" s="573"/>
      <c r="ED10" s="573"/>
      <c r="EE10" s="573"/>
      <c r="EF10" s="573"/>
      <c r="EG10" s="573"/>
      <c r="EH10" s="573"/>
      <c r="EI10" s="573"/>
      <c r="EJ10" s="573"/>
      <c r="EK10" s="573"/>
      <c r="EL10" s="573"/>
      <c r="EM10" s="573"/>
      <c r="EN10" s="573"/>
      <c r="EO10" s="573"/>
      <c r="EP10" s="573"/>
      <c r="EQ10" s="573"/>
      <c r="ER10" s="573"/>
      <c r="ES10" s="573"/>
      <c r="ET10" s="573"/>
      <c r="EU10" s="573"/>
      <c r="EV10" s="573"/>
      <c r="EW10" s="573"/>
      <c r="EX10" s="573"/>
      <c r="EY10" s="573"/>
      <c r="EZ10" s="573"/>
      <c r="FA10" s="573"/>
      <c r="FB10" s="573"/>
      <c r="FC10" s="573"/>
      <c r="FD10" s="573"/>
      <c r="FE10" s="573"/>
      <c r="FF10" s="573"/>
      <c r="FG10" s="573"/>
      <c r="FH10" s="573"/>
      <c r="FI10" s="573"/>
      <c r="FJ10" s="573"/>
      <c r="FK10" s="573"/>
      <c r="FL10" s="573"/>
      <c r="FM10" s="573"/>
      <c r="FN10" s="573"/>
      <c r="FO10" s="573"/>
      <c r="FP10" s="573"/>
      <c r="FQ10" s="573"/>
      <c r="FR10" s="573"/>
      <c r="FS10" s="573"/>
      <c r="FT10" s="573"/>
      <c r="FU10" s="573"/>
      <c r="FV10" s="573"/>
      <c r="FW10" s="573"/>
      <c r="FX10" s="573"/>
      <c r="FY10" s="573"/>
      <c r="FZ10" s="573"/>
      <c r="GA10" s="573"/>
      <c r="GB10" s="573"/>
      <c r="GC10" s="573"/>
      <c r="GD10" s="573"/>
      <c r="GE10" s="573"/>
      <c r="GF10" s="573"/>
      <c r="GG10" s="573"/>
      <c r="GH10" s="573"/>
      <c r="GI10" s="573"/>
      <c r="GJ10" s="573"/>
      <c r="GK10" s="573"/>
      <c r="GL10" s="573"/>
      <c r="GM10" s="573"/>
      <c r="GN10" s="573"/>
      <c r="GO10" s="573"/>
      <c r="GP10" s="573"/>
      <c r="GQ10" s="573"/>
      <c r="GR10" s="573"/>
      <c r="GS10" s="573"/>
      <c r="GT10" s="573"/>
      <c r="GU10" s="573"/>
      <c r="GV10" s="573"/>
      <c r="GW10" s="573"/>
      <c r="GX10" s="573"/>
      <c r="GY10" s="573"/>
      <c r="GZ10" s="573"/>
      <c r="HA10" s="573"/>
      <c r="HB10" s="573"/>
      <c r="HC10" s="573"/>
      <c r="HD10" s="573"/>
      <c r="HE10" s="573"/>
      <c r="HF10" s="573"/>
      <c r="HG10" s="573"/>
      <c r="HH10" s="573"/>
      <c r="HI10" s="573"/>
      <c r="HJ10" s="573"/>
      <c r="HK10" s="573"/>
      <c r="HL10" s="573"/>
      <c r="HM10" s="573"/>
      <c r="HN10" s="573"/>
      <c r="HO10" s="573"/>
      <c r="HP10" s="573"/>
      <c r="HQ10" s="573"/>
      <c r="HR10" s="573"/>
      <c r="HS10" s="573"/>
      <c r="HT10" s="573"/>
      <c r="HU10" s="573"/>
      <c r="HV10" s="573"/>
      <c r="HW10" s="573"/>
      <c r="HX10" s="573"/>
      <c r="HY10" s="573"/>
      <c r="HZ10" s="573"/>
      <c r="IA10" s="573"/>
      <c r="IB10" s="573"/>
      <c r="IC10" s="573"/>
      <c r="ID10" s="573"/>
      <c r="IE10" s="573"/>
      <c r="IF10" s="573"/>
      <c r="IG10" s="573"/>
      <c r="IH10" s="573"/>
      <c r="II10" s="573"/>
      <c r="IJ10" s="573"/>
      <c r="IK10" s="573"/>
      <c r="IL10" s="573"/>
      <c r="IM10" s="573"/>
      <c r="IN10" s="573"/>
      <c r="IO10" s="573"/>
      <c r="IP10" s="573"/>
      <c r="IQ10" s="573"/>
      <c r="IR10" s="573"/>
      <c r="IS10" s="573"/>
      <c r="IT10" s="573"/>
      <c r="IU10" s="573"/>
      <c r="IV10" s="573"/>
      <c r="IW10" s="573"/>
    </row>
    <row r="11" customFormat="false" ht="14.25" hidden="false" customHeight="false" outlineLevel="0" collapsed="false">
      <c r="A11" s="558" t="s">
        <v>406</v>
      </c>
      <c r="B11" s="572"/>
      <c r="C11" s="573"/>
      <c r="D11" s="574"/>
      <c r="E11" s="576"/>
      <c r="F11" s="574"/>
      <c r="G11" s="577"/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573"/>
      <c r="V11" s="573"/>
      <c r="W11" s="573"/>
      <c r="X11" s="573"/>
      <c r="Y11" s="573"/>
      <c r="Z11" s="573"/>
      <c r="AA11" s="573"/>
      <c r="AB11" s="573"/>
      <c r="AC11" s="573"/>
      <c r="AD11" s="573"/>
      <c r="AE11" s="573"/>
      <c r="AF11" s="573"/>
      <c r="AG11" s="573"/>
      <c r="AH11" s="573"/>
      <c r="AI11" s="573"/>
      <c r="AJ11" s="573"/>
      <c r="AK11" s="573"/>
      <c r="AL11" s="573"/>
      <c r="AM11" s="573"/>
      <c r="AN11" s="573"/>
      <c r="AO11" s="573"/>
      <c r="AP11" s="573"/>
      <c r="AQ11" s="573"/>
      <c r="AR11" s="573"/>
      <c r="AS11" s="573"/>
      <c r="AT11" s="573"/>
      <c r="AU11" s="573"/>
      <c r="AV11" s="573"/>
      <c r="AW11" s="573"/>
      <c r="AX11" s="573"/>
      <c r="AY11" s="573"/>
      <c r="AZ11" s="573"/>
      <c r="BA11" s="573"/>
      <c r="BB11" s="573"/>
      <c r="BC11" s="573"/>
      <c r="BD11" s="573"/>
      <c r="BE11" s="573"/>
      <c r="BF11" s="573"/>
      <c r="BG11" s="573"/>
      <c r="BH11" s="573"/>
      <c r="BI11" s="573"/>
      <c r="BJ11" s="573"/>
      <c r="BK11" s="573"/>
      <c r="BL11" s="573"/>
      <c r="BM11" s="573"/>
      <c r="BN11" s="573"/>
      <c r="BO11" s="573"/>
      <c r="BP11" s="573"/>
      <c r="BQ11" s="573"/>
      <c r="BR11" s="573"/>
      <c r="BS11" s="573"/>
      <c r="BT11" s="573"/>
      <c r="BU11" s="573"/>
      <c r="BV11" s="573"/>
      <c r="BW11" s="573"/>
      <c r="BX11" s="573"/>
      <c r="BY11" s="573"/>
      <c r="BZ11" s="573"/>
      <c r="CA11" s="573"/>
      <c r="CB11" s="573"/>
      <c r="CC11" s="573"/>
      <c r="CD11" s="573"/>
      <c r="CE11" s="573"/>
      <c r="CF11" s="573"/>
      <c r="CG11" s="573"/>
      <c r="CH11" s="573"/>
      <c r="CI11" s="573"/>
      <c r="CJ11" s="573"/>
      <c r="CK11" s="573"/>
      <c r="CL11" s="573"/>
      <c r="CM11" s="573"/>
      <c r="CN11" s="573"/>
      <c r="CO11" s="573"/>
      <c r="CP11" s="573"/>
      <c r="CQ11" s="573"/>
      <c r="CR11" s="573"/>
      <c r="CS11" s="573"/>
      <c r="CT11" s="573"/>
      <c r="CU11" s="573"/>
      <c r="CV11" s="573"/>
      <c r="CW11" s="573"/>
      <c r="CX11" s="573"/>
      <c r="CY11" s="573"/>
      <c r="CZ11" s="573"/>
      <c r="DA11" s="573"/>
      <c r="DB11" s="573"/>
      <c r="DC11" s="573"/>
      <c r="DD11" s="573"/>
      <c r="DE11" s="573"/>
      <c r="DF11" s="573"/>
      <c r="DG11" s="573"/>
      <c r="DH11" s="573"/>
      <c r="DI11" s="573"/>
      <c r="DJ11" s="573"/>
      <c r="DK11" s="573"/>
      <c r="DL11" s="573"/>
      <c r="DM11" s="573"/>
      <c r="DN11" s="573"/>
      <c r="DO11" s="573"/>
      <c r="DP11" s="573"/>
      <c r="DQ11" s="573"/>
      <c r="DR11" s="573"/>
      <c r="DS11" s="573"/>
      <c r="DT11" s="573"/>
      <c r="DU11" s="573"/>
      <c r="DV11" s="573"/>
      <c r="DW11" s="573"/>
      <c r="DX11" s="573"/>
      <c r="DY11" s="573"/>
      <c r="DZ11" s="573"/>
      <c r="EA11" s="573"/>
      <c r="EB11" s="573"/>
      <c r="EC11" s="573"/>
      <c r="ED11" s="573"/>
      <c r="EE11" s="573"/>
      <c r="EF11" s="573"/>
      <c r="EG11" s="573"/>
      <c r="EH11" s="573"/>
      <c r="EI11" s="573"/>
      <c r="EJ11" s="573"/>
      <c r="EK11" s="573"/>
      <c r="EL11" s="573"/>
      <c r="EM11" s="573"/>
      <c r="EN11" s="573"/>
      <c r="EO11" s="573"/>
      <c r="EP11" s="573"/>
      <c r="EQ11" s="573"/>
      <c r="ER11" s="573"/>
      <c r="ES11" s="573"/>
      <c r="ET11" s="573"/>
      <c r="EU11" s="573"/>
      <c r="EV11" s="573"/>
      <c r="EW11" s="573"/>
      <c r="EX11" s="573"/>
      <c r="EY11" s="573"/>
      <c r="EZ11" s="573"/>
      <c r="FA11" s="573"/>
      <c r="FB11" s="573"/>
      <c r="FC11" s="573"/>
      <c r="FD11" s="573"/>
      <c r="FE11" s="573"/>
      <c r="FF11" s="573"/>
      <c r="FG11" s="573"/>
      <c r="FH11" s="573"/>
      <c r="FI11" s="573"/>
      <c r="FJ11" s="573"/>
      <c r="FK11" s="573"/>
      <c r="FL11" s="573"/>
      <c r="FM11" s="573"/>
      <c r="FN11" s="573"/>
      <c r="FO11" s="573"/>
      <c r="FP11" s="573"/>
      <c r="FQ11" s="573"/>
      <c r="FR11" s="573"/>
      <c r="FS11" s="573"/>
      <c r="FT11" s="573"/>
      <c r="FU11" s="573"/>
      <c r="FV11" s="573"/>
      <c r="FW11" s="573"/>
      <c r="FX11" s="573"/>
      <c r="FY11" s="573"/>
      <c r="FZ11" s="573"/>
      <c r="GA11" s="573"/>
      <c r="GB11" s="573"/>
      <c r="GC11" s="573"/>
      <c r="GD11" s="573"/>
      <c r="GE11" s="573"/>
      <c r="GF11" s="573"/>
      <c r="GG11" s="573"/>
      <c r="GH11" s="573"/>
      <c r="GI11" s="573"/>
      <c r="GJ11" s="573"/>
      <c r="GK11" s="573"/>
      <c r="GL11" s="573"/>
      <c r="GM11" s="573"/>
      <c r="GN11" s="573"/>
      <c r="GO11" s="573"/>
      <c r="GP11" s="573"/>
      <c r="GQ11" s="573"/>
      <c r="GR11" s="573"/>
      <c r="GS11" s="573"/>
      <c r="GT11" s="573"/>
      <c r="GU11" s="573"/>
      <c r="GV11" s="573"/>
      <c r="GW11" s="573"/>
      <c r="GX11" s="573"/>
      <c r="GY11" s="573"/>
      <c r="GZ11" s="573"/>
      <c r="HA11" s="573"/>
      <c r="HB11" s="573"/>
      <c r="HC11" s="573"/>
      <c r="HD11" s="573"/>
      <c r="HE11" s="573"/>
      <c r="HF11" s="573"/>
      <c r="HG11" s="573"/>
      <c r="HH11" s="573"/>
      <c r="HI11" s="573"/>
      <c r="HJ11" s="573"/>
      <c r="HK11" s="573"/>
      <c r="HL11" s="573"/>
      <c r="HM11" s="573"/>
      <c r="HN11" s="573"/>
      <c r="HO11" s="573"/>
      <c r="HP11" s="573"/>
      <c r="HQ11" s="573"/>
      <c r="HR11" s="573"/>
      <c r="HS11" s="573"/>
      <c r="HT11" s="573"/>
      <c r="HU11" s="573"/>
      <c r="HV11" s="573"/>
      <c r="HW11" s="573"/>
      <c r="HX11" s="573"/>
      <c r="HY11" s="573"/>
      <c r="HZ11" s="573"/>
      <c r="IA11" s="573"/>
      <c r="IB11" s="573"/>
      <c r="IC11" s="573"/>
      <c r="ID11" s="573"/>
      <c r="IE11" s="573"/>
      <c r="IF11" s="573"/>
      <c r="IG11" s="573"/>
      <c r="IH11" s="573"/>
      <c r="II11" s="573"/>
      <c r="IJ11" s="573"/>
      <c r="IK11" s="573"/>
      <c r="IL11" s="573"/>
      <c r="IM11" s="573"/>
      <c r="IN11" s="573"/>
      <c r="IO11" s="573"/>
      <c r="IP11" s="573"/>
      <c r="IQ11" s="573"/>
      <c r="IR11" s="573"/>
      <c r="IS11" s="573"/>
      <c r="IT11" s="573"/>
      <c r="IU11" s="573"/>
      <c r="IV11" s="573"/>
      <c r="IW11" s="573"/>
    </row>
    <row r="12" customFormat="false" ht="14.25" hidden="false" customHeight="false" outlineLevel="0" collapsed="false">
      <c r="A12" s="558" t="s">
        <v>407</v>
      </c>
      <c r="B12" s="572"/>
      <c r="C12" s="573"/>
      <c r="D12" s="574"/>
      <c r="E12" s="576"/>
      <c r="F12" s="574"/>
      <c r="G12" s="577"/>
      <c r="H12" s="573"/>
      <c r="I12" s="573"/>
      <c r="J12" s="573"/>
      <c r="K12" s="573"/>
      <c r="L12" s="573"/>
      <c r="M12" s="573"/>
      <c r="N12" s="573"/>
      <c r="O12" s="573"/>
      <c r="P12" s="573"/>
      <c r="Q12" s="573"/>
      <c r="R12" s="573"/>
      <c r="S12" s="573"/>
      <c r="T12" s="573"/>
      <c r="U12" s="573"/>
      <c r="V12" s="573"/>
      <c r="W12" s="573"/>
      <c r="X12" s="573"/>
      <c r="Y12" s="573"/>
      <c r="Z12" s="573"/>
      <c r="AA12" s="573"/>
      <c r="AB12" s="573"/>
      <c r="AC12" s="573"/>
      <c r="AD12" s="573"/>
      <c r="AE12" s="573"/>
      <c r="AF12" s="573"/>
      <c r="AG12" s="573"/>
      <c r="AH12" s="573"/>
      <c r="AI12" s="573"/>
      <c r="AJ12" s="573"/>
      <c r="AK12" s="573"/>
      <c r="AL12" s="573"/>
      <c r="AM12" s="573"/>
      <c r="AN12" s="573"/>
      <c r="AO12" s="573"/>
      <c r="AP12" s="573"/>
      <c r="AQ12" s="573"/>
      <c r="AR12" s="573"/>
      <c r="AS12" s="573"/>
      <c r="AT12" s="573"/>
      <c r="AU12" s="573"/>
      <c r="AV12" s="573"/>
      <c r="AW12" s="573"/>
      <c r="AX12" s="573"/>
      <c r="AY12" s="573"/>
      <c r="AZ12" s="573"/>
      <c r="BA12" s="573"/>
      <c r="BB12" s="573"/>
      <c r="BC12" s="573"/>
      <c r="BD12" s="573"/>
      <c r="BE12" s="573"/>
      <c r="BF12" s="573"/>
      <c r="BG12" s="573"/>
      <c r="BH12" s="573"/>
      <c r="BI12" s="573"/>
      <c r="BJ12" s="573"/>
      <c r="BK12" s="573"/>
      <c r="BL12" s="573"/>
      <c r="BM12" s="573"/>
      <c r="BN12" s="573"/>
      <c r="BO12" s="573"/>
      <c r="BP12" s="573"/>
      <c r="BQ12" s="573"/>
      <c r="BR12" s="573"/>
      <c r="BS12" s="573"/>
      <c r="BT12" s="573"/>
      <c r="BU12" s="573"/>
      <c r="BV12" s="573"/>
      <c r="BW12" s="573"/>
      <c r="BX12" s="573"/>
      <c r="BY12" s="573"/>
      <c r="BZ12" s="573"/>
      <c r="CA12" s="573"/>
      <c r="CB12" s="573"/>
      <c r="CC12" s="573"/>
      <c r="CD12" s="573"/>
      <c r="CE12" s="573"/>
      <c r="CF12" s="573"/>
      <c r="CG12" s="573"/>
      <c r="CH12" s="573"/>
      <c r="CI12" s="573"/>
      <c r="CJ12" s="573"/>
      <c r="CK12" s="573"/>
      <c r="CL12" s="573"/>
      <c r="CM12" s="573"/>
      <c r="CN12" s="573"/>
      <c r="CO12" s="573"/>
      <c r="CP12" s="573"/>
      <c r="CQ12" s="573"/>
      <c r="CR12" s="573"/>
      <c r="CS12" s="573"/>
      <c r="CT12" s="573"/>
      <c r="CU12" s="573"/>
      <c r="CV12" s="573"/>
      <c r="CW12" s="573"/>
      <c r="CX12" s="573"/>
      <c r="CY12" s="573"/>
      <c r="CZ12" s="573"/>
      <c r="DA12" s="573"/>
      <c r="DB12" s="573"/>
      <c r="DC12" s="573"/>
      <c r="DD12" s="573"/>
      <c r="DE12" s="573"/>
      <c r="DF12" s="573"/>
      <c r="DG12" s="573"/>
      <c r="DH12" s="573"/>
      <c r="DI12" s="573"/>
      <c r="DJ12" s="573"/>
      <c r="DK12" s="573"/>
      <c r="DL12" s="573"/>
      <c r="DM12" s="573"/>
      <c r="DN12" s="573"/>
      <c r="DO12" s="573"/>
      <c r="DP12" s="573"/>
      <c r="DQ12" s="573"/>
      <c r="DR12" s="573"/>
      <c r="DS12" s="573"/>
      <c r="DT12" s="573"/>
      <c r="DU12" s="573"/>
      <c r="DV12" s="573"/>
      <c r="DW12" s="573"/>
      <c r="DX12" s="573"/>
      <c r="DY12" s="573"/>
      <c r="DZ12" s="573"/>
      <c r="EA12" s="573"/>
      <c r="EB12" s="573"/>
      <c r="EC12" s="573"/>
      <c r="ED12" s="573"/>
      <c r="EE12" s="573"/>
      <c r="EF12" s="573"/>
      <c r="EG12" s="573"/>
      <c r="EH12" s="573"/>
      <c r="EI12" s="573"/>
      <c r="EJ12" s="573"/>
      <c r="EK12" s="573"/>
      <c r="EL12" s="573"/>
      <c r="EM12" s="573"/>
      <c r="EN12" s="573"/>
      <c r="EO12" s="573"/>
      <c r="EP12" s="573"/>
      <c r="EQ12" s="573"/>
      <c r="ER12" s="573"/>
      <c r="ES12" s="573"/>
      <c r="ET12" s="573"/>
      <c r="EU12" s="573"/>
      <c r="EV12" s="573"/>
      <c r="EW12" s="573"/>
      <c r="EX12" s="573"/>
      <c r="EY12" s="573"/>
      <c r="EZ12" s="573"/>
      <c r="FA12" s="573"/>
      <c r="FB12" s="573"/>
      <c r="FC12" s="573"/>
      <c r="FD12" s="573"/>
      <c r="FE12" s="573"/>
      <c r="FF12" s="573"/>
      <c r="FG12" s="573"/>
      <c r="FH12" s="573"/>
      <c r="FI12" s="573"/>
      <c r="FJ12" s="573"/>
      <c r="FK12" s="573"/>
      <c r="FL12" s="573"/>
      <c r="FM12" s="573"/>
      <c r="FN12" s="573"/>
      <c r="FO12" s="573"/>
      <c r="FP12" s="573"/>
      <c r="FQ12" s="573"/>
      <c r="FR12" s="573"/>
      <c r="FS12" s="573"/>
      <c r="FT12" s="573"/>
      <c r="FU12" s="573"/>
      <c r="FV12" s="573"/>
      <c r="FW12" s="573"/>
      <c r="FX12" s="573"/>
      <c r="FY12" s="573"/>
      <c r="FZ12" s="573"/>
      <c r="GA12" s="573"/>
      <c r="GB12" s="573"/>
      <c r="GC12" s="573"/>
      <c r="GD12" s="573"/>
      <c r="GE12" s="573"/>
      <c r="GF12" s="573"/>
      <c r="GG12" s="573"/>
      <c r="GH12" s="573"/>
      <c r="GI12" s="573"/>
      <c r="GJ12" s="573"/>
      <c r="GK12" s="573"/>
      <c r="GL12" s="573"/>
      <c r="GM12" s="573"/>
      <c r="GN12" s="573"/>
      <c r="GO12" s="573"/>
      <c r="GP12" s="573"/>
      <c r="GQ12" s="573"/>
      <c r="GR12" s="573"/>
      <c r="GS12" s="573"/>
      <c r="GT12" s="573"/>
      <c r="GU12" s="573"/>
      <c r="GV12" s="573"/>
      <c r="GW12" s="573"/>
      <c r="GX12" s="573"/>
      <c r="GY12" s="573"/>
      <c r="GZ12" s="573"/>
      <c r="HA12" s="573"/>
      <c r="HB12" s="573"/>
      <c r="HC12" s="573"/>
      <c r="HD12" s="573"/>
      <c r="HE12" s="573"/>
      <c r="HF12" s="573"/>
      <c r="HG12" s="573"/>
      <c r="HH12" s="573"/>
      <c r="HI12" s="573"/>
      <c r="HJ12" s="573"/>
      <c r="HK12" s="573"/>
      <c r="HL12" s="573"/>
      <c r="HM12" s="573"/>
      <c r="HN12" s="573"/>
      <c r="HO12" s="573"/>
      <c r="HP12" s="573"/>
      <c r="HQ12" s="573"/>
      <c r="HR12" s="573"/>
      <c r="HS12" s="573"/>
      <c r="HT12" s="573"/>
      <c r="HU12" s="573"/>
      <c r="HV12" s="573"/>
      <c r="HW12" s="573"/>
      <c r="HX12" s="573"/>
      <c r="HY12" s="573"/>
      <c r="HZ12" s="573"/>
      <c r="IA12" s="573"/>
      <c r="IB12" s="573"/>
      <c r="IC12" s="573"/>
      <c r="ID12" s="573"/>
      <c r="IE12" s="573"/>
      <c r="IF12" s="573"/>
      <c r="IG12" s="573"/>
      <c r="IH12" s="573"/>
      <c r="II12" s="573"/>
      <c r="IJ12" s="573"/>
      <c r="IK12" s="573"/>
      <c r="IL12" s="573"/>
      <c r="IM12" s="573"/>
      <c r="IN12" s="573"/>
      <c r="IO12" s="573"/>
      <c r="IP12" s="573"/>
      <c r="IQ12" s="573"/>
      <c r="IR12" s="573"/>
      <c r="IS12" s="573"/>
      <c r="IT12" s="573"/>
      <c r="IU12" s="573"/>
      <c r="IV12" s="573"/>
      <c r="IW12" s="573"/>
    </row>
    <row r="13" customFormat="false" ht="14.25" hidden="false" customHeight="false" outlineLevel="0" collapsed="false">
      <c r="A13" s="558" t="s">
        <v>334</v>
      </c>
      <c r="B13" s="572"/>
      <c r="C13" s="573"/>
      <c r="D13" s="574"/>
      <c r="E13" s="578"/>
      <c r="F13" s="574"/>
      <c r="G13" s="574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3"/>
      <c r="U13" s="573"/>
      <c r="V13" s="573"/>
      <c r="W13" s="573"/>
      <c r="X13" s="573"/>
      <c r="Y13" s="573"/>
      <c r="Z13" s="573"/>
      <c r="AA13" s="573"/>
      <c r="AB13" s="573"/>
      <c r="AC13" s="573"/>
      <c r="AD13" s="573"/>
      <c r="AE13" s="573"/>
      <c r="AF13" s="573"/>
      <c r="AG13" s="573"/>
      <c r="AH13" s="573"/>
      <c r="AI13" s="573"/>
      <c r="AJ13" s="573"/>
      <c r="AK13" s="573"/>
      <c r="AL13" s="573"/>
      <c r="AM13" s="573"/>
      <c r="AN13" s="573"/>
      <c r="AO13" s="573"/>
      <c r="AP13" s="573"/>
      <c r="AQ13" s="573"/>
      <c r="AR13" s="573"/>
      <c r="AS13" s="573"/>
      <c r="AT13" s="573"/>
      <c r="AU13" s="573"/>
      <c r="AV13" s="573"/>
      <c r="AW13" s="573"/>
      <c r="AX13" s="573"/>
      <c r="AY13" s="573"/>
      <c r="AZ13" s="573"/>
      <c r="BA13" s="573"/>
      <c r="BB13" s="573"/>
      <c r="BC13" s="573"/>
      <c r="BD13" s="573"/>
      <c r="BE13" s="573"/>
      <c r="BF13" s="573"/>
      <c r="BG13" s="573"/>
      <c r="BH13" s="573"/>
      <c r="BI13" s="573"/>
      <c r="BJ13" s="573"/>
      <c r="BK13" s="573"/>
      <c r="BL13" s="573"/>
      <c r="BM13" s="573"/>
      <c r="BN13" s="573"/>
      <c r="BO13" s="573"/>
      <c r="BP13" s="573"/>
      <c r="BQ13" s="573"/>
      <c r="BR13" s="573"/>
      <c r="BS13" s="573"/>
      <c r="BT13" s="573"/>
      <c r="BU13" s="573"/>
      <c r="BV13" s="573"/>
      <c r="BW13" s="573"/>
      <c r="BX13" s="573"/>
      <c r="BY13" s="573"/>
      <c r="BZ13" s="573"/>
      <c r="CA13" s="573"/>
      <c r="CB13" s="573"/>
      <c r="CC13" s="573"/>
      <c r="CD13" s="573"/>
      <c r="CE13" s="573"/>
      <c r="CF13" s="573"/>
      <c r="CG13" s="573"/>
      <c r="CH13" s="573"/>
      <c r="CI13" s="573"/>
      <c r="CJ13" s="573"/>
      <c r="CK13" s="573"/>
      <c r="CL13" s="573"/>
      <c r="CM13" s="573"/>
      <c r="CN13" s="573"/>
      <c r="CO13" s="573"/>
      <c r="CP13" s="573"/>
      <c r="CQ13" s="573"/>
      <c r="CR13" s="573"/>
      <c r="CS13" s="573"/>
      <c r="CT13" s="573"/>
      <c r="CU13" s="573"/>
      <c r="CV13" s="573"/>
      <c r="CW13" s="573"/>
      <c r="CX13" s="573"/>
      <c r="CY13" s="573"/>
      <c r="CZ13" s="573"/>
      <c r="DA13" s="573"/>
      <c r="DB13" s="573"/>
      <c r="DC13" s="573"/>
      <c r="DD13" s="573"/>
      <c r="DE13" s="573"/>
      <c r="DF13" s="573"/>
      <c r="DG13" s="573"/>
      <c r="DH13" s="573"/>
      <c r="DI13" s="573"/>
      <c r="DJ13" s="573"/>
      <c r="DK13" s="573"/>
      <c r="DL13" s="573"/>
      <c r="DM13" s="573"/>
      <c r="DN13" s="573"/>
      <c r="DO13" s="573"/>
      <c r="DP13" s="573"/>
      <c r="DQ13" s="573"/>
      <c r="DR13" s="573"/>
      <c r="DS13" s="573"/>
      <c r="DT13" s="573"/>
      <c r="DU13" s="573"/>
      <c r="DV13" s="573"/>
      <c r="DW13" s="573"/>
      <c r="DX13" s="573"/>
      <c r="DY13" s="573"/>
      <c r="DZ13" s="573"/>
      <c r="EA13" s="573"/>
      <c r="EB13" s="573"/>
      <c r="EC13" s="573"/>
      <c r="ED13" s="573"/>
      <c r="EE13" s="573"/>
      <c r="EF13" s="573"/>
      <c r="EG13" s="573"/>
      <c r="EH13" s="573"/>
      <c r="EI13" s="573"/>
      <c r="EJ13" s="573"/>
      <c r="EK13" s="573"/>
      <c r="EL13" s="573"/>
      <c r="EM13" s="573"/>
      <c r="EN13" s="573"/>
      <c r="EO13" s="573"/>
      <c r="EP13" s="573"/>
      <c r="EQ13" s="573"/>
      <c r="ER13" s="573"/>
      <c r="ES13" s="573"/>
      <c r="ET13" s="573"/>
      <c r="EU13" s="573"/>
      <c r="EV13" s="573"/>
      <c r="EW13" s="573"/>
      <c r="EX13" s="573"/>
      <c r="EY13" s="573"/>
      <c r="EZ13" s="573"/>
      <c r="FA13" s="573"/>
      <c r="FB13" s="573"/>
      <c r="FC13" s="573"/>
      <c r="FD13" s="573"/>
      <c r="FE13" s="573"/>
      <c r="FF13" s="573"/>
      <c r="FG13" s="573"/>
      <c r="FH13" s="573"/>
      <c r="FI13" s="573"/>
      <c r="FJ13" s="573"/>
      <c r="FK13" s="573"/>
      <c r="FL13" s="573"/>
      <c r="FM13" s="573"/>
      <c r="FN13" s="573"/>
      <c r="FO13" s="573"/>
      <c r="FP13" s="573"/>
      <c r="FQ13" s="573"/>
      <c r="FR13" s="573"/>
      <c r="FS13" s="573"/>
      <c r="FT13" s="573"/>
      <c r="FU13" s="573"/>
      <c r="FV13" s="573"/>
      <c r="FW13" s="573"/>
      <c r="FX13" s="573"/>
      <c r="FY13" s="573"/>
      <c r="FZ13" s="573"/>
      <c r="GA13" s="573"/>
      <c r="GB13" s="573"/>
      <c r="GC13" s="573"/>
      <c r="GD13" s="573"/>
      <c r="GE13" s="573"/>
      <c r="GF13" s="573"/>
      <c r="GG13" s="573"/>
      <c r="GH13" s="573"/>
      <c r="GI13" s="573"/>
      <c r="GJ13" s="573"/>
      <c r="GK13" s="573"/>
      <c r="GL13" s="573"/>
      <c r="GM13" s="573"/>
      <c r="GN13" s="573"/>
      <c r="GO13" s="573"/>
      <c r="GP13" s="573"/>
      <c r="GQ13" s="573"/>
      <c r="GR13" s="573"/>
      <c r="GS13" s="573"/>
      <c r="GT13" s="573"/>
      <c r="GU13" s="573"/>
      <c r="GV13" s="573"/>
      <c r="GW13" s="573"/>
      <c r="GX13" s="573"/>
      <c r="GY13" s="573"/>
      <c r="GZ13" s="573"/>
      <c r="HA13" s="573"/>
      <c r="HB13" s="573"/>
      <c r="HC13" s="573"/>
      <c r="HD13" s="573"/>
      <c r="HE13" s="573"/>
      <c r="HF13" s="573"/>
      <c r="HG13" s="573"/>
      <c r="HH13" s="573"/>
      <c r="HI13" s="573"/>
      <c r="HJ13" s="573"/>
      <c r="HK13" s="573"/>
      <c r="HL13" s="573"/>
      <c r="HM13" s="573"/>
      <c r="HN13" s="573"/>
      <c r="HO13" s="573"/>
      <c r="HP13" s="573"/>
      <c r="HQ13" s="573"/>
      <c r="HR13" s="573"/>
      <c r="HS13" s="573"/>
      <c r="HT13" s="573"/>
      <c r="HU13" s="573"/>
      <c r="HV13" s="573"/>
      <c r="HW13" s="573"/>
      <c r="HX13" s="573"/>
      <c r="HY13" s="573"/>
      <c r="HZ13" s="573"/>
      <c r="IA13" s="573"/>
      <c r="IB13" s="573"/>
      <c r="IC13" s="573"/>
      <c r="ID13" s="573"/>
      <c r="IE13" s="573"/>
      <c r="IF13" s="573"/>
      <c r="IG13" s="573"/>
      <c r="IH13" s="573"/>
      <c r="II13" s="573"/>
      <c r="IJ13" s="573"/>
      <c r="IK13" s="573"/>
      <c r="IL13" s="573"/>
      <c r="IM13" s="573"/>
      <c r="IN13" s="573"/>
      <c r="IO13" s="573"/>
      <c r="IP13" s="573"/>
      <c r="IQ13" s="573"/>
      <c r="IR13" s="573"/>
      <c r="IS13" s="573"/>
      <c r="IT13" s="573"/>
      <c r="IU13" s="573"/>
      <c r="IV13" s="573"/>
      <c r="IW13" s="573"/>
    </row>
    <row r="14" customFormat="false" ht="14.25" hidden="false" customHeight="false" outlineLevel="0" collapsed="false">
      <c r="A14" s="558" t="s">
        <v>408</v>
      </c>
      <c r="B14" s="572"/>
      <c r="C14" s="573"/>
      <c r="D14" s="574"/>
      <c r="E14" s="575"/>
      <c r="F14" s="574"/>
      <c r="G14" s="577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  <c r="X14" s="573"/>
      <c r="Y14" s="573"/>
      <c r="Z14" s="573"/>
      <c r="AA14" s="573"/>
      <c r="AB14" s="573"/>
      <c r="AC14" s="573"/>
      <c r="AD14" s="573"/>
      <c r="AE14" s="573"/>
      <c r="AF14" s="573"/>
      <c r="AG14" s="573"/>
      <c r="AH14" s="573"/>
      <c r="AI14" s="573"/>
      <c r="AJ14" s="573"/>
      <c r="AK14" s="573"/>
      <c r="AL14" s="573"/>
      <c r="AM14" s="573"/>
      <c r="AN14" s="573"/>
      <c r="AO14" s="573"/>
      <c r="AP14" s="573"/>
      <c r="AQ14" s="573"/>
      <c r="AR14" s="573"/>
      <c r="AS14" s="573"/>
      <c r="AT14" s="573"/>
      <c r="AU14" s="573"/>
      <c r="AV14" s="573"/>
      <c r="AW14" s="573"/>
      <c r="AX14" s="573"/>
      <c r="AY14" s="573"/>
      <c r="AZ14" s="573"/>
      <c r="BA14" s="573"/>
      <c r="BB14" s="573"/>
      <c r="BC14" s="573"/>
      <c r="BD14" s="573"/>
      <c r="BE14" s="573"/>
      <c r="BF14" s="573"/>
      <c r="BG14" s="573"/>
      <c r="BH14" s="573"/>
      <c r="BI14" s="573"/>
      <c r="BJ14" s="573"/>
      <c r="BK14" s="573"/>
      <c r="BL14" s="573"/>
      <c r="BM14" s="573"/>
      <c r="BN14" s="573"/>
      <c r="BO14" s="573"/>
      <c r="BP14" s="573"/>
      <c r="BQ14" s="573"/>
      <c r="BR14" s="573"/>
      <c r="BS14" s="573"/>
      <c r="BT14" s="573"/>
      <c r="BU14" s="573"/>
      <c r="BV14" s="573"/>
      <c r="BW14" s="573"/>
      <c r="BX14" s="573"/>
      <c r="BY14" s="573"/>
      <c r="BZ14" s="573"/>
      <c r="CA14" s="573"/>
      <c r="CB14" s="573"/>
      <c r="CC14" s="573"/>
      <c r="CD14" s="573"/>
      <c r="CE14" s="573"/>
      <c r="CF14" s="573"/>
      <c r="CG14" s="573"/>
      <c r="CH14" s="573"/>
      <c r="CI14" s="573"/>
      <c r="CJ14" s="573"/>
      <c r="CK14" s="573"/>
      <c r="CL14" s="573"/>
      <c r="CM14" s="573"/>
      <c r="CN14" s="573"/>
      <c r="CO14" s="573"/>
      <c r="CP14" s="573"/>
      <c r="CQ14" s="573"/>
      <c r="CR14" s="573"/>
      <c r="CS14" s="573"/>
      <c r="CT14" s="573"/>
      <c r="CU14" s="573"/>
      <c r="CV14" s="573"/>
      <c r="CW14" s="573"/>
      <c r="CX14" s="573"/>
      <c r="CY14" s="573"/>
      <c r="CZ14" s="573"/>
      <c r="DA14" s="573"/>
      <c r="DB14" s="573"/>
      <c r="DC14" s="573"/>
      <c r="DD14" s="573"/>
      <c r="DE14" s="573"/>
      <c r="DF14" s="573"/>
      <c r="DG14" s="573"/>
      <c r="DH14" s="573"/>
      <c r="DI14" s="573"/>
      <c r="DJ14" s="573"/>
      <c r="DK14" s="573"/>
      <c r="DL14" s="573"/>
      <c r="DM14" s="573"/>
      <c r="DN14" s="573"/>
      <c r="DO14" s="573"/>
      <c r="DP14" s="573"/>
      <c r="DQ14" s="573"/>
      <c r="DR14" s="573"/>
      <c r="DS14" s="573"/>
      <c r="DT14" s="573"/>
      <c r="DU14" s="573"/>
      <c r="DV14" s="573"/>
      <c r="DW14" s="573"/>
      <c r="DX14" s="573"/>
      <c r="DY14" s="573"/>
      <c r="DZ14" s="573"/>
      <c r="EA14" s="573"/>
      <c r="EB14" s="573"/>
      <c r="EC14" s="573"/>
      <c r="ED14" s="573"/>
      <c r="EE14" s="573"/>
      <c r="EF14" s="573"/>
      <c r="EG14" s="573"/>
      <c r="EH14" s="573"/>
      <c r="EI14" s="573"/>
      <c r="EJ14" s="573"/>
      <c r="EK14" s="573"/>
      <c r="EL14" s="573"/>
      <c r="EM14" s="573"/>
      <c r="EN14" s="573"/>
      <c r="EO14" s="573"/>
      <c r="EP14" s="573"/>
      <c r="EQ14" s="573"/>
      <c r="ER14" s="573"/>
      <c r="ES14" s="573"/>
      <c r="ET14" s="573"/>
      <c r="EU14" s="573"/>
      <c r="EV14" s="573"/>
      <c r="EW14" s="573"/>
      <c r="EX14" s="573"/>
      <c r="EY14" s="573"/>
      <c r="EZ14" s="573"/>
      <c r="FA14" s="573"/>
      <c r="FB14" s="573"/>
      <c r="FC14" s="573"/>
      <c r="FD14" s="573"/>
      <c r="FE14" s="573"/>
      <c r="FF14" s="573"/>
      <c r="FG14" s="573"/>
      <c r="FH14" s="573"/>
      <c r="FI14" s="573"/>
      <c r="FJ14" s="573"/>
      <c r="FK14" s="573"/>
      <c r="FL14" s="573"/>
      <c r="FM14" s="573"/>
      <c r="FN14" s="573"/>
      <c r="FO14" s="573"/>
      <c r="FP14" s="573"/>
      <c r="FQ14" s="573"/>
      <c r="FR14" s="573"/>
      <c r="FS14" s="573"/>
      <c r="FT14" s="573"/>
      <c r="FU14" s="573"/>
      <c r="FV14" s="573"/>
      <c r="FW14" s="573"/>
      <c r="FX14" s="573"/>
      <c r="FY14" s="573"/>
      <c r="FZ14" s="573"/>
      <c r="GA14" s="573"/>
      <c r="GB14" s="573"/>
      <c r="GC14" s="573"/>
      <c r="GD14" s="573"/>
      <c r="GE14" s="573"/>
      <c r="GF14" s="573"/>
      <c r="GG14" s="573"/>
      <c r="GH14" s="573"/>
      <c r="GI14" s="573"/>
      <c r="GJ14" s="573"/>
      <c r="GK14" s="573"/>
      <c r="GL14" s="573"/>
      <c r="GM14" s="573"/>
      <c r="GN14" s="573"/>
      <c r="GO14" s="573"/>
      <c r="GP14" s="573"/>
      <c r="GQ14" s="573"/>
      <c r="GR14" s="573"/>
      <c r="GS14" s="573"/>
      <c r="GT14" s="573"/>
      <c r="GU14" s="573"/>
      <c r="GV14" s="573"/>
      <c r="GW14" s="573"/>
      <c r="GX14" s="573"/>
      <c r="GY14" s="573"/>
      <c r="GZ14" s="573"/>
      <c r="HA14" s="573"/>
      <c r="HB14" s="573"/>
      <c r="HC14" s="573"/>
      <c r="HD14" s="573"/>
      <c r="HE14" s="573"/>
      <c r="HF14" s="573"/>
      <c r="HG14" s="573"/>
      <c r="HH14" s="573"/>
      <c r="HI14" s="573"/>
      <c r="HJ14" s="573"/>
      <c r="HK14" s="573"/>
      <c r="HL14" s="573"/>
      <c r="HM14" s="573"/>
      <c r="HN14" s="573"/>
      <c r="HO14" s="573"/>
      <c r="HP14" s="573"/>
      <c r="HQ14" s="573"/>
      <c r="HR14" s="573"/>
      <c r="HS14" s="573"/>
      <c r="HT14" s="573"/>
      <c r="HU14" s="573"/>
      <c r="HV14" s="573"/>
      <c r="HW14" s="573"/>
      <c r="HX14" s="573"/>
      <c r="HY14" s="573"/>
      <c r="HZ14" s="573"/>
      <c r="IA14" s="573"/>
      <c r="IB14" s="573"/>
      <c r="IC14" s="573"/>
      <c r="ID14" s="573"/>
      <c r="IE14" s="573"/>
      <c r="IF14" s="573"/>
      <c r="IG14" s="573"/>
      <c r="IH14" s="573"/>
      <c r="II14" s="573"/>
      <c r="IJ14" s="573"/>
      <c r="IK14" s="573"/>
      <c r="IL14" s="573"/>
      <c r="IM14" s="573"/>
      <c r="IN14" s="573"/>
      <c r="IO14" s="573"/>
      <c r="IP14" s="573"/>
      <c r="IQ14" s="573"/>
      <c r="IR14" s="573"/>
      <c r="IS14" s="573"/>
      <c r="IT14" s="573"/>
      <c r="IU14" s="573"/>
      <c r="IV14" s="573"/>
      <c r="IW14" s="573"/>
    </row>
    <row r="15" customFormat="false" ht="14.25" hidden="false" customHeight="false" outlineLevel="0" collapsed="false">
      <c r="A15" s="558" t="s">
        <v>409</v>
      </c>
      <c r="B15" s="572"/>
      <c r="C15" s="573"/>
      <c r="D15" s="574"/>
      <c r="E15" s="575"/>
      <c r="F15" s="574"/>
      <c r="G15" s="577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  <c r="X15" s="573"/>
      <c r="Y15" s="573"/>
      <c r="Z15" s="573"/>
      <c r="AA15" s="573"/>
      <c r="AB15" s="573"/>
      <c r="AC15" s="573"/>
      <c r="AD15" s="573"/>
      <c r="AE15" s="573"/>
      <c r="AF15" s="573"/>
      <c r="AG15" s="573"/>
      <c r="AH15" s="573"/>
      <c r="AI15" s="573"/>
      <c r="AJ15" s="573"/>
      <c r="AK15" s="573"/>
      <c r="AL15" s="573"/>
      <c r="AM15" s="573"/>
      <c r="AN15" s="573"/>
      <c r="AO15" s="573"/>
      <c r="AP15" s="573"/>
      <c r="AQ15" s="573"/>
      <c r="AR15" s="573"/>
      <c r="AS15" s="573"/>
      <c r="AT15" s="573"/>
      <c r="AU15" s="573"/>
      <c r="AV15" s="573"/>
      <c r="AW15" s="573"/>
      <c r="AX15" s="573"/>
      <c r="AY15" s="573"/>
      <c r="AZ15" s="573"/>
      <c r="BA15" s="573"/>
      <c r="BB15" s="573"/>
      <c r="BC15" s="573"/>
      <c r="BD15" s="573"/>
      <c r="BE15" s="573"/>
      <c r="BF15" s="573"/>
      <c r="BG15" s="573"/>
      <c r="BH15" s="573"/>
      <c r="BI15" s="573"/>
      <c r="BJ15" s="573"/>
      <c r="BK15" s="573"/>
      <c r="BL15" s="573"/>
      <c r="BM15" s="573"/>
      <c r="BN15" s="573"/>
      <c r="BO15" s="573"/>
      <c r="BP15" s="573"/>
      <c r="BQ15" s="573"/>
      <c r="BR15" s="573"/>
      <c r="BS15" s="573"/>
      <c r="BT15" s="573"/>
      <c r="BU15" s="573"/>
      <c r="BV15" s="573"/>
      <c r="BW15" s="573"/>
      <c r="BX15" s="573"/>
      <c r="BY15" s="573"/>
      <c r="BZ15" s="573"/>
      <c r="CA15" s="573"/>
      <c r="CB15" s="573"/>
      <c r="CC15" s="573"/>
      <c r="CD15" s="573"/>
      <c r="CE15" s="573"/>
      <c r="CF15" s="573"/>
      <c r="CG15" s="573"/>
      <c r="CH15" s="573"/>
      <c r="CI15" s="573"/>
      <c r="CJ15" s="573"/>
      <c r="CK15" s="573"/>
      <c r="CL15" s="573"/>
      <c r="CM15" s="573"/>
      <c r="CN15" s="573"/>
      <c r="CO15" s="573"/>
      <c r="CP15" s="573"/>
      <c r="CQ15" s="573"/>
      <c r="CR15" s="573"/>
      <c r="CS15" s="573"/>
      <c r="CT15" s="573"/>
      <c r="CU15" s="573"/>
      <c r="CV15" s="573"/>
      <c r="CW15" s="573"/>
      <c r="CX15" s="573"/>
      <c r="CY15" s="573"/>
      <c r="CZ15" s="573"/>
      <c r="DA15" s="573"/>
      <c r="DB15" s="573"/>
      <c r="DC15" s="573"/>
      <c r="DD15" s="573"/>
      <c r="DE15" s="573"/>
      <c r="DF15" s="573"/>
      <c r="DG15" s="573"/>
      <c r="DH15" s="573"/>
      <c r="DI15" s="573"/>
      <c r="DJ15" s="573"/>
      <c r="DK15" s="573"/>
      <c r="DL15" s="573"/>
      <c r="DM15" s="573"/>
      <c r="DN15" s="573"/>
      <c r="DO15" s="573"/>
      <c r="DP15" s="573"/>
      <c r="DQ15" s="573"/>
      <c r="DR15" s="573"/>
      <c r="DS15" s="573"/>
      <c r="DT15" s="573"/>
      <c r="DU15" s="573"/>
      <c r="DV15" s="573"/>
      <c r="DW15" s="573"/>
      <c r="DX15" s="573"/>
      <c r="DY15" s="573"/>
      <c r="DZ15" s="573"/>
      <c r="EA15" s="573"/>
      <c r="EB15" s="573"/>
      <c r="EC15" s="573"/>
      <c r="ED15" s="573"/>
      <c r="EE15" s="573"/>
      <c r="EF15" s="573"/>
      <c r="EG15" s="573"/>
      <c r="EH15" s="573"/>
      <c r="EI15" s="573"/>
      <c r="EJ15" s="573"/>
      <c r="EK15" s="573"/>
      <c r="EL15" s="573"/>
      <c r="EM15" s="573"/>
      <c r="EN15" s="573"/>
      <c r="EO15" s="573"/>
      <c r="EP15" s="573"/>
      <c r="EQ15" s="573"/>
      <c r="ER15" s="573"/>
      <c r="ES15" s="573"/>
      <c r="ET15" s="573"/>
      <c r="EU15" s="573"/>
      <c r="EV15" s="573"/>
      <c r="EW15" s="573"/>
      <c r="EX15" s="573"/>
      <c r="EY15" s="573"/>
      <c r="EZ15" s="573"/>
      <c r="FA15" s="573"/>
      <c r="FB15" s="573"/>
      <c r="FC15" s="573"/>
      <c r="FD15" s="573"/>
      <c r="FE15" s="573"/>
      <c r="FF15" s="573"/>
      <c r="FG15" s="573"/>
      <c r="FH15" s="573"/>
      <c r="FI15" s="573"/>
      <c r="FJ15" s="573"/>
      <c r="FK15" s="573"/>
      <c r="FL15" s="573"/>
      <c r="FM15" s="573"/>
      <c r="FN15" s="573"/>
      <c r="FO15" s="573"/>
      <c r="FP15" s="573"/>
      <c r="FQ15" s="573"/>
      <c r="FR15" s="573"/>
      <c r="FS15" s="573"/>
      <c r="FT15" s="573"/>
      <c r="FU15" s="573"/>
      <c r="FV15" s="573"/>
      <c r="FW15" s="573"/>
      <c r="FX15" s="573"/>
      <c r="FY15" s="573"/>
      <c r="FZ15" s="573"/>
      <c r="GA15" s="573"/>
      <c r="GB15" s="573"/>
      <c r="GC15" s="573"/>
      <c r="GD15" s="573"/>
      <c r="GE15" s="573"/>
      <c r="GF15" s="573"/>
      <c r="GG15" s="573"/>
      <c r="GH15" s="573"/>
      <c r="GI15" s="573"/>
      <c r="GJ15" s="573"/>
      <c r="GK15" s="573"/>
      <c r="GL15" s="573"/>
      <c r="GM15" s="573"/>
      <c r="GN15" s="573"/>
      <c r="GO15" s="573"/>
      <c r="GP15" s="573"/>
      <c r="GQ15" s="573"/>
      <c r="GR15" s="573"/>
      <c r="GS15" s="573"/>
      <c r="GT15" s="573"/>
      <c r="GU15" s="573"/>
      <c r="GV15" s="573"/>
      <c r="GW15" s="573"/>
      <c r="GX15" s="573"/>
      <c r="GY15" s="573"/>
      <c r="GZ15" s="573"/>
      <c r="HA15" s="573"/>
      <c r="HB15" s="573"/>
      <c r="HC15" s="573"/>
      <c r="HD15" s="573"/>
      <c r="HE15" s="573"/>
      <c r="HF15" s="573"/>
      <c r="HG15" s="573"/>
      <c r="HH15" s="573"/>
      <c r="HI15" s="573"/>
      <c r="HJ15" s="573"/>
      <c r="HK15" s="573"/>
      <c r="HL15" s="573"/>
      <c r="HM15" s="573"/>
      <c r="HN15" s="573"/>
      <c r="HO15" s="573"/>
      <c r="HP15" s="573"/>
      <c r="HQ15" s="573"/>
      <c r="HR15" s="573"/>
      <c r="HS15" s="573"/>
      <c r="HT15" s="573"/>
      <c r="HU15" s="573"/>
      <c r="HV15" s="573"/>
      <c r="HW15" s="573"/>
      <c r="HX15" s="573"/>
      <c r="HY15" s="573"/>
      <c r="HZ15" s="573"/>
      <c r="IA15" s="573"/>
      <c r="IB15" s="573"/>
      <c r="IC15" s="573"/>
      <c r="ID15" s="573"/>
      <c r="IE15" s="573"/>
      <c r="IF15" s="573"/>
      <c r="IG15" s="573"/>
      <c r="IH15" s="573"/>
      <c r="II15" s="573"/>
      <c r="IJ15" s="573"/>
      <c r="IK15" s="573"/>
      <c r="IL15" s="573"/>
      <c r="IM15" s="573"/>
      <c r="IN15" s="573"/>
      <c r="IO15" s="573"/>
      <c r="IP15" s="573"/>
      <c r="IQ15" s="573"/>
      <c r="IR15" s="573"/>
      <c r="IS15" s="573"/>
      <c r="IT15" s="573"/>
      <c r="IU15" s="573"/>
      <c r="IV15" s="573"/>
      <c r="IW15" s="573"/>
    </row>
    <row r="16" customFormat="false" ht="14.25" hidden="false" customHeight="false" outlineLevel="0" collapsed="false">
      <c r="A16" s="558" t="s">
        <v>410</v>
      </c>
      <c r="B16" s="572"/>
      <c r="C16" s="573"/>
      <c r="D16" s="574"/>
      <c r="E16" s="575"/>
      <c r="F16" s="574"/>
      <c r="G16" s="574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73"/>
      <c r="AC16" s="573"/>
      <c r="AD16" s="573"/>
      <c r="AE16" s="573"/>
      <c r="AF16" s="573"/>
      <c r="AG16" s="573"/>
      <c r="AH16" s="573"/>
      <c r="AI16" s="573"/>
      <c r="AJ16" s="573"/>
      <c r="AK16" s="573"/>
      <c r="AL16" s="573"/>
      <c r="AM16" s="573"/>
      <c r="AN16" s="573"/>
      <c r="AO16" s="573"/>
      <c r="AP16" s="573"/>
      <c r="AQ16" s="573"/>
      <c r="AR16" s="573"/>
      <c r="AS16" s="573"/>
      <c r="AT16" s="573"/>
      <c r="AU16" s="573"/>
      <c r="AV16" s="573"/>
      <c r="AW16" s="573"/>
      <c r="AX16" s="573"/>
      <c r="AY16" s="573"/>
      <c r="AZ16" s="573"/>
      <c r="BA16" s="573"/>
      <c r="BB16" s="573"/>
      <c r="BC16" s="573"/>
      <c r="BD16" s="573"/>
      <c r="BE16" s="573"/>
      <c r="BF16" s="573"/>
      <c r="BG16" s="573"/>
      <c r="BH16" s="573"/>
      <c r="BI16" s="573"/>
      <c r="BJ16" s="573"/>
      <c r="BK16" s="573"/>
      <c r="BL16" s="573"/>
      <c r="BM16" s="573"/>
      <c r="BN16" s="573"/>
      <c r="BO16" s="573"/>
      <c r="BP16" s="573"/>
      <c r="BQ16" s="573"/>
      <c r="BR16" s="573"/>
      <c r="BS16" s="573"/>
      <c r="BT16" s="573"/>
      <c r="BU16" s="573"/>
      <c r="BV16" s="573"/>
      <c r="BW16" s="573"/>
      <c r="BX16" s="573"/>
      <c r="BY16" s="573"/>
      <c r="BZ16" s="573"/>
      <c r="CA16" s="573"/>
      <c r="CB16" s="573"/>
      <c r="CC16" s="573"/>
      <c r="CD16" s="573"/>
      <c r="CE16" s="573"/>
      <c r="CF16" s="573"/>
      <c r="CG16" s="573"/>
      <c r="CH16" s="573"/>
      <c r="CI16" s="573"/>
      <c r="CJ16" s="573"/>
      <c r="CK16" s="573"/>
      <c r="CL16" s="573"/>
      <c r="CM16" s="573"/>
      <c r="CN16" s="573"/>
      <c r="CO16" s="573"/>
      <c r="CP16" s="573"/>
      <c r="CQ16" s="573"/>
      <c r="CR16" s="573"/>
      <c r="CS16" s="573"/>
      <c r="CT16" s="573"/>
      <c r="CU16" s="573"/>
      <c r="CV16" s="573"/>
      <c r="CW16" s="573"/>
      <c r="CX16" s="573"/>
      <c r="CY16" s="573"/>
      <c r="CZ16" s="573"/>
      <c r="DA16" s="573"/>
      <c r="DB16" s="573"/>
      <c r="DC16" s="573"/>
      <c r="DD16" s="573"/>
      <c r="DE16" s="573"/>
      <c r="DF16" s="573"/>
      <c r="DG16" s="573"/>
      <c r="DH16" s="573"/>
      <c r="DI16" s="573"/>
      <c r="DJ16" s="573"/>
      <c r="DK16" s="573"/>
      <c r="DL16" s="573"/>
      <c r="DM16" s="573"/>
      <c r="DN16" s="573"/>
      <c r="DO16" s="573"/>
      <c r="DP16" s="573"/>
      <c r="DQ16" s="573"/>
      <c r="DR16" s="573"/>
      <c r="DS16" s="573"/>
      <c r="DT16" s="573"/>
      <c r="DU16" s="573"/>
      <c r="DV16" s="573"/>
      <c r="DW16" s="573"/>
      <c r="DX16" s="573"/>
      <c r="DY16" s="573"/>
      <c r="DZ16" s="573"/>
      <c r="EA16" s="573"/>
      <c r="EB16" s="573"/>
      <c r="EC16" s="573"/>
      <c r="ED16" s="573"/>
      <c r="EE16" s="573"/>
      <c r="EF16" s="573"/>
      <c r="EG16" s="573"/>
      <c r="EH16" s="573"/>
      <c r="EI16" s="573"/>
      <c r="EJ16" s="573"/>
      <c r="EK16" s="573"/>
      <c r="EL16" s="573"/>
      <c r="EM16" s="573"/>
      <c r="EN16" s="573"/>
      <c r="EO16" s="573"/>
      <c r="EP16" s="573"/>
      <c r="EQ16" s="573"/>
      <c r="ER16" s="573"/>
      <c r="ES16" s="573"/>
      <c r="ET16" s="573"/>
      <c r="EU16" s="573"/>
      <c r="EV16" s="573"/>
      <c r="EW16" s="573"/>
      <c r="EX16" s="573"/>
      <c r="EY16" s="573"/>
      <c r="EZ16" s="573"/>
      <c r="FA16" s="573"/>
      <c r="FB16" s="573"/>
      <c r="FC16" s="573"/>
      <c r="FD16" s="573"/>
      <c r="FE16" s="573"/>
      <c r="FF16" s="573"/>
      <c r="FG16" s="573"/>
      <c r="FH16" s="573"/>
      <c r="FI16" s="573"/>
      <c r="FJ16" s="573"/>
      <c r="FK16" s="573"/>
      <c r="FL16" s="573"/>
      <c r="FM16" s="573"/>
      <c r="FN16" s="573"/>
      <c r="FO16" s="573"/>
      <c r="FP16" s="573"/>
      <c r="FQ16" s="573"/>
      <c r="FR16" s="573"/>
      <c r="FS16" s="573"/>
      <c r="FT16" s="573"/>
      <c r="FU16" s="573"/>
      <c r="FV16" s="573"/>
      <c r="FW16" s="573"/>
      <c r="FX16" s="573"/>
      <c r="FY16" s="573"/>
      <c r="FZ16" s="573"/>
      <c r="GA16" s="573"/>
      <c r="GB16" s="573"/>
      <c r="GC16" s="573"/>
      <c r="GD16" s="573"/>
      <c r="GE16" s="573"/>
      <c r="GF16" s="573"/>
      <c r="GG16" s="573"/>
      <c r="GH16" s="573"/>
      <c r="GI16" s="573"/>
      <c r="GJ16" s="573"/>
      <c r="GK16" s="573"/>
      <c r="GL16" s="573"/>
      <c r="GM16" s="573"/>
      <c r="GN16" s="573"/>
      <c r="GO16" s="573"/>
      <c r="GP16" s="573"/>
      <c r="GQ16" s="573"/>
      <c r="GR16" s="573"/>
      <c r="GS16" s="573"/>
      <c r="GT16" s="573"/>
      <c r="GU16" s="573"/>
      <c r="GV16" s="573"/>
      <c r="GW16" s="573"/>
      <c r="GX16" s="573"/>
      <c r="GY16" s="573"/>
      <c r="GZ16" s="573"/>
      <c r="HA16" s="573"/>
      <c r="HB16" s="573"/>
      <c r="HC16" s="573"/>
      <c r="HD16" s="573"/>
      <c r="HE16" s="573"/>
      <c r="HF16" s="573"/>
      <c r="HG16" s="573"/>
      <c r="HH16" s="573"/>
      <c r="HI16" s="573"/>
      <c r="HJ16" s="573"/>
      <c r="HK16" s="573"/>
      <c r="HL16" s="573"/>
      <c r="HM16" s="573"/>
      <c r="HN16" s="573"/>
      <c r="HO16" s="573"/>
      <c r="HP16" s="573"/>
      <c r="HQ16" s="573"/>
      <c r="HR16" s="573"/>
      <c r="HS16" s="573"/>
      <c r="HT16" s="573"/>
      <c r="HU16" s="573"/>
      <c r="HV16" s="573"/>
      <c r="HW16" s="573"/>
      <c r="HX16" s="573"/>
      <c r="HY16" s="573"/>
      <c r="HZ16" s="573"/>
      <c r="IA16" s="573"/>
      <c r="IB16" s="573"/>
      <c r="IC16" s="573"/>
      <c r="ID16" s="573"/>
      <c r="IE16" s="573"/>
      <c r="IF16" s="573"/>
      <c r="IG16" s="573"/>
      <c r="IH16" s="573"/>
      <c r="II16" s="573"/>
      <c r="IJ16" s="573"/>
      <c r="IK16" s="573"/>
      <c r="IL16" s="573"/>
      <c r="IM16" s="573"/>
      <c r="IN16" s="573"/>
      <c r="IO16" s="573"/>
      <c r="IP16" s="573"/>
      <c r="IQ16" s="573"/>
      <c r="IR16" s="573"/>
      <c r="IS16" s="573"/>
      <c r="IT16" s="573"/>
      <c r="IU16" s="573"/>
      <c r="IV16" s="573"/>
      <c r="IW16" s="573"/>
    </row>
    <row r="17" customFormat="false" ht="15" hidden="false" customHeight="false" outlineLevel="0" collapsed="false">
      <c r="A17" s="558" t="s">
        <v>411</v>
      </c>
      <c r="B17" s="572"/>
      <c r="C17" s="579"/>
      <c r="D17" s="574"/>
      <c r="E17" s="575"/>
      <c r="F17" s="574"/>
      <c r="G17" s="574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573"/>
      <c r="S17" s="573"/>
      <c r="T17" s="573"/>
      <c r="U17" s="573"/>
      <c r="V17" s="573"/>
      <c r="W17" s="573"/>
      <c r="X17" s="573"/>
      <c r="Y17" s="573"/>
      <c r="Z17" s="573"/>
      <c r="AA17" s="573"/>
      <c r="AB17" s="573"/>
      <c r="AC17" s="573"/>
      <c r="AD17" s="573"/>
      <c r="AE17" s="573"/>
      <c r="AF17" s="573"/>
      <c r="AG17" s="573"/>
      <c r="AH17" s="573"/>
      <c r="AI17" s="573"/>
      <c r="AJ17" s="573"/>
      <c r="AK17" s="573"/>
      <c r="AL17" s="573"/>
      <c r="AM17" s="573"/>
      <c r="AN17" s="573"/>
      <c r="AO17" s="573"/>
      <c r="AP17" s="573"/>
      <c r="AQ17" s="573"/>
      <c r="AR17" s="573"/>
      <c r="AS17" s="573"/>
      <c r="AT17" s="573"/>
      <c r="AU17" s="573"/>
      <c r="AV17" s="573"/>
      <c r="AW17" s="573"/>
      <c r="AX17" s="573"/>
      <c r="AY17" s="573"/>
      <c r="AZ17" s="573"/>
      <c r="BA17" s="573"/>
      <c r="BB17" s="573"/>
      <c r="BC17" s="573"/>
      <c r="BD17" s="573"/>
      <c r="BE17" s="573"/>
      <c r="BF17" s="573"/>
      <c r="BG17" s="573"/>
      <c r="BH17" s="573"/>
      <c r="BI17" s="573"/>
      <c r="BJ17" s="573"/>
      <c r="BK17" s="573"/>
      <c r="BL17" s="573"/>
      <c r="BM17" s="573"/>
      <c r="BN17" s="573"/>
      <c r="BO17" s="573"/>
      <c r="BP17" s="573"/>
      <c r="BQ17" s="573"/>
      <c r="BR17" s="573"/>
      <c r="BS17" s="573"/>
      <c r="BT17" s="573"/>
      <c r="BU17" s="573"/>
      <c r="BV17" s="573"/>
      <c r="BW17" s="573"/>
      <c r="BX17" s="573"/>
      <c r="BY17" s="573"/>
      <c r="BZ17" s="573"/>
      <c r="CA17" s="573"/>
      <c r="CB17" s="573"/>
      <c r="CC17" s="573"/>
      <c r="CD17" s="573"/>
      <c r="CE17" s="573"/>
      <c r="CF17" s="573"/>
      <c r="CG17" s="573"/>
      <c r="CH17" s="573"/>
      <c r="CI17" s="573"/>
      <c r="CJ17" s="573"/>
      <c r="CK17" s="573"/>
      <c r="CL17" s="573"/>
      <c r="CM17" s="573"/>
      <c r="CN17" s="573"/>
      <c r="CO17" s="573"/>
      <c r="CP17" s="573"/>
      <c r="CQ17" s="573"/>
      <c r="CR17" s="573"/>
      <c r="CS17" s="573"/>
      <c r="CT17" s="573"/>
      <c r="CU17" s="573"/>
      <c r="CV17" s="573"/>
      <c r="CW17" s="573"/>
      <c r="CX17" s="573"/>
      <c r="CY17" s="573"/>
      <c r="CZ17" s="573"/>
      <c r="DA17" s="573"/>
      <c r="DB17" s="573"/>
      <c r="DC17" s="573"/>
      <c r="DD17" s="573"/>
      <c r="DE17" s="573"/>
      <c r="DF17" s="573"/>
      <c r="DG17" s="573"/>
      <c r="DH17" s="573"/>
      <c r="DI17" s="573"/>
      <c r="DJ17" s="573"/>
      <c r="DK17" s="573"/>
      <c r="DL17" s="573"/>
      <c r="DM17" s="573"/>
      <c r="DN17" s="573"/>
      <c r="DO17" s="573"/>
      <c r="DP17" s="573"/>
      <c r="DQ17" s="573"/>
      <c r="DR17" s="573"/>
      <c r="DS17" s="573"/>
      <c r="DT17" s="573"/>
      <c r="DU17" s="573"/>
      <c r="DV17" s="573"/>
      <c r="DW17" s="573"/>
      <c r="DX17" s="573"/>
      <c r="DY17" s="573"/>
      <c r="DZ17" s="573"/>
      <c r="EA17" s="573"/>
      <c r="EB17" s="573"/>
      <c r="EC17" s="573"/>
      <c r="ED17" s="573"/>
      <c r="EE17" s="573"/>
      <c r="EF17" s="573"/>
      <c r="EG17" s="573"/>
      <c r="EH17" s="573"/>
      <c r="EI17" s="573"/>
      <c r="EJ17" s="573"/>
      <c r="EK17" s="573"/>
      <c r="EL17" s="573"/>
      <c r="EM17" s="573"/>
      <c r="EN17" s="573"/>
      <c r="EO17" s="573"/>
      <c r="EP17" s="573"/>
      <c r="EQ17" s="573"/>
      <c r="ER17" s="573"/>
      <c r="ES17" s="573"/>
      <c r="ET17" s="573"/>
      <c r="EU17" s="573"/>
      <c r="EV17" s="573"/>
      <c r="EW17" s="573"/>
      <c r="EX17" s="573"/>
      <c r="EY17" s="573"/>
      <c r="EZ17" s="573"/>
      <c r="FA17" s="573"/>
      <c r="FB17" s="573"/>
      <c r="FC17" s="573"/>
      <c r="FD17" s="573"/>
      <c r="FE17" s="573"/>
      <c r="FF17" s="573"/>
      <c r="FG17" s="573"/>
      <c r="FH17" s="573"/>
      <c r="FI17" s="573"/>
      <c r="FJ17" s="573"/>
      <c r="FK17" s="573"/>
      <c r="FL17" s="573"/>
      <c r="FM17" s="573"/>
      <c r="FN17" s="573"/>
      <c r="FO17" s="573"/>
      <c r="FP17" s="573"/>
      <c r="FQ17" s="573"/>
      <c r="FR17" s="573"/>
      <c r="FS17" s="573"/>
      <c r="FT17" s="573"/>
      <c r="FU17" s="573"/>
      <c r="FV17" s="573"/>
      <c r="FW17" s="573"/>
      <c r="FX17" s="573"/>
      <c r="FY17" s="573"/>
      <c r="FZ17" s="573"/>
      <c r="GA17" s="573"/>
      <c r="GB17" s="573"/>
      <c r="GC17" s="573"/>
      <c r="GD17" s="573"/>
      <c r="GE17" s="573"/>
      <c r="GF17" s="573"/>
      <c r="GG17" s="573"/>
      <c r="GH17" s="573"/>
      <c r="GI17" s="573"/>
      <c r="GJ17" s="573"/>
      <c r="GK17" s="573"/>
      <c r="GL17" s="573"/>
      <c r="GM17" s="573"/>
      <c r="GN17" s="573"/>
      <c r="GO17" s="573"/>
      <c r="GP17" s="573"/>
      <c r="GQ17" s="573"/>
      <c r="GR17" s="573"/>
      <c r="GS17" s="573"/>
      <c r="GT17" s="573"/>
      <c r="GU17" s="573"/>
      <c r="GV17" s="573"/>
      <c r="GW17" s="573"/>
      <c r="GX17" s="573"/>
      <c r="GY17" s="573"/>
      <c r="GZ17" s="573"/>
      <c r="HA17" s="573"/>
      <c r="HB17" s="573"/>
      <c r="HC17" s="573"/>
      <c r="HD17" s="573"/>
      <c r="HE17" s="573"/>
      <c r="HF17" s="573"/>
      <c r="HG17" s="573"/>
      <c r="HH17" s="573"/>
      <c r="HI17" s="573"/>
      <c r="HJ17" s="573"/>
      <c r="HK17" s="573"/>
      <c r="HL17" s="573"/>
      <c r="HM17" s="573"/>
      <c r="HN17" s="573"/>
      <c r="HO17" s="573"/>
      <c r="HP17" s="573"/>
      <c r="HQ17" s="573"/>
      <c r="HR17" s="573"/>
      <c r="HS17" s="573"/>
      <c r="HT17" s="573"/>
      <c r="HU17" s="573"/>
      <c r="HV17" s="573"/>
      <c r="HW17" s="573"/>
      <c r="HX17" s="573"/>
      <c r="HY17" s="573"/>
      <c r="HZ17" s="573"/>
      <c r="IA17" s="573"/>
      <c r="IB17" s="573"/>
      <c r="IC17" s="573"/>
      <c r="ID17" s="573"/>
      <c r="IE17" s="573"/>
      <c r="IF17" s="573"/>
      <c r="IG17" s="573"/>
      <c r="IH17" s="573"/>
      <c r="II17" s="573"/>
      <c r="IJ17" s="573"/>
      <c r="IK17" s="573"/>
      <c r="IL17" s="573"/>
      <c r="IM17" s="573"/>
      <c r="IN17" s="573"/>
      <c r="IO17" s="573"/>
      <c r="IP17" s="573"/>
      <c r="IQ17" s="573"/>
      <c r="IR17" s="573"/>
      <c r="IS17" s="573"/>
      <c r="IT17" s="573"/>
      <c r="IU17" s="573"/>
      <c r="IV17" s="573"/>
      <c r="IW17" s="573"/>
    </row>
    <row r="18" customFormat="false" ht="15" hidden="false" customHeight="false" outlineLevel="0" collapsed="false">
      <c r="A18" s="558" t="s">
        <v>284</v>
      </c>
      <c r="B18" s="572"/>
      <c r="C18" s="579"/>
      <c r="D18" s="574"/>
      <c r="E18" s="580"/>
      <c r="F18" s="574"/>
      <c r="G18" s="574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  <c r="W18" s="573"/>
      <c r="X18" s="573"/>
      <c r="Y18" s="573"/>
      <c r="Z18" s="573"/>
      <c r="AA18" s="573"/>
      <c r="AB18" s="573"/>
      <c r="AC18" s="573"/>
      <c r="AD18" s="573"/>
      <c r="AE18" s="573"/>
      <c r="AF18" s="573"/>
      <c r="AG18" s="573"/>
      <c r="AH18" s="573"/>
      <c r="AI18" s="573"/>
      <c r="AJ18" s="573"/>
      <c r="AK18" s="573"/>
      <c r="AL18" s="573"/>
      <c r="AM18" s="573"/>
      <c r="AN18" s="573"/>
      <c r="AO18" s="573"/>
      <c r="AP18" s="573"/>
      <c r="AQ18" s="573"/>
      <c r="AR18" s="573"/>
      <c r="AS18" s="573"/>
      <c r="AT18" s="573"/>
      <c r="AU18" s="573"/>
      <c r="AV18" s="573"/>
      <c r="AW18" s="573"/>
      <c r="AX18" s="573"/>
      <c r="AY18" s="573"/>
      <c r="AZ18" s="573"/>
      <c r="BA18" s="573"/>
      <c r="BB18" s="573"/>
      <c r="BC18" s="573"/>
      <c r="BD18" s="573"/>
      <c r="BE18" s="573"/>
      <c r="BF18" s="573"/>
      <c r="BG18" s="573"/>
      <c r="BH18" s="573"/>
      <c r="BI18" s="573"/>
      <c r="BJ18" s="573"/>
      <c r="BK18" s="573"/>
      <c r="BL18" s="573"/>
      <c r="BM18" s="573"/>
      <c r="BN18" s="573"/>
      <c r="BO18" s="573"/>
      <c r="BP18" s="573"/>
      <c r="BQ18" s="573"/>
      <c r="BR18" s="573"/>
      <c r="BS18" s="573"/>
      <c r="BT18" s="573"/>
      <c r="BU18" s="573"/>
      <c r="BV18" s="573"/>
      <c r="BW18" s="573"/>
      <c r="BX18" s="573"/>
      <c r="BY18" s="573"/>
      <c r="BZ18" s="573"/>
      <c r="CA18" s="573"/>
      <c r="CB18" s="573"/>
      <c r="CC18" s="573"/>
      <c r="CD18" s="573"/>
      <c r="CE18" s="573"/>
      <c r="CF18" s="573"/>
      <c r="CG18" s="573"/>
      <c r="CH18" s="573"/>
      <c r="CI18" s="573"/>
      <c r="CJ18" s="573"/>
      <c r="CK18" s="573"/>
      <c r="CL18" s="573"/>
      <c r="CM18" s="573"/>
      <c r="CN18" s="573"/>
      <c r="CO18" s="573"/>
      <c r="CP18" s="573"/>
      <c r="CQ18" s="573"/>
      <c r="CR18" s="573"/>
      <c r="CS18" s="573"/>
      <c r="CT18" s="573"/>
      <c r="CU18" s="573"/>
      <c r="CV18" s="573"/>
      <c r="CW18" s="573"/>
      <c r="CX18" s="573"/>
      <c r="CY18" s="573"/>
      <c r="CZ18" s="573"/>
      <c r="DA18" s="573"/>
      <c r="DB18" s="573"/>
      <c r="DC18" s="573"/>
      <c r="DD18" s="573"/>
      <c r="DE18" s="573"/>
      <c r="DF18" s="573"/>
      <c r="DG18" s="573"/>
      <c r="DH18" s="573"/>
      <c r="DI18" s="573"/>
      <c r="DJ18" s="573"/>
      <c r="DK18" s="573"/>
      <c r="DL18" s="573"/>
      <c r="DM18" s="573"/>
      <c r="DN18" s="573"/>
      <c r="DO18" s="573"/>
      <c r="DP18" s="573"/>
      <c r="DQ18" s="573"/>
      <c r="DR18" s="573"/>
      <c r="DS18" s="573"/>
      <c r="DT18" s="573"/>
      <c r="DU18" s="573"/>
      <c r="DV18" s="573"/>
      <c r="DW18" s="573"/>
      <c r="DX18" s="573"/>
      <c r="DY18" s="573"/>
      <c r="DZ18" s="573"/>
      <c r="EA18" s="573"/>
      <c r="EB18" s="573"/>
      <c r="EC18" s="573"/>
      <c r="ED18" s="573"/>
      <c r="EE18" s="573"/>
      <c r="EF18" s="573"/>
      <c r="EG18" s="573"/>
      <c r="EH18" s="573"/>
      <c r="EI18" s="573"/>
      <c r="EJ18" s="573"/>
      <c r="EK18" s="573"/>
      <c r="EL18" s="573"/>
      <c r="EM18" s="573"/>
      <c r="EN18" s="573"/>
      <c r="EO18" s="573"/>
      <c r="EP18" s="573"/>
      <c r="EQ18" s="573"/>
      <c r="ER18" s="573"/>
      <c r="ES18" s="573"/>
      <c r="ET18" s="573"/>
      <c r="EU18" s="573"/>
      <c r="EV18" s="573"/>
      <c r="EW18" s="573"/>
      <c r="EX18" s="573"/>
      <c r="EY18" s="573"/>
      <c r="EZ18" s="573"/>
      <c r="FA18" s="573"/>
      <c r="FB18" s="573"/>
      <c r="FC18" s="573"/>
      <c r="FD18" s="573"/>
      <c r="FE18" s="573"/>
      <c r="FF18" s="573"/>
      <c r="FG18" s="573"/>
      <c r="FH18" s="573"/>
      <c r="FI18" s="573"/>
      <c r="FJ18" s="573"/>
      <c r="FK18" s="573"/>
      <c r="FL18" s="573"/>
      <c r="FM18" s="573"/>
      <c r="FN18" s="573"/>
      <c r="FO18" s="573"/>
      <c r="FP18" s="573"/>
      <c r="FQ18" s="573"/>
      <c r="FR18" s="573"/>
      <c r="FS18" s="573"/>
      <c r="FT18" s="573"/>
      <c r="FU18" s="573"/>
      <c r="FV18" s="573"/>
      <c r="FW18" s="573"/>
      <c r="FX18" s="573"/>
      <c r="FY18" s="573"/>
      <c r="FZ18" s="573"/>
      <c r="GA18" s="573"/>
      <c r="GB18" s="573"/>
      <c r="GC18" s="573"/>
      <c r="GD18" s="573"/>
      <c r="GE18" s="573"/>
      <c r="GF18" s="573"/>
      <c r="GG18" s="573"/>
      <c r="GH18" s="573"/>
      <c r="GI18" s="573"/>
      <c r="GJ18" s="573"/>
      <c r="GK18" s="573"/>
      <c r="GL18" s="573"/>
      <c r="GM18" s="573"/>
      <c r="GN18" s="573"/>
      <c r="GO18" s="573"/>
      <c r="GP18" s="573"/>
      <c r="GQ18" s="573"/>
      <c r="GR18" s="573"/>
      <c r="GS18" s="573"/>
      <c r="GT18" s="573"/>
      <c r="GU18" s="573"/>
      <c r="GV18" s="573"/>
      <c r="GW18" s="573"/>
      <c r="GX18" s="573"/>
      <c r="GY18" s="573"/>
      <c r="GZ18" s="573"/>
      <c r="HA18" s="573"/>
      <c r="HB18" s="573"/>
      <c r="HC18" s="573"/>
      <c r="HD18" s="573"/>
      <c r="HE18" s="573"/>
      <c r="HF18" s="573"/>
      <c r="HG18" s="573"/>
      <c r="HH18" s="573"/>
      <c r="HI18" s="573"/>
      <c r="HJ18" s="573"/>
      <c r="HK18" s="573"/>
      <c r="HL18" s="573"/>
      <c r="HM18" s="573"/>
      <c r="HN18" s="573"/>
      <c r="HO18" s="573"/>
      <c r="HP18" s="573"/>
      <c r="HQ18" s="573"/>
      <c r="HR18" s="573"/>
      <c r="HS18" s="573"/>
      <c r="HT18" s="573"/>
      <c r="HU18" s="573"/>
      <c r="HV18" s="573"/>
      <c r="HW18" s="573"/>
      <c r="HX18" s="573"/>
      <c r="HY18" s="573"/>
      <c r="HZ18" s="573"/>
      <c r="IA18" s="573"/>
      <c r="IB18" s="573"/>
      <c r="IC18" s="573"/>
      <c r="ID18" s="573"/>
      <c r="IE18" s="573"/>
      <c r="IF18" s="573"/>
      <c r="IG18" s="573"/>
      <c r="IH18" s="573"/>
      <c r="II18" s="573"/>
      <c r="IJ18" s="573"/>
      <c r="IK18" s="573"/>
      <c r="IL18" s="573"/>
      <c r="IM18" s="573"/>
      <c r="IN18" s="573"/>
      <c r="IO18" s="573"/>
      <c r="IP18" s="573"/>
      <c r="IQ18" s="573"/>
      <c r="IR18" s="573"/>
      <c r="IS18" s="573"/>
      <c r="IT18" s="573"/>
      <c r="IU18" s="573"/>
      <c r="IV18" s="573"/>
      <c r="IW18" s="573"/>
    </row>
    <row r="19" customFormat="false" ht="15" hidden="false" customHeight="false" outlineLevel="0" collapsed="false">
      <c r="A19" s="558" t="s">
        <v>412</v>
      </c>
      <c r="B19" s="572"/>
      <c r="C19" s="581"/>
      <c r="D19" s="574"/>
      <c r="E19" s="575"/>
      <c r="F19" s="574"/>
      <c r="G19" s="574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573"/>
      <c r="S19" s="573"/>
      <c r="T19" s="573"/>
      <c r="U19" s="573"/>
      <c r="V19" s="573"/>
      <c r="W19" s="573"/>
      <c r="X19" s="573"/>
      <c r="Y19" s="573"/>
      <c r="Z19" s="573"/>
      <c r="AA19" s="573"/>
      <c r="AB19" s="573"/>
      <c r="AC19" s="573"/>
      <c r="AD19" s="573"/>
      <c r="AE19" s="573"/>
      <c r="AF19" s="573"/>
      <c r="AG19" s="573"/>
      <c r="AH19" s="573"/>
      <c r="AI19" s="573"/>
      <c r="AJ19" s="573"/>
      <c r="AK19" s="573"/>
      <c r="AL19" s="573"/>
      <c r="AM19" s="573"/>
      <c r="AN19" s="573"/>
      <c r="AO19" s="573"/>
      <c r="AP19" s="573"/>
      <c r="AQ19" s="573"/>
      <c r="AR19" s="573"/>
      <c r="AS19" s="573"/>
      <c r="AT19" s="573"/>
      <c r="AU19" s="573"/>
      <c r="AV19" s="573"/>
      <c r="AW19" s="573"/>
      <c r="AX19" s="573"/>
      <c r="AY19" s="573"/>
      <c r="AZ19" s="573"/>
      <c r="BA19" s="573"/>
      <c r="BB19" s="573"/>
      <c r="BC19" s="573"/>
      <c r="BD19" s="573"/>
      <c r="BE19" s="573"/>
      <c r="BF19" s="573"/>
      <c r="BG19" s="573"/>
      <c r="BH19" s="573"/>
      <c r="BI19" s="573"/>
      <c r="BJ19" s="573"/>
      <c r="BK19" s="573"/>
      <c r="BL19" s="573"/>
      <c r="BM19" s="573"/>
      <c r="BN19" s="573"/>
      <c r="BO19" s="573"/>
      <c r="BP19" s="573"/>
      <c r="BQ19" s="573"/>
      <c r="BR19" s="573"/>
      <c r="BS19" s="573"/>
      <c r="BT19" s="573"/>
      <c r="BU19" s="573"/>
      <c r="BV19" s="573"/>
      <c r="BW19" s="573"/>
      <c r="BX19" s="573"/>
      <c r="BY19" s="573"/>
      <c r="BZ19" s="573"/>
      <c r="CA19" s="573"/>
      <c r="CB19" s="573"/>
      <c r="CC19" s="573"/>
      <c r="CD19" s="573"/>
      <c r="CE19" s="573"/>
      <c r="CF19" s="573"/>
      <c r="CG19" s="573"/>
      <c r="CH19" s="573"/>
      <c r="CI19" s="573"/>
      <c r="CJ19" s="573"/>
      <c r="CK19" s="573"/>
      <c r="CL19" s="573"/>
      <c r="CM19" s="573"/>
      <c r="CN19" s="573"/>
      <c r="CO19" s="573"/>
      <c r="CP19" s="573"/>
      <c r="CQ19" s="573"/>
      <c r="CR19" s="573"/>
      <c r="CS19" s="573"/>
      <c r="CT19" s="573"/>
      <c r="CU19" s="573"/>
      <c r="CV19" s="573"/>
      <c r="CW19" s="573"/>
      <c r="CX19" s="573"/>
      <c r="CY19" s="573"/>
      <c r="CZ19" s="573"/>
      <c r="DA19" s="573"/>
      <c r="DB19" s="573"/>
      <c r="DC19" s="573"/>
      <c r="DD19" s="573"/>
      <c r="DE19" s="573"/>
      <c r="DF19" s="573"/>
      <c r="DG19" s="573"/>
      <c r="DH19" s="573"/>
      <c r="DI19" s="573"/>
      <c r="DJ19" s="573"/>
      <c r="DK19" s="573"/>
      <c r="DL19" s="573"/>
      <c r="DM19" s="573"/>
      <c r="DN19" s="573"/>
      <c r="DO19" s="573"/>
      <c r="DP19" s="573"/>
      <c r="DQ19" s="573"/>
      <c r="DR19" s="573"/>
      <c r="DS19" s="573"/>
      <c r="DT19" s="573"/>
      <c r="DU19" s="573"/>
      <c r="DV19" s="573"/>
      <c r="DW19" s="573"/>
      <c r="DX19" s="573"/>
      <c r="DY19" s="573"/>
      <c r="DZ19" s="573"/>
      <c r="EA19" s="573"/>
      <c r="EB19" s="573"/>
      <c r="EC19" s="573"/>
      <c r="ED19" s="573"/>
      <c r="EE19" s="573"/>
      <c r="EF19" s="573"/>
      <c r="EG19" s="573"/>
      <c r="EH19" s="573"/>
      <c r="EI19" s="573"/>
      <c r="EJ19" s="573"/>
      <c r="EK19" s="573"/>
      <c r="EL19" s="573"/>
      <c r="EM19" s="573"/>
      <c r="EN19" s="573"/>
      <c r="EO19" s="573"/>
      <c r="EP19" s="573"/>
      <c r="EQ19" s="573"/>
      <c r="ER19" s="573"/>
      <c r="ES19" s="573"/>
      <c r="ET19" s="573"/>
      <c r="EU19" s="573"/>
      <c r="EV19" s="573"/>
      <c r="EW19" s="573"/>
      <c r="EX19" s="573"/>
      <c r="EY19" s="573"/>
      <c r="EZ19" s="573"/>
      <c r="FA19" s="573"/>
      <c r="FB19" s="573"/>
      <c r="FC19" s="573"/>
      <c r="FD19" s="573"/>
      <c r="FE19" s="573"/>
      <c r="FF19" s="573"/>
      <c r="FG19" s="573"/>
      <c r="FH19" s="573"/>
      <c r="FI19" s="573"/>
      <c r="FJ19" s="573"/>
      <c r="FK19" s="573"/>
      <c r="FL19" s="573"/>
      <c r="FM19" s="573"/>
      <c r="FN19" s="573"/>
      <c r="FO19" s="573"/>
      <c r="FP19" s="573"/>
      <c r="FQ19" s="573"/>
      <c r="FR19" s="573"/>
      <c r="FS19" s="573"/>
      <c r="FT19" s="573"/>
      <c r="FU19" s="573"/>
      <c r="FV19" s="573"/>
      <c r="FW19" s="573"/>
      <c r="FX19" s="573"/>
      <c r="FY19" s="573"/>
      <c r="FZ19" s="573"/>
      <c r="GA19" s="573"/>
      <c r="GB19" s="573"/>
      <c r="GC19" s="573"/>
      <c r="GD19" s="573"/>
      <c r="GE19" s="573"/>
      <c r="GF19" s="573"/>
      <c r="GG19" s="573"/>
      <c r="GH19" s="573"/>
      <c r="GI19" s="573"/>
      <c r="GJ19" s="573"/>
      <c r="GK19" s="573"/>
      <c r="GL19" s="573"/>
      <c r="GM19" s="573"/>
      <c r="GN19" s="573"/>
      <c r="GO19" s="573"/>
      <c r="GP19" s="573"/>
      <c r="GQ19" s="573"/>
      <c r="GR19" s="573"/>
      <c r="GS19" s="573"/>
      <c r="GT19" s="573"/>
      <c r="GU19" s="573"/>
      <c r="GV19" s="573"/>
      <c r="GW19" s="573"/>
      <c r="GX19" s="573"/>
      <c r="GY19" s="573"/>
      <c r="GZ19" s="573"/>
      <c r="HA19" s="573"/>
      <c r="HB19" s="573"/>
      <c r="HC19" s="573"/>
      <c r="HD19" s="573"/>
      <c r="HE19" s="573"/>
      <c r="HF19" s="573"/>
      <c r="HG19" s="573"/>
      <c r="HH19" s="573"/>
      <c r="HI19" s="573"/>
      <c r="HJ19" s="573"/>
      <c r="HK19" s="573"/>
      <c r="HL19" s="573"/>
      <c r="HM19" s="573"/>
      <c r="HN19" s="573"/>
      <c r="HO19" s="573"/>
      <c r="HP19" s="573"/>
      <c r="HQ19" s="573"/>
      <c r="HR19" s="573"/>
      <c r="HS19" s="573"/>
      <c r="HT19" s="573"/>
      <c r="HU19" s="573"/>
      <c r="HV19" s="573"/>
      <c r="HW19" s="573"/>
      <c r="HX19" s="573"/>
      <c r="HY19" s="573"/>
      <c r="HZ19" s="573"/>
      <c r="IA19" s="573"/>
      <c r="IB19" s="573"/>
      <c r="IC19" s="573"/>
      <c r="ID19" s="573"/>
      <c r="IE19" s="573"/>
      <c r="IF19" s="573"/>
      <c r="IG19" s="573"/>
      <c r="IH19" s="573"/>
      <c r="II19" s="573"/>
      <c r="IJ19" s="573"/>
      <c r="IK19" s="573"/>
      <c r="IL19" s="573"/>
      <c r="IM19" s="573"/>
      <c r="IN19" s="573"/>
      <c r="IO19" s="573"/>
      <c r="IP19" s="573"/>
      <c r="IQ19" s="573"/>
      <c r="IR19" s="573"/>
      <c r="IS19" s="573"/>
      <c r="IT19" s="573"/>
      <c r="IU19" s="573"/>
      <c r="IV19" s="573"/>
      <c r="IW19" s="573"/>
    </row>
    <row r="20" customFormat="false" ht="15" hidden="false" customHeight="false" outlineLevel="0" collapsed="false">
      <c r="A20" s="558"/>
      <c r="B20" s="572"/>
      <c r="C20" s="581"/>
      <c r="D20" s="574"/>
      <c r="E20" s="580"/>
      <c r="F20" s="574"/>
      <c r="G20" s="574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3"/>
      <c r="W20" s="573"/>
      <c r="X20" s="573"/>
      <c r="Y20" s="573"/>
      <c r="Z20" s="573"/>
      <c r="AA20" s="573"/>
      <c r="AB20" s="573"/>
      <c r="AC20" s="573"/>
      <c r="AD20" s="573"/>
      <c r="AE20" s="573"/>
      <c r="AF20" s="573"/>
      <c r="AG20" s="573"/>
      <c r="AH20" s="573"/>
      <c r="AI20" s="573"/>
      <c r="AJ20" s="573"/>
      <c r="AK20" s="573"/>
      <c r="AL20" s="573"/>
      <c r="AM20" s="573"/>
      <c r="AN20" s="573"/>
      <c r="AO20" s="573"/>
      <c r="AP20" s="573"/>
      <c r="AQ20" s="573"/>
      <c r="AR20" s="573"/>
      <c r="AS20" s="573"/>
      <c r="AT20" s="573"/>
      <c r="AU20" s="573"/>
      <c r="AV20" s="573"/>
      <c r="AW20" s="573"/>
      <c r="AX20" s="573"/>
      <c r="AY20" s="573"/>
      <c r="AZ20" s="573"/>
      <c r="BA20" s="573"/>
      <c r="BB20" s="573"/>
      <c r="BC20" s="573"/>
      <c r="BD20" s="573"/>
      <c r="BE20" s="573"/>
      <c r="BF20" s="573"/>
      <c r="BG20" s="573"/>
      <c r="BH20" s="573"/>
      <c r="BI20" s="573"/>
      <c r="BJ20" s="573"/>
      <c r="BK20" s="573"/>
      <c r="BL20" s="573"/>
      <c r="BM20" s="573"/>
      <c r="BN20" s="573"/>
      <c r="BO20" s="573"/>
      <c r="BP20" s="573"/>
      <c r="BQ20" s="573"/>
      <c r="BR20" s="573"/>
      <c r="BS20" s="573"/>
      <c r="BT20" s="573"/>
      <c r="BU20" s="573"/>
      <c r="BV20" s="573"/>
      <c r="BW20" s="573"/>
      <c r="BX20" s="573"/>
      <c r="BY20" s="573"/>
      <c r="BZ20" s="573"/>
      <c r="CA20" s="573"/>
      <c r="CB20" s="573"/>
      <c r="CC20" s="573"/>
      <c r="CD20" s="573"/>
      <c r="CE20" s="573"/>
      <c r="CF20" s="573"/>
      <c r="CG20" s="573"/>
      <c r="CH20" s="573"/>
      <c r="CI20" s="573"/>
      <c r="CJ20" s="573"/>
      <c r="CK20" s="573"/>
      <c r="CL20" s="573"/>
      <c r="CM20" s="573"/>
      <c r="CN20" s="573"/>
      <c r="CO20" s="573"/>
      <c r="CP20" s="573"/>
      <c r="CQ20" s="573"/>
      <c r="CR20" s="573"/>
      <c r="CS20" s="573"/>
      <c r="CT20" s="573"/>
      <c r="CU20" s="573"/>
      <c r="CV20" s="573"/>
      <c r="CW20" s="573"/>
      <c r="CX20" s="573"/>
      <c r="CY20" s="573"/>
      <c r="CZ20" s="573"/>
      <c r="DA20" s="573"/>
      <c r="DB20" s="573"/>
      <c r="DC20" s="573"/>
      <c r="DD20" s="573"/>
      <c r="DE20" s="573"/>
      <c r="DF20" s="573"/>
      <c r="DG20" s="573"/>
      <c r="DH20" s="573"/>
      <c r="DI20" s="573"/>
      <c r="DJ20" s="573"/>
      <c r="DK20" s="573"/>
      <c r="DL20" s="573"/>
      <c r="DM20" s="573"/>
      <c r="DN20" s="573"/>
      <c r="DO20" s="573"/>
      <c r="DP20" s="573"/>
      <c r="DQ20" s="573"/>
      <c r="DR20" s="573"/>
      <c r="DS20" s="573"/>
      <c r="DT20" s="573"/>
      <c r="DU20" s="573"/>
      <c r="DV20" s="573"/>
      <c r="DW20" s="573"/>
      <c r="DX20" s="573"/>
      <c r="DY20" s="573"/>
      <c r="DZ20" s="573"/>
      <c r="EA20" s="573"/>
      <c r="EB20" s="573"/>
      <c r="EC20" s="573"/>
      <c r="ED20" s="573"/>
      <c r="EE20" s="573"/>
      <c r="EF20" s="573"/>
      <c r="EG20" s="573"/>
      <c r="EH20" s="573"/>
      <c r="EI20" s="573"/>
      <c r="EJ20" s="573"/>
      <c r="EK20" s="573"/>
      <c r="EL20" s="573"/>
      <c r="EM20" s="573"/>
      <c r="EN20" s="573"/>
      <c r="EO20" s="573"/>
      <c r="EP20" s="573"/>
      <c r="EQ20" s="573"/>
      <c r="ER20" s="573"/>
      <c r="ES20" s="573"/>
      <c r="ET20" s="573"/>
      <c r="EU20" s="573"/>
      <c r="EV20" s="573"/>
      <c r="EW20" s="573"/>
      <c r="EX20" s="573"/>
      <c r="EY20" s="573"/>
      <c r="EZ20" s="573"/>
      <c r="FA20" s="573"/>
      <c r="FB20" s="573"/>
      <c r="FC20" s="573"/>
      <c r="FD20" s="573"/>
      <c r="FE20" s="573"/>
      <c r="FF20" s="573"/>
      <c r="FG20" s="573"/>
      <c r="FH20" s="573"/>
      <c r="FI20" s="573"/>
      <c r="FJ20" s="573"/>
      <c r="FK20" s="573"/>
      <c r="FL20" s="573"/>
      <c r="FM20" s="573"/>
      <c r="FN20" s="573"/>
      <c r="FO20" s="573"/>
      <c r="FP20" s="573"/>
      <c r="FQ20" s="573"/>
      <c r="FR20" s="573"/>
      <c r="FS20" s="573"/>
      <c r="FT20" s="573"/>
      <c r="FU20" s="573"/>
      <c r="FV20" s="573"/>
      <c r="FW20" s="573"/>
      <c r="FX20" s="573"/>
      <c r="FY20" s="573"/>
      <c r="FZ20" s="573"/>
      <c r="GA20" s="573"/>
      <c r="GB20" s="573"/>
      <c r="GC20" s="573"/>
      <c r="GD20" s="573"/>
      <c r="GE20" s="573"/>
      <c r="GF20" s="573"/>
      <c r="GG20" s="573"/>
      <c r="GH20" s="573"/>
      <c r="GI20" s="573"/>
      <c r="GJ20" s="573"/>
      <c r="GK20" s="573"/>
      <c r="GL20" s="573"/>
      <c r="GM20" s="573"/>
      <c r="GN20" s="573"/>
      <c r="GO20" s="573"/>
      <c r="GP20" s="573"/>
      <c r="GQ20" s="573"/>
      <c r="GR20" s="573"/>
      <c r="GS20" s="573"/>
      <c r="GT20" s="573"/>
      <c r="GU20" s="573"/>
      <c r="GV20" s="573"/>
      <c r="GW20" s="573"/>
      <c r="GX20" s="573"/>
      <c r="GY20" s="573"/>
      <c r="GZ20" s="573"/>
      <c r="HA20" s="573"/>
      <c r="HB20" s="573"/>
      <c r="HC20" s="573"/>
      <c r="HD20" s="573"/>
      <c r="HE20" s="573"/>
      <c r="HF20" s="573"/>
      <c r="HG20" s="573"/>
      <c r="HH20" s="573"/>
      <c r="HI20" s="573"/>
      <c r="HJ20" s="573"/>
      <c r="HK20" s="573"/>
      <c r="HL20" s="573"/>
      <c r="HM20" s="573"/>
      <c r="HN20" s="573"/>
      <c r="HO20" s="573"/>
      <c r="HP20" s="573"/>
      <c r="HQ20" s="573"/>
      <c r="HR20" s="573"/>
      <c r="HS20" s="573"/>
      <c r="HT20" s="573"/>
      <c r="HU20" s="573"/>
      <c r="HV20" s="573"/>
      <c r="HW20" s="573"/>
      <c r="HX20" s="573"/>
      <c r="HY20" s="573"/>
      <c r="HZ20" s="573"/>
      <c r="IA20" s="573"/>
      <c r="IB20" s="573"/>
      <c r="IC20" s="573"/>
      <c r="ID20" s="573"/>
      <c r="IE20" s="573"/>
      <c r="IF20" s="573"/>
      <c r="IG20" s="573"/>
      <c r="IH20" s="573"/>
      <c r="II20" s="573"/>
      <c r="IJ20" s="573"/>
      <c r="IK20" s="573"/>
      <c r="IL20" s="573"/>
      <c r="IM20" s="573"/>
      <c r="IN20" s="573"/>
      <c r="IO20" s="573"/>
      <c r="IP20" s="573"/>
      <c r="IQ20" s="573"/>
      <c r="IR20" s="573"/>
      <c r="IS20" s="573"/>
      <c r="IT20" s="573"/>
      <c r="IU20" s="573"/>
      <c r="IV20" s="573"/>
      <c r="IW20" s="573"/>
    </row>
    <row r="21" customFormat="false" ht="15" hidden="false" customHeight="false" outlineLevel="0" collapsed="false">
      <c r="A21" s="582" t="s">
        <v>413</v>
      </c>
      <c r="B21" s="572"/>
      <c r="C21" s="581"/>
      <c r="D21" s="574"/>
      <c r="E21" s="580"/>
      <c r="F21" s="574"/>
      <c r="G21" s="574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73"/>
      <c r="S21" s="573"/>
      <c r="T21" s="573"/>
      <c r="U21" s="573"/>
      <c r="V21" s="573"/>
      <c r="W21" s="573"/>
      <c r="X21" s="573"/>
      <c r="Y21" s="573"/>
      <c r="Z21" s="573"/>
      <c r="AA21" s="573"/>
      <c r="AB21" s="573"/>
      <c r="AC21" s="573"/>
      <c r="AD21" s="573"/>
      <c r="AE21" s="573"/>
      <c r="AF21" s="573"/>
      <c r="AG21" s="573"/>
      <c r="AH21" s="573"/>
      <c r="AI21" s="573"/>
      <c r="AJ21" s="573"/>
      <c r="AK21" s="573"/>
      <c r="AL21" s="573"/>
      <c r="AM21" s="573"/>
      <c r="AN21" s="573"/>
      <c r="AO21" s="573"/>
      <c r="AP21" s="573"/>
      <c r="AQ21" s="573"/>
      <c r="AR21" s="573"/>
      <c r="AS21" s="573"/>
      <c r="AT21" s="573"/>
      <c r="AU21" s="573"/>
      <c r="AV21" s="573"/>
      <c r="AW21" s="573"/>
      <c r="AX21" s="573"/>
      <c r="AY21" s="573"/>
      <c r="AZ21" s="573"/>
      <c r="BA21" s="573"/>
      <c r="BB21" s="573"/>
      <c r="BC21" s="573"/>
      <c r="BD21" s="573"/>
      <c r="BE21" s="573"/>
      <c r="BF21" s="573"/>
      <c r="BG21" s="573"/>
      <c r="BH21" s="573"/>
      <c r="BI21" s="573"/>
      <c r="BJ21" s="573"/>
      <c r="BK21" s="573"/>
      <c r="BL21" s="573"/>
      <c r="BM21" s="573"/>
      <c r="BN21" s="573"/>
      <c r="BO21" s="573"/>
      <c r="BP21" s="573"/>
      <c r="BQ21" s="573"/>
      <c r="BR21" s="573"/>
      <c r="BS21" s="573"/>
      <c r="BT21" s="573"/>
      <c r="BU21" s="573"/>
      <c r="BV21" s="573"/>
      <c r="BW21" s="573"/>
      <c r="BX21" s="573"/>
      <c r="BY21" s="573"/>
      <c r="BZ21" s="573"/>
      <c r="CA21" s="573"/>
      <c r="CB21" s="573"/>
      <c r="CC21" s="573"/>
      <c r="CD21" s="573"/>
      <c r="CE21" s="573"/>
      <c r="CF21" s="573"/>
      <c r="CG21" s="573"/>
      <c r="CH21" s="573"/>
      <c r="CI21" s="573"/>
      <c r="CJ21" s="573"/>
      <c r="CK21" s="573"/>
      <c r="CL21" s="573"/>
      <c r="CM21" s="573"/>
      <c r="CN21" s="573"/>
      <c r="CO21" s="573"/>
      <c r="CP21" s="573"/>
      <c r="CQ21" s="573"/>
      <c r="CR21" s="573"/>
      <c r="CS21" s="573"/>
      <c r="CT21" s="573"/>
      <c r="CU21" s="573"/>
      <c r="CV21" s="573"/>
      <c r="CW21" s="573"/>
      <c r="CX21" s="573"/>
      <c r="CY21" s="573"/>
      <c r="CZ21" s="573"/>
      <c r="DA21" s="573"/>
      <c r="DB21" s="573"/>
      <c r="DC21" s="573"/>
      <c r="DD21" s="573"/>
      <c r="DE21" s="573"/>
      <c r="DF21" s="573"/>
      <c r="DG21" s="573"/>
      <c r="DH21" s="573"/>
      <c r="DI21" s="573"/>
      <c r="DJ21" s="573"/>
      <c r="DK21" s="573"/>
      <c r="DL21" s="573"/>
      <c r="DM21" s="573"/>
      <c r="DN21" s="573"/>
      <c r="DO21" s="573"/>
      <c r="DP21" s="573"/>
      <c r="DQ21" s="573"/>
      <c r="DR21" s="573"/>
      <c r="DS21" s="573"/>
      <c r="DT21" s="573"/>
      <c r="DU21" s="573"/>
      <c r="DV21" s="573"/>
      <c r="DW21" s="573"/>
      <c r="DX21" s="573"/>
      <c r="DY21" s="573"/>
      <c r="DZ21" s="573"/>
      <c r="EA21" s="573"/>
      <c r="EB21" s="573"/>
      <c r="EC21" s="573"/>
      <c r="ED21" s="573"/>
      <c r="EE21" s="573"/>
      <c r="EF21" s="573"/>
      <c r="EG21" s="573"/>
      <c r="EH21" s="573"/>
      <c r="EI21" s="573"/>
      <c r="EJ21" s="573"/>
      <c r="EK21" s="573"/>
      <c r="EL21" s="573"/>
      <c r="EM21" s="573"/>
      <c r="EN21" s="573"/>
      <c r="EO21" s="573"/>
      <c r="EP21" s="573"/>
      <c r="EQ21" s="573"/>
      <c r="ER21" s="573"/>
      <c r="ES21" s="573"/>
      <c r="ET21" s="573"/>
      <c r="EU21" s="573"/>
      <c r="EV21" s="573"/>
      <c r="EW21" s="573"/>
      <c r="EX21" s="573"/>
      <c r="EY21" s="573"/>
      <c r="EZ21" s="573"/>
      <c r="FA21" s="573"/>
      <c r="FB21" s="573"/>
      <c r="FC21" s="573"/>
      <c r="FD21" s="573"/>
      <c r="FE21" s="573"/>
      <c r="FF21" s="573"/>
      <c r="FG21" s="573"/>
      <c r="FH21" s="573"/>
      <c r="FI21" s="573"/>
      <c r="FJ21" s="573"/>
      <c r="FK21" s="573"/>
      <c r="FL21" s="573"/>
      <c r="FM21" s="573"/>
      <c r="FN21" s="573"/>
      <c r="FO21" s="573"/>
      <c r="FP21" s="573"/>
      <c r="FQ21" s="573"/>
      <c r="FR21" s="573"/>
      <c r="FS21" s="573"/>
      <c r="FT21" s="573"/>
      <c r="FU21" s="573"/>
      <c r="FV21" s="573"/>
      <c r="FW21" s="573"/>
      <c r="FX21" s="573"/>
      <c r="FY21" s="573"/>
      <c r="FZ21" s="573"/>
      <c r="GA21" s="573"/>
      <c r="GB21" s="573"/>
      <c r="GC21" s="573"/>
      <c r="GD21" s="573"/>
      <c r="GE21" s="573"/>
      <c r="GF21" s="573"/>
      <c r="GG21" s="573"/>
      <c r="GH21" s="573"/>
      <c r="GI21" s="573"/>
      <c r="GJ21" s="573"/>
      <c r="GK21" s="573"/>
      <c r="GL21" s="573"/>
      <c r="GM21" s="573"/>
      <c r="GN21" s="573"/>
      <c r="GO21" s="573"/>
      <c r="GP21" s="573"/>
      <c r="GQ21" s="573"/>
      <c r="GR21" s="573"/>
      <c r="GS21" s="573"/>
      <c r="GT21" s="573"/>
      <c r="GU21" s="573"/>
      <c r="GV21" s="573"/>
      <c r="GW21" s="573"/>
      <c r="GX21" s="573"/>
      <c r="GY21" s="573"/>
      <c r="GZ21" s="573"/>
      <c r="HA21" s="573"/>
      <c r="HB21" s="573"/>
      <c r="HC21" s="573"/>
      <c r="HD21" s="573"/>
      <c r="HE21" s="573"/>
      <c r="HF21" s="573"/>
      <c r="HG21" s="573"/>
      <c r="HH21" s="573"/>
      <c r="HI21" s="573"/>
      <c r="HJ21" s="573"/>
      <c r="HK21" s="573"/>
      <c r="HL21" s="573"/>
      <c r="HM21" s="573"/>
      <c r="HN21" s="573"/>
      <c r="HO21" s="573"/>
      <c r="HP21" s="573"/>
      <c r="HQ21" s="573"/>
      <c r="HR21" s="573"/>
      <c r="HS21" s="573"/>
      <c r="HT21" s="573"/>
      <c r="HU21" s="573"/>
      <c r="HV21" s="573"/>
      <c r="HW21" s="573"/>
      <c r="HX21" s="573"/>
      <c r="HY21" s="573"/>
      <c r="HZ21" s="573"/>
      <c r="IA21" s="573"/>
      <c r="IB21" s="573"/>
      <c r="IC21" s="573"/>
      <c r="ID21" s="573"/>
      <c r="IE21" s="573"/>
      <c r="IF21" s="573"/>
      <c r="IG21" s="573"/>
      <c r="IH21" s="573"/>
      <c r="II21" s="573"/>
      <c r="IJ21" s="573"/>
      <c r="IK21" s="573"/>
      <c r="IL21" s="573"/>
      <c r="IM21" s="573"/>
      <c r="IN21" s="573"/>
      <c r="IO21" s="573"/>
      <c r="IP21" s="573"/>
      <c r="IQ21" s="573"/>
      <c r="IR21" s="573"/>
      <c r="IS21" s="573"/>
      <c r="IT21" s="573"/>
      <c r="IU21" s="573"/>
      <c r="IV21" s="573"/>
      <c r="IW21" s="573"/>
    </row>
    <row r="22" customFormat="false" ht="15" hidden="false" customHeight="false" outlineLevel="0" collapsed="false">
      <c r="A22" s="558" t="s">
        <v>414</v>
      </c>
      <c r="B22" s="572"/>
      <c r="C22" s="581"/>
      <c r="D22" s="574"/>
      <c r="E22" s="583"/>
      <c r="F22" s="574"/>
      <c r="G22" s="574"/>
      <c r="H22" s="573"/>
      <c r="I22" s="573"/>
      <c r="J22" s="573"/>
      <c r="K22" s="573"/>
      <c r="L22" s="573"/>
      <c r="M22" s="573"/>
      <c r="N22" s="573"/>
      <c r="O22" s="573"/>
      <c r="P22" s="573"/>
      <c r="Q22" s="573"/>
      <c r="R22" s="573"/>
      <c r="S22" s="573"/>
      <c r="T22" s="573"/>
      <c r="U22" s="573"/>
      <c r="V22" s="573"/>
      <c r="W22" s="573"/>
      <c r="X22" s="573"/>
      <c r="Y22" s="573"/>
      <c r="Z22" s="573"/>
      <c r="AA22" s="573"/>
      <c r="AB22" s="573"/>
      <c r="AC22" s="573"/>
      <c r="AD22" s="573"/>
      <c r="AE22" s="573"/>
      <c r="AF22" s="573"/>
      <c r="AG22" s="573"/>
      <c r="AH22" s="573"/>
      <c r="AI22" s="573"/>
      <c r="AJ22" s="573"/>
      <c r="AK22" s="573"/>
      <c r="AL22" s="573"/>
      <c r="AM22" s="573"/>
      <c r="AN22" s="573"/>
      <c r="AO22" s="573"/>
      <c r="AP22" s="573"/>
      <c r="AQ22" s="573"/>
      <c r="AR22" s="573"/>
      <c r="AS22" s="573"/>
      <c r="AT22" s="573"/>
      <c r="AU22" s="573"/>
      <c r="AV22" s="573"/>
      <c r="AW22" s="573"/>
      <c r="AX22" s="573"/>
      <c r="AY22" s="573"/>
      <c r="AZ22" s="573"/>
      <c r="BA22" s="573"/>
      <c r="BB22" s="573"/>
      <c r="BC22" s="573"/>
      <c r="BD22" s="573"/>
      <c r="BE22" s="573"/>
      <c r="BF22" s="573"/>
      <c r="BG22" s="573"/>
      <c r="BH22" s="573"/>
      <c r="BI22" s="573"/>
      <c r="BJ22" s="573"/>
      <c r="BK22" s="573"/>
      <c r="BL22" s="573"/>
      <c r="BM22" s="573"/>
      <c r="BN22" s="573"/>
      <c r="BO22" s="573"/>
      <c r="BP22" s="573"/>
      <c r="BQ22" s="573"/>
      <c r="BR22" s="573"/>
      <c r="BS22" s="573"/>
      <c r="BT22" s="573"/>
      <c r="BU22" s="573"/>
      <c r="BV22" s="573"/>
      <c r="BW22" s="573"/>
      <c r="BX22" s="573"/>
      <c r="BY22" s="573"/>
      <c r="BZ22" s="573"/>
      <c r="CA22" s="573"/>
      <c r="CB22" s="573"/>
      <c r="CC22" s="573"/>
      <c r="CD22" s="573"/>
      <c r="CE22" s="573"/>
      <c r="CF22" s="573"/>
      <c r="CG22" s="573"/>
      <c r="CH22" s="573"/>
      <c r="CI22" s="573"/>
      <c r="CJ22" s="573"/>
      <c r="CK22" s="573"/>
      <c r="CL22" s="573"/>
      <c r="CM22" s="573"/>
      <c r="CN22" s="573"/>
      <c r="CO22" s="573"/>
      <c r="CP22" s="573"/>
      <c r="CQ22" s="573"/>
      <c r="CR22" s="573"/>
      <c r="CS22" s="573"/>
      <c r="CT22" s="573"/>
      <c r="CU22" s="573"/>
      <c r="CV22" s="573"/>
      <c r="CW22" s="573"/>
      <c r="CX22" s="573"/>
      <c r="CY22" s="573"/>
      <c r="CZ22" s="573"/>
      <c r="DA22" s="573"/>
      <c r="DB22" s="573"/>
      <c r="DC22" s="573"/>
      <c r="DD22" s="573"/>
      <c r="DE22" s="573"/>
      <c r="DF22" s="573"/>
      <c r="DG22" s="573"/>
      <c r="DH22" s="573"/>
      <c r="DI22" s="573"/>
      <c r="DJ22" s="573"/>
      <c r="DK22" s="573"/>
      <c r="DL22" s="573"/>
      <c r="DM22" s="573"/>
      <c r="DN22" s="573"/>
      <c r="DO22" s="573"/>
      <c r="DP22" s="573"/>
      <c r="DQ22" s="573"/>
      <c r="DR22" s="573"/>
      <c r="DS22" s="573"/>
      <c r="DT22" s="573"/>
      <c r="DU22" s="573"/>
      <c r="DV22" s="573"/>
      <c r="DW22" s="573"/>
      <c r="DX22" s="573"/>
      <c r="DY22" s="573"/>
      <c r="DZ22" s="573"/>
      <c r="EA22" s="573"/>
      <c r="EB22" s="573"/>
      <c r="EC22" s="573"/>
      <c r="ED22" s="573"/>
      <c r="EE22" s="573"/>
      <c r="EF22" s="573"/>
      <c r="EG22" s="573"/>
      <c r="EH22" s="573"/>
      <c r="EI22" s="573"/>
      <c r="EJ22" s="573"/>
      <c r="EK22" s="573"/>
      <c r="EL22" s="573"/>
      <c r="EM22" s="573"/>
      <c r="EN22" s="573"/>
      <c r="EO22" s="573"/>
      <c r="EP22" s="573"/>
      <c r="EQ22" s="573"/>
      <c r="ER22" s="573"/>
      <c r="ES22" s="573"/>
      <c r="ET22" s="573"/>
      <c r="EU22" s="573"/>
      <c r="EV22" s="573"/>
      <c r="EW22" s="573"/>
      <c r="EX22" s="573"/>
      <c r="EY22" s="573"/>
      <c r="EZ22" s="573"/>
      <c r="FA22" s="573"/>
      <c r="FB22" s="573"/>
      <c r="FC22" s="573"/>
      <c r="FD22" s="573"/>
      <c r="FE22" s="573"/>
      <c r="FF22" s="573"/>
      <c r="FG22" s="573"/>
      <c r="FH22" s="573"/>
      <c r="FI22" s="573"/>
      <c r="FJ22" s="573"/>
      <c r="FK22" s="573"/>
      <c r="FL22" s="573"/>
      <c r="FM22" s="573"/>
      <c r="FN22" s="573"/>
      <c r="FO22" s="573"/>
      <c r="FP22" s="573"/>
      <c r="FQ22" s="573"/>
      <c r="FR22" s="573"/>
      <c r="FS22" s="573"/>
      <c r="FT22" s="573"/>
      <c r="FU22" s="573"/>
      <c r="FV22" s="573"/>
      <c r="FW22" s="573"/>
      <c r="FX22" s="573"/>
      <c r="FY22" s="573"/>
      <c r="FZ22" s="573"/>
      <c r="GA22" s="573"/>
      <c r="GB22" s="573"/>
      <c r="GC22" s="573"/>
      <c r="GD22" s="573"/>
      <c r="GE22" s="573"/>
      <c r="GF22" s="573"/>
      <c r="GG22" s="573"/>
      <c r="GH22" s="573"/>
      <c r="GI22" s="573"/>
      <c r="GJ22" s="573"/>
      <c r="GK22" s="573"/>
      <c r="GL22" s="573"/>
      <c r="GM22" s="573"/>
      <c r="GN22" s="573"/>
      <c r="GO22" s="573"/>
      <c r="GP22" s="573"/>
      <c r="GQ22" s="573"/>
      <c r="GR22" s="573"/>
      <c r="GS22" s="573"/>
      <c r="GT22" s="573"/>
      <c r="GU22" s="573"/>
      <c r="GV22" s="573"/>
      <c r="GW22" s="573"/>
      <c r="GX22" s="573"/>
      <c r="GY22" s="573"/>
      <c r="GZ22" s="573"/>
      <c r="HA22" s="573"/>
      <c r="HB22" s="573"/>
      <c r="HC22" s="573"/>
      <c r="HD22" s="573"/>
      <c r="HE22" s="573"/>
      <c r="HF22" s="573"/>
      <c r="HG22" s="573"/>
      <c r="HH22" s="573"/>
      <c r="HI22" s="573"/>
      <c r="HJ22" s="573"/>
      <c r="HK22" s="573"/>
      <c r="HL22" s="573"/>
      <c r="HM22" s="573"/>
      <c r="HN22" s="573"/>
      <c r="HO22" s="573"/>
      <c r="HP22" s="573"/>
      <c r="HQ22" s="573"/>
      <c r="HR22" s="573"/>
      <c r="HS22" s="573"/>
      <c r="HT22" s="573"/>
      <c r="HU22" s="573"/>
      <c r="HV22" s="573"/>
      <c r="HW22" s="573"/>
      <c r="HX22" s="573"/>
      <c r="HY22" s="573"/>
      <c r="HZ22" s="573"/>
      <c r="IA22" s="573"/>
      <c r="IB22" s="573"/>
      <c r="IC22" s="573"/>
      <c r="ID22" s="573"/>
      <c r="IE22" s="573"/>
      <c r="IF22" s="573"/>
      <c r="IG22" s="573"/>
      <c r="IH22" s="573"/>
      <c r="II22" s="573"/>
      <c r="IJ22" s="573"/>
      <c r="IK22" s="573"/>
      <c r="IL22" s="573"/>
      <c r="IM22" s="573"/>
      <c r="IN22" s="573"/>
      <c r="IO22" s="573"/>
      <c r="IP22" s="573"/>
      <c r="IQ22" s="573"/>
      <c r="IR22" s="573"/>
      <c r="IS22" s="573"/>
      <c r="IT22" s="573"/>
      <c r="IU22" s="573"/>
      <c r="IV22" s="573"/>
      <c r="IW22" s="573"/>
    </row>
    <row r="23" customFormat="false" ht="15" hidden="false" customHeight="false" outlineLevel="0" collapsed="false">
      <c r="A23" s="558" t="s">
        <v>415</v>
      </c>
      <c r="B23" s="572"/>
      <c r="C23" s="581"/>
      <c r="D23" s="574"/>
      <c r="E23" s="580"/>
      <c r="F23" s="574"/>
      <c r="G23" s="574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73"/>
      <c r="S23" s="573"/>
      <c r="T23" s="573"/>
      <c r="U23" s="573"/>
      <c r="V23" s="573"/>
      <c r="W23" s="573"/>
      <c r="X23" s="573"/>
      <c r="Y23" s="573"/>
      <c r="Z23" s="573"/>
      <c r="AA23" s="573"/>
      <c r="AB23" s="573"/>
      <c r="AC23" s="573"/>
      <c r="AD23" s="573"/>
      <c r="AE23" s="573"/>
      <c r="AF23" s="573"/>
      <c r="AG23" s="573"/>
      <c r="AH23" s="573"/>
      <c r="AI23" s="573"/>
      <c r="AJ23" s="573"/>
      <c r="AK23" s="573"/>
      <c r="AL23" s="573"/>
      <c r="AM23" s="573"/>
      <c r="AN23" s="573"/>
      <c r="AO23" s="573"/>
      <c r="AP23" s="573"/>
      <c r="AQ23" s="573"/>
      <c r="AR23" s="573"/>
      <c r="AS23" s="573"/>
      <c r="AT23" s="573"/>
      <c r="AU23" s="573"/>
      <c r="AV23" s="573"/>
      <c r="AW23" s="573"/>
      <c r="AX23" s="573"/>
      <c r="AY23" s="573"/>
      <c r="AZ23" s="573"/>
      <c r="BA23" s="573"/>
      <c r="BB23" s="573"/>
      <c r="BC23" s="573"/>
      <c r="BD23" s="573"/>
      <c r="BE23" s="573"/>
      <c r="BF23" s="573"/>
      <c r="BG23" s="573"/>
      <c r="BH23" s="573"/>
      <c r="BI23" s="573"/>
      <c r="BJ23" s="573"/>
      <c r="BK23" s="573"/>
      <c r="BL23" s="573"/>
      <c r="BM23" s="573"/>
      <c r="BN23" s="573"/>
      <c r="BO23" s="573"/>
      <c r="BP23" s="573"/>
      <c r="BQ23" s="573"/>
      <c r="BR23" s="573"/>
      <c r="BS23" s="573"/>
      <c r="BT23" s="573"/>
      <c r="BU23" s="573"/>
      <c r="BV23" s="573"/>
      <c r="BW23" s="573"/>
      <c r="BX23" s="573"/>
      <c r="BY23" s="573"/>
      <c r="BZ23" s="573"/>
      <c r="CA23" s="573"/>
      <c r="CB23" s="573"/>
      <c r="CC23" s="573"/>
      <c r="CD23" s="573"/>
      <c r="CE23" s="573"/>
      <c r="CF23" s="573"/>
      <c r="CG23" s="573"/>
      <c r="CH23" s="573"/>
      <c r="CI23" s="573"/>
      <c r="CJ23" s="573"/>
      <c r="CK23" s="573"/>
      <c r="CL23" s="573"/>
      <c r="CM23" s="573"/>
      <c r="CN23" s="573"/>
      <c r="CO23" s="573"/>
      <c r="CP23" s="573"/>
      <c r="CQ23" s="573"/>
      <c r="CR23" s="573"/>
      <c r="CS23" s="573"/>
      <c r="CT23" s="573"/>
      <c r="CU23" s="573"/>
      <c r="CV23" s="573"/>
      <c r="CW23" s="573"/>
      <c r="CX23" s="573"/>
      <c r="CY23" s="573"/>
      <c r="CZ23" s="573"/>
      <c r="DA23" s="573"/>
      <c r="DB23" s="573"/>
      <c r="DC23" s="573"/>
      <c r="DD23" s="573"/>
      <c r="DE23" s="573"/>
      <c r="DF23" s="573"/>
      <c r="DG23" s="573"/>
      <c r="DH23" s="573"/>
      <c r="DI23" s="573"/>
      <c r="DJ23" s="573"/>
      <c r="DK23" s="573"/>
      <c r="DL23" s="573"/>
      <c r="DM23" s="573"/>
      <c r="DN23" s="573"/>
      <c r="DO23" s="573"/>
      <c r="DP23" s="573"/>
      <c r="DQ23" s="573"/>
      <c r="DR23" s="573"/>
      <c r="DS23" s="573"/>
      <c r="DT23" s="573"/>
      <c r="DU23" s="573"/>
      <c r="DV23" s="573"/>
      <c r="DW23" s="573"/>
      <c r="DX23" s="573"/>
      <c r="DY23" s="573"/>
      <c r="DZ23" s="573"/>
      <c r="EA23" s="573"/>
      <c r="EB23" s="573"/>
      <c r="EC23" s="573"/>
      <c r="ED23" s="573"/>
      <c r="EE23" s="573"/>
      <c r="EF23" s="573"/>
      <c r="EG23" s="573"/>
      <c r="EH23" s="573"/>
      <c r="EI23" s="573"/>
      <c r="EJ23" s="573"/>
      <c r="EK23" s="573"/>
      <c r="EL23" s="573"/>
      <c r="EM23" s="573"/>
      <c r="EN23" s="573"/>
      <c r="EO23" s="573"/>
      <c r="EP23" s="573"/>
      <c r="EQ23" s="573"/>
      <c r="ER23" s="573"/>
      <c r="ES23" s="573"/>
      <c r="ET23" s="573"/>
      <c r="EU23" s="573"/>
      <c r="EV23" s="573"/>
      <c r="EW23" s="573"/>
      <c r="EX23" s="573"/>
      <c r="EY23" s="573"/>
      <c r="EZ23" s="573"/>
      <c r="FA23" s="573"/>
      <c r="FB23" s="573"/>
      <c r="FC23" s="573"/>
      <c r="FD23" s="573"/>
      <c r="FE23" s="573"/>
      <c r="FF23" s="573"/>
      <c r="FG23" s="573"/>
      <c r="FH23" s="573"/>
      <c r="FI23" s="573"/>
      <c r="FJ23" s="573"/>
      <c r="FK23" s="573"/>
      <c r="FL23" s="573"/>
      <c r="FM23" s="573"/>
      <c r="FN23" s="573"/>
      <c r="FO23" s="573"/>
      <c r="FP23" s="573"/>
      <c r="FQ23" s="573"/>
      <c r="FR23" s="573"/>
      <c r="FS23" s="573"/>
      <c r="FT23" s="573"/>
      <c r="FU23" s="573"/>
      <c r="FV23" s="573"/>
      <c r="FW23" s="573"/>
      <c r="FX23" s="573"/>
      <c r="FY23" s="573"/>
      <c r="FZ23" s="573"/>
      <c r="GA23" s="573"/>
      <c r="GB23" s="573"/>
      <c r="GC23" s="573"/>
      <c r="GD23" s="573"/>
      <c r="GE23" s="573"/>
      <c r="GF23" s="573"/>
      <c r="GG23" s="573"/>
      <c r="GH23" s="573"/>
      <c r="GI23" s="573"/>
      <c r="GJ23" s="573"/>
      <c r="GK23" s="573"/>
      <c r="GL23" s="573"/>
      <c r="GM23" s="573"/>
      <c r="GN23" s="573"/>
      <c r="GO23" s="573"/>
      <c r="GP23" s="573"/>
      <c r="GQ23" s="573"/>
      <c r="GR23" s="573"/>
      <c r="GS23" s="573"/>
      <c r="GT23" s="573"/>
      <c r="GU23" s="573"/>
      <c r="GV23" s="573"/>
      <c r="GW23" s="573"/>
      <c r="GX23" s="573"/>
      <c r="GY23" s="573"/>
      <c r="GZ23" s="573"/>
      <c r="HA23" s="573"/>
      <c r="HB23" s="573"/>
      <c r="HC23" s="573"/>
      <c r="HD23" s="573"/>
      <c r="HE23" s="573"/>
      <c r="HF23" s="573"/>
      <c r="HG23" s="573"/>
      <c r="HH23" s="573"/>
      <c r="HI23" s="573"/>
      <c r="HJ23" s="573"/>
      <c r="HK23" s="573"/>
      <c r="HL23" s="573"/>
      <c r="HM23" s="573"/>
      <c r="HN23" s="573"/>
      <c r="HO23" s="573"/>
      <c r="HP23" s="573"/>
      <c r="HQ23" s="573"/>
      <c r="HR23" s="573"/>
      <c r="HS23" s="573"/>
      <c r="HT23" s="573"/>
      <c r="HU23" s="573"/>
      <c r="HV23" s="573"/>
      <c r="HW23" s="573"/>
      <c r="HX23" s="573"/>
      <c r="HY23" s="573"/>
      <c r="HZ23" s="573"/>
      <c r="IA23" s="573"/>
      <c r="IB23" s="573"/>
      <c r="IC23" s="573"/>
      <c r="ID23" s="573"/>
      <c r="IE23" s="573"/>
      <c r="IF23" s="573"/>
      <c r="IG23" s="573"/>
      <c r="IH23" s="573"/>
      <c r="II23" s="573"/>
      <c r="IJ23" s="573"/>
      <c r="IK23" s="573"/>
      <c r="IL23" s="573"/>
      <c r="IM23" s="573"/>
      <c r="IN23" s="573"/>
      <c r="IO23" s="573"/>
      <c r="IP23" s="573"/>
      <c r="IQ23" s="573"/>
      <c r="IR23" s="573"/>
      <c r="IS23" s="573"/>
      <c r="IT23" s="573"/>
      <c r="IU23" s="573"/>
      <c r="IV23" s="573"/>
      <c r="IW23" s="573"/>
    </row>
    <row r="24" customFormat="false" ht="15" hidden="false" customHeight="false" outlineLevel="0" collapsed="false">
      <c r="A24" s="558" t="s">
        <v>416</v>
      </c>
      <c r="B24" s="572"/>
      <c r="C24" s="581"/>
      <c r="D24" s="574"/>
      <c r="E24" s="580"/>
      <c r="F24" s="574"/>
      <c r="G24" s="574"/>
      <c r="H24" s="573"/>
      <c r="I24" s="573"/>
      <c r="J24" s="573"/>
      <c r="K24" s="573"/>
      <c r="L24" s="573"/>
      <c r="M24" s="573"/>
      <c r="N24" s="573"/>
      <c r="O24" s="573"/>
      <c r="P24" s="573"/>
      <c r="Q24" s="573"/>
      <c r="R24" s="573"/>
      <c r="S24" s="573"/>
      <c r="T24" s="573"/>
      <c r="U24" s="573"/>
      <c r="V24" s="573"/>
      <c r="W24" s="573"/>
      <c r="X24" s="573"/>
      <c r="Y24" s="573"/>
      <c r="Z24" s="573"/>
      <c r="AA24" s="573"/>
      <c r="AB24" s="573"/>
      <c r="AC24" s="573"/>
      <c r="AD24" s="573"/>
      <c r="AE24" s="573"/>
      <c r="AF24" s="573"/>
      <c r="AG24" s="573"/>
      <c r="AH24" s="573"/>
      <c r="AI24" s="573"/>
      <c r="AJ24" s="573"/>
      <c r="AK24" s="573"/>
      <c r="AL24" s="573"/>
      <c r="AM24" s="573"/>
      <c r="AN24" s="573"/>
      <c r="AO24" s="573"/>
      <c r="AP24" s="573"/>
      <c r="AQ24" s="573"/>
      <c r="AR24" s="573"/>
      <c r="AS24" s="573"/>
      <c r="AT24" s="573"/>
      <c r="AU24" s="573"/>
      <c r="AV24" s="573"/>
      <c r="AW24" s="573"/>
      <c r="AX24" s="573"/>
      <c r="AY24" s="573"/>
      <c r="AZ24" s="573"/>
      <c r="BA24" s="573"/>
      <c r="BB24" s="573"/>
      <c r="BC24" s="573"/>
      <c r="BD24" s="573"/>
      <c r="BE24" s="573"/>
      <c r="BF24" s="573"/>
      <c r="BG24" s="573"/>
      <c r="BH24" s="573"/>
      <c r="BI24" s="573"/>
      <c r="BJ24" s="573"/>
      <c r="BK24" s="573"/>
      <c r="BL24" s="573"/>
      <c r="BM24" s="573"/>
      <c r="BN24" s="573"/>
      <c r="BO24" s="573"/>
      <c r="BP24" s="573"/>
      <c r="BQ24" s="573"/>
      <c r="BR24" s="573"/>
      <c r="BS24" s="573"/>
      <c r="BT24" s="573"/>
      <c r="BU24" s="573"/>
      <c r="BV24" s="573"/>
      <c r="BW24" s="573"/>
      <c r="BX24" s="573"/>
      <c r="BY24" s="573"/>
      <c r="BZ24" s="573"/>
      <c r="CA24" s="573"/>
      <c r="CB24" s="573"/>
      <c r="CC24" s="573"/>
      <c r="CD24" s="573"/>
      <c r="CE24" s="573"/>
      <c r="CF24" s="573"/>
      <c r="CG24" s="573"/>
      <c r="CH24" s="573"/>
      <c r="CI24" s="573"/>
      <c r="CJ24" s="573"/>
      <c r="CK24" s="573"/>
      <c r="CL24" s="573"/>
      <c r="CM24" s="573"/>
      <c r="CN24" s="573"/>
      <c r="CO24" s="573"/>
      <c r="CP24" s="573"/>
      <c r="CQ24" s="573"/>
      <c r="CR24" s="573"/>
      <c r="CS24" s="573"/>
      <c r="CT24" s="573"/>
      <c r="CU24" s="573"/>
      <c r="CV24" s="573"/>
      <c r="CW24" s="573"/>
      <c r="CX24" s="573"/>
      <c r="CY24" s="573"/>
      <c r="CZ24" s="573"/>
      <c r="DA24" s="573"/>
      <c r="DB24" s="573"/>
      <c r="DC24" s="573"/>
      <c r="DD24" s="573"/>
      <c r="DE24" s="573"/>
      <c r="DF24" s="573"/>
      <c r="DG24" s="573"/>
      <c r="DH24" s="573"/>
      <c r="DI24" s="573"/>
      <c r="DJ24" s="573"/>
      <c r="DK24" s="573"/>
      <c r="DL24" s="573"/>
      <c r="DM24" s="573"/>
      <c r="DN24" s="573"/>
      <c r="DO24" s="573"/>
      <c r="DP24" s="573"/>
      <c r="DQ24" s="573"/>
      <c r="DR24" s="573"/>
      <c r="DS24" s="573"/>
      <c r="DT24" s="573"/>
      <c r="DU24" s="573"/>
      <c r="DV24" s="573"/>
      <c r="DW24" s="573"/>
      <c r="DX24" s="573"/>
      <c r="DY24" s="573"/>
      <c r="DZ24" s="573"/>
      <c r="EA24" s="573"/>
      <c r="EB24" s="573"/>
      <c r="EC24" s="573"/>
      <c r="ED24" s="573"/>
      <c r="EE24" s="573"/>
      <c r="EF24" s="573"/>
      <c r="EG24" s="573"/>
      <c r="EH24" s="573"/>
      <c r="EI24" s="573"/>
      <c r="EJ24" s="573"/>
      <c r="EK24" s="573"/>
      <c r="EL24" s="573"/>
      <c r="EM24" s="573"/>
      <c r="EN24" s="573"/>
      <c r="EO24" s="573"/>
      <c r="EP24" s="573"/>
      <c r="EQ24" s="573"/>
      <c r="ER24" s="573"/>
      <c r="ES24" s="573"/>
      <c r="ET24" s="573"/>
      <c r="EU24" s="573"/>
      <c r="EV24" s="573"/>
      <c r="EW24" s="573"/>
      <c r="EX24" s="573"/>
      <c r="EY24" s="573"/>
      <c r="EZ24" s="573"/>
      <c r="FA24" s="573"/>
      <c r="FB24" s="573"/>
      <c r="FC24" s="573"/>
      <c r="FD24" s="573"/>
      <c r="FE24" s="573"/>
      <c r="FF24" s="573"/>
      <c r="FG24" s="573"/>
      <c r="FH24" s="573"/>
      <c r="FI24" s="573"/>
      <c r="FJ24" s="573"/>
      <c r="FK24" s="573"/>
      <c r="FL24" s="573"/>
      <c r="FM24" s="573"/>
      <c r="FN24" s="573"/>
      <c r="FO24" s="573"/>
      <c r="FP24" s="573"/>
      <c r="FQ24" s="573"/>
      <c r="FR24" s="573"/>
      <c r="FS24" s="573"/>
      <c r="FT24" s="573"/>
      <c r="FU24" s="573"/>
      <c r="FV24" s="573"/>
      <c r="FW24" s="573"/>
      <c r="FX24" s="573"/>
      <c r="FY24" s="573"/>
      <c r="FZ24" s="573"/>
      <c r="GA24" s="573"/>
      <c r="GB24" s="573"/>
      <c r="GC24" s="573"/>
      <c r="GD24" s="573"/>
      <c r="GE24" s="573"/>
      <c r="GF24" s="573"/>
      <c r="GG24" s="573"/>
      <c r="GH24" s="573"/>
      <c r="GI24" s="573"/>
      <c r="GJ24" s="573"/>
      <c r="GK24" s="573"/>
      <c r="GL24" s="573"/>
      <c r="GM24" s="573"/>
      <c r="GN24" s="573"/>
      <c r="GO24" s="573"/>
      <c r="GP24" s="573"/>
      <c r="GQ24" s="573"/>
      <c r="GR24" s="573"/>
      <c r="GS24" s="573"/>
      <c r="GT24" s="573"/>
      <c r="GU24" s="573"/>
      <c r="GV24" s="573"/>
      <c r="GW24" s="573"/>
      <c r="GX24" s="573"/>
      <c r="GY24" s="573"/>
      <c r="GZ24" s="573"/>
      <c r="HA24" s="573"/>
      <c r="HB24" s="573"/>
      <c r="HC24" s="573"/>
      <c r="HD24" s="573"/>
      <c r="HE24" s="573"/>
      <c r="HF24" s="573"/>
      <c r="HG24" s="573"/>
      <c r="HH24" s="573"/>
      <c r="HI24" s="573"/>
      <c r="HJ24" s="573"/>
      <c r="HK24" s="573"/>
      <c r="HL24" s="573"/>
      <c r="HM24" s="573"/>
      <c r="HN24" s="573"/>
      <c r="HO24" s="573"/>
      <c r="HP24" s="573"/>
      <c r="HQ24" s="573"/>
      <c r="HR24" s="573"/>
      <c r="HS24" s="573"/>
      <c r="HT24" s="573"/>
      <c r="HU24" s="573"/>
      <c r="HV24" s="573"/>
      <c r="HW24" s="573"/>
      <c r="HX24" s="573"/>
      <c r="HY24" s="573"/>
      <c r="HZ24" s="573"/>
      <c r="IA24" s="573"/>
      <c r="IB24" s="573"/>
      <c r="IC24" s="573"/>
      <c r="ID24" s="573"/>
      <c r="IE24" s="573"/>
      <c r="IF24" s="573"/>
      <c r="IG24" s="573"/>
      <c r="IH24" s="573"/>
      <c r="II24" s="573"/>
      <c r="IJ24" s="573"/>
      <c r="IK24" s="573"/>
      <c r="IL24" s="573"/>
      <c r="IM24" s="573"/>
      <c r="IN24" s="573"/>
      <c r="IO24" s="573"/>
      <c r="IP24" s="573"/>
      <c r="IQ24" s="573"/>
      <c r="IR24" s="573"/>
      <c r="IS24" s="573"/>
      <c r="IT24" s="573"/>
      <c r="IU24" s="573"/>
      <c r="IV24" s="573"/>
      <c r="IW24" s="573"/>
    </row>
    <row r="25" customFormat="false" ht="15" hidden="false" customHeight="false" outlineLevel="0" collapsed="false">
      <c r="A25" s="558" t="s">
        <v>417</v>
      </c>
      <c r="B25" s="572"/>
      <c r="C25" s="581"/>
      <c r="D25" s="574"/>
      <c r="E25" s="580"/>
      <c r="F25" s="574"/>
      <c r="G25" s="574"/>
      <c r="H25" s="573"/>
      <c r="I25" s="573"/>
      <c r="J25" s="573"/>
      <c r="K25" s="573"/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573"/>
      <c r="W25" s="573"/>
      <c r="X25" s="573"/>
      <c r="Y25" s="573"/>
      <c r="Z25" s="573"/>
      <c r="AA25" s="573"/>
      <c r="AB25" s="573"/>
      <c r="AC25" s="573"/>
      <c r="AD25" s="573"/>
      <c r="AE25" s="573"/>
      <c r="AF25" s="573"/>
      <c r="AG25" s="573"/>
      <c r="AH25" s="573"/>
      <c r="AI25" s="573"/>
      <c r="AJ25" s="573"/>
      <c r="AK25" s="573"/>
      <c r="AL25" s="573"/>
      <c r="AM25" s="573"/>
      <c r="AN25" s="573"/>
      <c r="AO25" s="573"/>
      <c r="AP25" s="573"/>
      <c r="AQ25" s="573"/>
      <c r="AR25" s="573"/>
      <c r="AS25" s="573"/>
      <c r="AT25" s="573"/>
      <c r="AU25" s="573"/>
      <c r="AV25" s="573"/>
      <c r="AW25" s="573"/>
      <c r="AX25" s="573"/>
      <c r="AY25" s="573"/>
      <c r="AZ25" s="573"/>
      <c r="BA25" s="573"/>
      <c r="BB25" s="573"/>
      <c r="BC25" s="573"/>
      <c r="BD25" s="573"/>
      <c r="BE25" s="573"/>
      <c r="BF25" s="573"/>
      <c r="BG25" s="573"/>
      <c r="BH25" s="573"/>
      <c r="BI25" s="573"/>
      <c r="BJ25" s="573"/>
      <c r="BK25" s="573"/>
      <c r="BL25" s="573"/>
      <c r="BM25" s="573"/>
      <c r="BN25" s="573"/>
      <c r="BO25" s="573"/>
      <c r="BP25" s="573"/>
      <c r="BQ25" s="573"/>
      <c r="BR25" s="573"/>
      <c r="BS25" s="573"/>
      <c r="BT25" s="573"/>
      <c r="BU25" s="573"/>
      <c r="BV25" s="573"/>
      <c r="BW25" s="573"/>
      <c r="BX25" s="573"/>
      <c r="BY25" s="573"/>
      <c r="BZ25" s="573"/>
      <c r="CA25" s="573"/>
      <c r="CB25" s="573"/>
      <c r="CC25" s="573"/>
      <c r="CD25" s="573"/>
      <c r="CE25" s="573"/>
      <c r="CF25" s="573"/>
      <c r="CG25" s="573"/>
      <c r="CH25" s="573"/>
      <c r="CI25" s="573"/>
      <c r="CJ25" s="573"/>
      <c r="CK25" s="573"/>
      <c r="CL25" s="573"/>
      <c r="CM25" s="573"/>
      <c r="CN25" s="573"/>
      <c r="CO25" s="573"/>
      <c r="CP25" s="573"/>
      <c r="CQ25" s="573"/>
      <c r="CR25" s="573"/>
      <c r="CS25" s="573"/>
      <c r="CT25" s="573"/>
      <c r="CU25" s="573"/>
      <c r="CV25" s="573"/>
      <c r="CW25" s="573"/>
      <c r="CX25" s="573"/>
      <c r="CY25" s="573"/>
      <c r="CZ25" s="573"/>
      <c r="DA25" s="573"/>
      <c r="DB25" s="573"/>
      <c r="DC25" s="573"/>
      <c r="DD25" s="573"/>
      <c r="DE25" s="573"/>
      <c r="DF25" s="573"/>
      <c r="DG25" s="573"/>
      <c r="DH25" s="573"/>
      <c r="DI25" s="573"/>
      <c r="DJ25" s="573"/>
      <c r="DK25" s="573"/>
      <c r="DL25" s="573"/>
      <c r="DM25" s="573"/>
      <c r="DN25" s="573"/>
      <c r="DO25" s="573"/>
      <c r="DP25" s="573"/>
      <c r="DQ25" s="573"/>
      <c r="DR25" s="573"/>
      <c r="DS25" s="573"/>
      <c r="DT25" s="573"/>
      <c r="DU25" s="573"/>
      <c r="DV25" s="573"/>
      <c r="DW25" s="573"/>
      <c r="DX25" s="573"/>
      <c r="DY25" s="573"/>
      <c r="DZ25" s="573"/>
      <c r="EA25" s="573"/>
      <c r="EB25" s="573"/>
      <c r="EC25" s="573"/>
      <c r="ED25" s="573"/>
      <c r="EE25" s="573"/>
      <c r="EF25" s="573"/>
      <c r="EG25" s="573"/>
      <c r="EH25" s="573"/>
      <c r="EI25" s="573"/>
      <c r="EJ25" s="573"/>
      <c r="EK25" s="573"/>
      <c r="EL25" s="573"/>
      <c r="EM25" s="573"/>
      <c r="EN25" s="573"/>
      <c r="EO25" s="573"/>
      <c r="EP25" s="573"/>
      <c r="EQ25" s="573"/>
      <c r="ER25" s="573"/>
      <c r="ES25" s="573"/>
      <c r="ET25" s="573"/>
      <c r="EU25" s="573"/>
      <c r="EV25" s="573"/>
      <c r="EW25" s="573"/>
      <c r="EX25" s="573"/>
      <c r="EY25" s="573"/>
      <c r="EZ25" s="573"/>
      <c r="FA25" s="573"/>
      <c r="FB25" s="573"/>
      <c r="FC25" s="573"/>
      <c r="FD25" s="573"/>
      <c r="FE25" s="573"/>
      <c r="FF25" s="573"/>
      <c r="FG25" s="573"/>
      <c r="FH25" s="573"/>
      <c r="FI25" s="573"/>
      <c r="FJ25" s="573"/>
      <c r="FK25" s="573"/>
      <c r="FL25" s="573"/>
      <c r="FM25" s="573"/>
      <c r="FN25" s="573"/>
      <c r="FO25" s="573"/>
      <c r="FP25" s="573"/>
      <c r="FQ25" s="573"/>
      <c r="FR25" s="573"/>
      <c r="FS25" s="573"/>
      <c r="FT25" s="573"/>
      <c r="FU25" s="573"/>
      <c r="FV25" s="573"/>
      <c r="FW25" s="573"/>
      <c r="FX25" s="573"/>
      <c r="FY25" s="573"/>
      <c r="FZ25" s="573"/>
      <c r="GA25" s="573"/>
      <c r="GB25" s="573"/>
      <c r="GC25" s="573"/>
      <c r="GD25" s="573"/>
      <c r="GE25" s="573"/>
      <c r="GF25" s="573"/>
      <c r="GG25" s="573"/>
      <c r="GH25" s="573"/>
      <c r="GI25" s="573"/>
      <c r="GJ25" s="573"/>
      <c r="GK25" s="573"/>
      <c r="GL25" s="573"/>
      <c r="GM25" s="573"/>
      <c r="GN25" s="573"/>
      <c r="GO25" s="573"/>
      <c r="GP25" s="573"/>
      <c r="GQ25" s="573"/>
      <c r="GR25" s="573"/>
      <c r="GS25" s="573"/>
      <c r="GT25" s="573"/>
      <c r="GU25" s="573"/>
      <c r="GV25" s="573"/>
      <c r="GW25" s="573"/>
      <c r="GX25" s="573"/>
      <c r="GY25" s="573"/>
      <c r="GZ25" s="573"/>
      <c r="HA25" s="573"/>
      <c r="HB25" s="573"/>
      <c r="HC25" s="573"/>
      <c r="HD25" s="573"/>
      <c r="HE25" s="573"/>
      <c r="HF25" s="573"/>
      <c r="HG25" s="573"/>
      <c r="HH25" s="573"/>
      <c r="HI25" s="573"/>
      <c r="HJ25" s="573"/>
      <c r="HK25" s="573"/>
      <c r="HL25" s="573"/>
      <c r="HM25" s="573"/>
      <c r="HN25" s="573"/>
      <c r="HO25" s="573"/>
      <c r="HP25" s="573"/>
      <c r="HQ25" s="573"/>
      <c r="HR25" s="573"/>
      <c r="HS25" s="573"/>
      <c r="HT25" s="573"/>
      <c r="HU25" s="573"/>
      <c r="HV25" s="573"/>
      <c r="HW25" s="573"/>
      <c r="HX25" s="573"/>
      <c r="HY25" s="573"/>
      <c r="HZ25" s="573"/>
      <c r="IA25" s="573"/>
      <c r="IB25" s="573"/>
      <c r="IC25" s="573"/>
      <c r="ID25" s="573"/>
      <c r="IE25" s="573"/>
      <c r="IF25" s="573"/>
      <c r="IG25" s="573"/>
      <c r="IH25" s="573"/>
      <c r="II25" s="573"/>
      <c r="IJ25" s="573"/>
      <c r="IK25" s="573"/>
      <c r="IL25" s="573"/>
      <c r="IM25" s="573"/>
      <c r="IN25" s="573"/>
      <c r="IO25" s="573"/>
      <c r="IP25" s="573"/>
      <c r="IQ25" s="573"/>
      <c r="IR25" s="573"/>
      <c r="IS25" s="573"/>
      <c r="IT25" s="573"/>
      <c r="IU25" s="573"/>
      <c r="IV25" s="573"/>
      <c r="IW25" s="573"/>
    </row>
    <row r="26" customFormat="false" ht="15" hidden="false" customHeight="false" outlineLevel="0" collapsed="false">
      <c r="A26" s="558" t="s">
        <v>418</v>
      </c>
      <c r="B26" s="572"/>
      <c r="C26" s="581"/>
      <c r="D26" s="574"/>
      <c r="E26" s="580"/>
      <c r="F26" s="574"/>
      <c r="G26" s="574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  <c r="W26" s="573"/>
      <c r="X26" s="573"/>
      <c r="Y26" s="573"/>
      <c r="Z26" s="573"/>
      <c r="AA26" s="573"/>
      <c r="AB26" s="573"/>
      <c r="AC26" s="573"/>
      <c r="AD26" s="573"/>
      <c r="AE26" s="573"/>
      <c r="AF26" s="573"/>
      <c r="AG26" s="573"/>
      <c r="AH26" s="573"/>
      <c r="AI26" s="573"/>
      <c r="AJ26" s="573"/>
      <c r="AK26" s="573"/>
      <c r="AL26" s="573"/>
      <c r="AM26" s="573"/>
      <c r="AN26" s="573"/>
      <c r="AO26" s="573"/>
      <c r="AP26" s="573"/>
      <c r="AQ26" s="573"/>
      <c r="AR26" s="573"/>
      <c r="AS26" s="573"/>
      <c r="AT26" s="573"/>
      <c r="AU26" s="573"/>
      <c r="AV26" s="573"/>
      <c r="AW26" s="573"/>
      <c r="AX26" s="573"/>
      <c r="AY26" s="573"/>
      <c r="AZ26" s="573"/>
      <c r="BA26" s="573"/>
      <c r="BB26" s="573"/>
      <c r="BC26" s="573"/>
      <c r="BD26" s="573"/>
      <c r="BE26" s="573"/>
      <c r="BF26" s="573"/>
      <c r="BG26" s="573"/>
      <c r="BH26" s="573"/>
      <c r="BI26" s="573"/>
      <c r="BJ26" s="573"/>
      <c r="BK26" s="573"/>
      <c r="BL26" s="573"/>
      <c r="BM26" s="573"/>
      <c r="BN26" s="573"/>
      <c r="BO26" s="573"/>
      <c r="BP26" s="573"/>
      <c r="BQ26" s="573"/>
      <c r="BR26" s="573"/>
      <c r="BS26" s="573"/>
      <c r="BT26" s="573"/>
      <c r="BU26" s="573"/>
      <c r="BV26" s="573"/>
      <c r="BW26" s="573"/>
      <c r="BX26" s="573"/>
      <c r="BY26" s="573"/>
      <c r="BZ26" s="573"/>
      <c r="CA26" s="573"/>
      <c r="CB26" s="573"/>
      <c r="CC26" s="573"/>
      <c r="CD26" s="573"/>
      <c r="CE26" s="573"/>
      <c r="CF26" s="573"/>
      <c r="CG26" s="573"/>
      <c r="CH26" s="573"/>
      <c r="CI26" s="573"/>
      <c r="CJ26" s="573"/>
      <c r="CK26" s="573"/>
      <c r="CL26" s="573"/>
      <c r="CM26" s="573"/>
      <c r="CN26" s="573"/>
      <c r="CO26" s="573"/>
      <c r="CP26" s="573"/>
      <c r="CQ26" s="573"/>
      <c r="CR26" s="573"/>
      <c r="CS26" s="573"/>
      <c r="CT26" s="573"/>
      <c r="CU26" s="573"/>
      <c r="CV26" s="573"/>
      <c r="CW26" s="573"/>
      <c r="CX26" s="573"/>
      <c r="CY26" s="573"/>
      <c r="CZ26" s="573"/>
      <c r="DA26" s="573"/>
      <c r="DB26" s="573"/>
      <c r="DC26" s="573"/>
      <c r="DD26" s="573"/>
      <c r="DE26" s="573"/>
      <c r="DF26" s="573"/>
      <c r="DG26" s="573"/>
      <c r="DH26" s="573"/>
      <c r="DI26" s="573"/>
      <c r="DJ26" s="573"/>
      <c r="DK26" s="573"/>
      <c r="DL26" s="573"/>
      <c r="DM26" s="573"/>
      <c r="DN26" s="573"/>
      <c r="DO26" s="573"/>
      <c r="DP26" s="573"/>
      <c r="DQ26" s="573"/>
      <c r="DR26" s="573"/>
      <c r="DS26" s="573"/>
      <c r="DT26" s="573"/>
      <c r="DU26" s="573"/>
      <c r="DV26" s="573"/>
      <c r="DW26" s="573"/>
      <c r="DX26" s="573"/>
      <c r="DY26" s="573"/>
      <c r="DZ26" s="573"/>
      <c r="EA26" s="573"/>
      <c r="EB26" s="573"/>
      <c r="EC26" s="573"/>
      <c r="ED26" s="573"/>
      <c r="EE26" s="573"/>
      <c r="EF26" s="573"/>
      <c r="EG26" s="573"/>
      <c r="EH26" s="573"/>
      <c r="EI26" s="573"/>
      <c r="EJ26" s="573"/>
      <c r="EK26" s="573"/>
      <c r="EL26" s="573"/>
      <c r="EM26" s="573"/>
      <c r="EN26" s="573"/>
      <c r="EO26" s="573"/>
      <c r="EP26" s="573"/>
      <c r="EQ26" s="573"/>
      <c r="ER26" s="573"/>
      <c r="ES26" s="573"/>
      <c r="ET26" s="573"/>
      <c r="EU26" s="573"/>
      <c r="EV26" s="573"/>
      <c r="EW26" s="573"/>
      <c r="EX26" s="573"/>
      <c r="EY26" s="573"/>
      <c r="EZ26" s="573"/>
      <c r="FA26" s="573"/>
      <c r="FB26" s="573"/>
      <c r="FC26" s="573"/>
      <c r="FD26" s="573"/>
      <c r="FE26" s="573"/>
      <c r="FF26" s="573"/>
      <c r="FG26" s="573"/>
      <c r="FH26" s="573"/>
      <c r="FI26" s="573"/>
      <c r="FJ26" s="573"/>
      <c r="FK26" s="573"/>
      <c r="FL26" s="573"/>
      <c r="FM26" s="573"/>
      <c r="FN26" s="573"/>
      <c r="FO26" s="573"/>
      <c r="FP26" s="573"/>
      <c r="FQ26" s="573"/>
      <c r="FR26" s="573"/>
      <c r="FS26" s="573"/>
      <c r="FT26" s="573"/>
      <c r="FU26" s="573"/>
      <c r="FV26" s="573"/>
      <c r="FW26" s="573"/>
      <c r="FX26" s="573"/>
      <c r="FY26" s="573"/>
      <c r="FZ26" s="573"/>
      <c r="GA26" s="573"/>
      <c r="GB26" s="573"/>
      <c r="GC26" s="573"/>
      <c r="GD26" s="573"/>
      <c r="GE26" s="573"/>
      <c r="GF26" s="573"/>
      <c r="GG26" s="573"/>
      <c r="GH26" s="573"/>
      <c r="GI26" s="573"/>
      <c r="GJ26" s="573"/>
      <c r="GK26" s="573"/>
      <c r="GL26" s="573"/>
      <c r="GM26" s="573"/>
      <c r="GN26" s="573"/>
      <c r="GO26" s="573"/>
      <c r="GP26" s="573"/>
      <c r="GQ26" s="573"/>
      <c r="GR26" s="573"/>
      <c r="GS26" s="573"/>
      <c r="GT26" s="573"/>
      <c r="GU26" s="573"/>
      <c r="GV26" s="573"/>
      <c r="GW26" s="573"/>
      <c r="GX26" s="573"/>
      <c r="GY26" s="573"/>
      <c r="GZ26" s="573"/>
      <c r="HA26" s="573"/>
      <c r="HB26" s="573"/>
      <c r="HC26" s="573"/>
      <c r="HD26" s="573"/>
      <c r="HE26" s="573"/>
      <c r="HF26" s="573"/>
      <c r="HG26" s="573"/>
      <c r="HH26" s="573"/>
      <c r="HI26" s="573"/>
      <c r="HJ26" s="573"/>
      <c r="HK26" s="573"/>
      <c r="HL26" s="573"/>
      <c r="HM26" s="573"/>
      <c r="HN26" s="573"/>
      <c r="HO26" s="573"/>
      <c r="HP26" s="573"/>
      <c r="HQ26" s="573"/>
      <c r="HR26" s="573"/>
      <c r="HS26" s="573"/>
      <c r="HT26" s="573"/>
      <c r="HU26" s="573"/>
      <c r="HV26" s="573"/>
      <c r="HW26" s="573"/>
      <c r="HX26" s="573"/>
      <c r="HY26" s="573"/>
      <c r="HZ26" s="573"/>
      <c r="IA26" s="573"/>
      <c r="IB26" s="573"/>
      <c r="IC26" s="573"/>
      <c r="ID26" s="573"/>
      <c r="IE26" s="573"/>
      <c r="IF26" s="573"/>
      <c r="IG26" s="573"/>
      <c r="IH26" s="573"/>
      <c r="II26" s="573"/>
      <c r="IJ26" s="573"/>
      <c r="IK26" s="573"/>
      <c r="IL26" s="573"/>
      <c r="IM26" s="573"/>
      <c r="IN26" s="573"/>
      <c r="IO26" s="573"/>
      <c r="IP26" s="573"/>
      <c r="IQ26" s="573"/>
      <c r="IR26" s="573"/>
      <c r="IS26" s="573"/>
      <c r="IT26" s="573"/>
      <c r="IU26" s="573"/>
      <c r="IV26" s="573"/>
      <c r="IW26" s="573"/>
    </row>
    <row r="27" customFormat="false" ht="15" hidden="false" customHeight="false" outlineLevel="0" collapsed="false">
      <c r="A27" s="558" t="s">
        <v>419</v>
      </c>
      <c r="B27" s="572"/>
      <c r="C27" s="581"/>
      <c r="D27" s="574"/>
      <c r="E27" s="580"/>
      <c r="F27" s="574"/>
      <c r="G27" s="574"/>
      <c r="H27" s="573"/>
      <c r="I27" s="573"/>
      <c r="J27" s="573"/>
      <c r="K27" s="573"/>
      <c r="L27" s="573"/>
      <c r="M27" s="573"/>
      <c r="N27" s="573"/>
      <c r="O27" s="573"/>
      <c r="P27" s="573"/>
      <c r="Q27" s="573"/>
      <c r="R27" s="573"/>
      <c r="S27" s="573"/>
      <c r="T27" s="573"/>
      <c r="U27" s="573"/>
      <c r="V27" s="573"/>
      <c r="W27" s="573"/>
      <c r="X27" s="573"/>
      <c r="Y27" s="573"/>
      <c r="Z27" s="573"/>
      <c r="AA27" s="573"/>
      <c r="AB27" s="573"/>
      <c r="AC27" s="573"/>
      <c r="AD27" s="573"/>
      <c r="AE27" s="573"/>
      <c r="AF27" s="573"/>
      <c r="AG27" s="573"/>
      <c r="AH27" s="573"/>
      <c r="AI27" s="573"/>
      <c r="AJ27" s="573"/>
      <c r="AK27" s="573"/>
      <c r="AL27" s="573"/>
      <c r="AM27" s="573"/>
      <c r="AN27" s="573"/>
      <c r="AO27" s="573"/>
      <c r="AP27" s="573"/>
      <c r="AQ27" s="573"/>
      <c r="AR27" s="573"/>
      <c r="AS27" s="573"/>
      <c r="AT27" s="573"/>
      <c r="AU27" s="573"/>
      <c r="AV27" s="573"/>
      <c r="AW27" s="573"/>
      <c r="AX27" s="573"/>
      <c r="AY27" s="573"/>
      <c r="AZ27" s="573"/>
      <c r="BA27" s="573"/>
      <c r="BB27" s="573"/>
      <c r="BC27" s="573"/>
      <c r="BD27" s="573"/>
      <c r="BE27" s="573"/>
      <c r="BF27" s="573"/>
      <c r="BG27" s="573"/>
      <c r="BH27" s="573"/>
      <c r="BI27" s="573"/>
      <c r="BJ27" s="573"/>
      <c r="BK27" s="573"/>
      <c r="BL27" s="573"/>
      <c r="BM27" s="573"/>
      <c r="BN27" s="573"/>
      <c r="BO27" s="573"/>
      <c r="BP27" s="573"/>
      <c r="BQ27" s="573"/>
      <c r="BR27" s="573"/>
      <c r="BS27" s="573"/>
      <c r="BT27" s="573"/>
      <c r="BU27" s="573"/>
      <c r="BV27" s="573"/>
      <c r="BW27" s="573"/>
      <c r="BX27" s="573"/>
      <c r="BY27" s="573"/>
      <c r="BZ27" s="573"/>
      <c r="CA27" s="573"/>
      <c r="CB27" s="573"/>
      <c r="CC27" s="573"/>
      <c r="CD27" s="573"/>
      <c r="CE27" s="573"/>
      <c r="CF27" s="573"/>
      <c r="CG27" s="573"/>
      <c r="CH27" s="573"/>
      <c r="CI27" s="573"/>
      <c r="CJ27" s="573"/>
      <c r="CK27" s="573"/>
      <c r="CL27" s="573"/>
      <c r="CM27" s="573"/>
      <c r="CN27" s="573"/>
      <c r="CO27" s="573"/>
      <c r="CP27" s="573"/>
      <c r="CQ27" s="573"/>
      <c r="CR27" s="573"/>
      <c r="CS27" s="573"/>
      <c r="CT27" s="573"/>
      <c r="CU27" s="573"/>
      <c r="CV27" s="573"/>
      <c r="CW27" s="573"/>
      <c r="CX27" s="573"/>
      <c r="CY27" s="573"/>
      <c r="CZ27" s="573"/>
      <c r="DA27" s="573"/>
      <c r="DB27" s="573"/>
      <c r="DC27" s="573"/>
      <c r="DD27" s="573"/>
      <c r="DE27" s="573"/>
      <c r="DF27" s="573"/>
      <c r="DG27" s="573"/>
      <c r="DH27" s="573"/>
      <c r="DI27" s="573"/>
      <c r="DJ27" s="573"/>
      <c r="DK27" s="573"/>
      <c r="DL27" s="573"/>
      <c r="DM27" s="573"/>
      <c r="DN27" s="573"/>
      <c r="DO27" s="573"/>
      <c r="DP27" s="573"/>
      <c r="DQ27" s="573"/>
      <c r="DR27" s="573"/>
      <c r="DS27" s="573"/>
      <c r="DT27" s="573"/>
      <c r="DU27" s="573"/>
      <c r="DV27" s="573"/>
      <c r="DW27" s="573"/>
      <c r="DX27" s="573"/>
      <c r="DY27" s="573"/>
      <c r="DZ27" s="573"/>
      <c r="EA27" s="573"/>
      <c r="EB27" s="573"/>
      <c r="EC27" s="573"/>
      <c r="ED27" s="573"/>
      <c r="EE27" s="573"/>
      <c r="EF27" s="573"/>
      <c r="EG27" s="573"/>
      <c r="EH27" s="573"/>
      <c r="EI27" s="573"/>
      <c r="EJ27" s="573"/>
      <c r="EK27" s="573"/>
      <c r="EL27" s="573"/>
      <c r="EM27" s="573"/>
      <c r="EN27" s="573"/>
      <c r="EO27" s="573"/>
      <c r="EP27" s="573"/>
      <c r="EQ27" s="573"/>
      <c r="ER27" s="573"/>
      <c r="ES27" s="573"/>
      <c r="ET27" s="573"/>
      <c r="EU27" s="573"/>
      <c r="EV27" s="573"/>
      <c r="EW27" s="573"/>
      <c r="EX27" s="573"/>
      <c r="EY27" s="573"/>
      <c r="EZ27" s="573"/>
      <c r="FA27" s="573"/>
      <c r="FB27" s="573"/>
      <c r="FC27" s="573"/>
      <c r="FD27" s="573"/>
      <c r="FE27" s="573"/>
      <c r="FF27" s="573"/>
      <c r="FG27" s="573"/>
      <c r="FH27" s="573"/>
      <c r="FI27" s="573"/>
      <c r="FJ27" s="573"/>
      <c r="FK27" s="573"/>
      <c r="FL27" s="573"/>
      <c r="FM27" s="573"/>
      <c r="FN27" s="573"/>
      <c r="FO27" s="573"/>
      <c r="FP27" s="573"/>
      <c r="FQ27" s="573"/>
      <c r="FR27" s="573"/>
      <c r="FS27" s="573"/>
      <c r="FT27" s="573"/>
      <c r="FU27" s="573"/>
      <c r="FV27" s="573"/>
      <c r="FW27" s="573"/>
      <c r="FX27" s="573"/>
      <c r="FY27" s="573"/>
      <c r="FZ27" s="573"/>
      <c r="GA27" s="573"/>
      <c r="GB27" s="573"/>
      <c r="GC27" s="573"/>
      <c r="GD27" s="573"/>
      <c r="GE27" s="573"/>
      <c r="GF27" s="573"/>
      <c r="GG27" s="573"/>
      <c r="GH27" s="573"/>
      <c r="GI27" s="573"/>
      <c r="GJ27" s="573"/>
      <c r="GK27" s="573"/>
      <c r="GL27" s="573"/>
      <c r="GM27" s="573"/>
      <c r="GN27" s="573"/>
      <c r="GO27" s="573"/>
      <c r="GP27" s="573"/>
      <c r="GQ27" s="573"/>
      <c r="GR27" s="573"/>
      <c r="GS27" s="573"/>
      <c r="GT27" s="573"/>
      <c r="GU27" s="573"/>
      <c r="GV27" s="573"/>
      <c r="GW27" s="573"/>
      <c r="GX27" s="573"/>
      <c r="GY27" s="573"/>
      <c r="GZ27" s="573"/>
      <c r="HA27" s="573"/>
      <c r="HB27" s="573"/>
      <c r="HC27" s="573"/>
      <c r="HD27" s="573"/>
      <c r="HE27" s="573"/>
      <c r="HF27" s="573"/>
      <c r="HG27" s="573"/>
      <c r="HH27" s="573"/>
      <c r="HI27" s="573"/>
      <c r="HJ27" s="573"/>
      <c r="HK27" s="573"/>
      <c r="HL27" s="573"/>
      <c r="HM27" s="573"/>
      <c r="HN27" s="573"/>
      <c r="HO27" s="573"/>
      <c r="HP27" s="573"/>
      <c r="HQ27" s="573"/>
      <c r="HR27" s="573"/>
      <c r="HS27" s="573"/>
      <c r="HT27" s="573"/>
      <c r="HU27" s="573"/>
      <c r="HV27" s="573"/>
      <c r="HW27" s="573"/>
      <c r="HX27" s="573"/>
      <c r="HY27" s="573"/>
      <c r="HZ27" s="573"/>
      <c r="IA27" s="573"/>
      <c r="IB27" s="573"/>
      <c r="IC27" s="573"/>
      <c r="ID27" s="573"/>
      <c r="IE27" s="573"/>
      <c r="IF27" s="573"/>
      <c r="IG27" s="573"/>
      <c r="IH27" s="573"/>
      <c r="II27" s="573"/>
      <c r="IJ27" s="573"/>
      <c r="IK27" s="573"/>
      <c r="IL27" s="573"/>
      <c r="IM27" s="573"/>
      <c r="IN27" s="573"/>
      <c r="IO27" s="573"/>
      <c r="IP27" s="573"/>
      <c r="IQ27" s="573"/>
      <c r="IR27" s="573"/>
      <c r="IS27" s="573"/>
      <c r="IT27" s="573"/>
      <c r="IU27" s="573"/>
      <c r="IV27" s="573"/>
      <c r="IW27" s="573"/>
    </row>
    <row r="28" customFormat="false" ht="15" hidden="false" customHeight="false" outlineLevel="0" collapsed="false">
      <c r="A28" s="558" t="s">
        <v>420</v>
      </c>
      <c r="B28" s="572"/>
      <c r="C28" s="581"/>
      <c r="D28" s="574"/>
      <c r="E28" s="580"/>
      <c r="F28" s="574"/>
      <c r="G28" s="574"/>
      <c r="H28" s="573"/>
      <c r="I28" s="573"/>
      <c r="J28" s="573"/>
      <c r="K28" s="573"/>
      <c r="L28" s="573"/>
      <c r="M28" s="573"/>
      <c r="N28" s="573"/>
      <c r="O28" s="573"/>
      <c r="P28" s="573"/>
      <c r="Q28" s="573"/>
      <c r="R28" s="573"/>
      <c r="S28" s="573"/>
      <c r="T28" s="573"/>
      <c r="U28" s="573"/>
      <c r="V28" s="573"/>
      <c r="W28" s="573"/>
      <c r="X28" s="573"/>
      <c r="Y28" s="573"/>
      <c r="Z28" s="573"/>
      <c r="AA28" s="573"/>
      <c r="AB28" s="573"/>
      <c r="AC28" s="573"/>
      <c r="AD28" s="573"/>
      <c r="AE28" s="573"/>
      <c r="AF28" s="573"/>
      <c r="AG28" s="573"/>
      <c r="AH28" s="573"/>
      <c r="AI28" s="573"/>
      <c r="AJ28" s="573"/>
      <c r="AK28" s="573"/>
      <c r="AL28" s="573"/>
      <c r="AM28" s="573"/>
      <c r="AN28" s="573"/>
      <c r="AO28" s="573"/>
      <c r="AP28" s="573"/>
      <c r="AQ28" s="573"/>
      <c r="AR28" s="573"/>
      <c r="AS28" s="573"/>
      <c r="AT28" s="573"/>
      <c r="AU28" s="573"/>
      <c r="AV28" s="573"/>
      <c r="AW28" s="573"/>
      <c r="AX28" s="573"/>
      <c r="AY28" s="573"/>
      <c r="AZ28" s="573"/>
      <c r="BA28" s="573"/>
      <c r="BB28" s="573"/>
      <c r="BC28" s="573"/>
      <c r="BD28" s="573"/>
      <c r="BE28" s="573"/>
      <c r="BF28" s="573"/>
      <c r="BG28" s="573"/>
      <c r="BH28" s="573"/>
      <c r="BI28" s="573"/>
      <c r="BJ28" s="573"/>
      <c r="BK28" s="573"/>
      <c r="BL28" s="573"/>
      <c r="BM28" s="573"/>
      <c r="BN28" s="573"/>
      <c r="BO28" s="573"/>
      <c r="BP28" s="573"/>
      <c r="BQ28" s="573"/>
      <c r="BR28" s="573"/>
      <c r="BS28" s="573"/>
      <c r="BT28" s="573"/>
      <c r="BU28" s="573"/>
      <c r="BV28" s="573"/>
      <c r="BW28" s="573"/>
      <c r="BX28" s="573"/>
      <c r="BY28" s="573"/>
      <c r="BZ28" s="573"/>
      <c r="CA28" s="573"/>
      <c r="CB28" s="573"/>
      <c r="CC28" s="573"/>
      <c r="CD28" s="573"/>
      <c r="CE28" s="573"/>
      <c r="CF28" s="573"/>
      <c r="CG28" s="573"/>
      <c r="CH28" s="573"/>
      <c r="CI28" s="573"/>
      <c r="CJ28" s="573"/>
      <c r="CK28" s="573"/>
      <c r="CL28" s="573"/>
      <c r="CM28" s="573"/>
      <c r="CN28" s="573"/>
      <c r="CO28" s="573"/>
      <c r="CP28" s="573"/>
      <c r="CQ28" s="573"/>
      <c r="CR28" s="573"/>
      <c r="CS28" s="573"/>
      <c r="CT28" s="573"/>
      <c r="CU28" s="573"/>
      <c r="CV28" s="573"/>
      <c r="CW28" s="573"/>
      <c r="CX28" s="573"/>
      <c r="CY28" s="573"/>
      <c r="CZ28" s="573"/>
      <c r="DA28" s="573"/>
      <c r="DB28" s="573"/>
      <c r="DC28" s="573"/>
      <c r="DD28" s="573"/>
      <c r="DE28" s="573"/>
      <c r="DF28" s="573"/>
      <c r="DG28" s="573"/>
      <c r="DH28" s="573"/>
      <c r="DI28" s="573"/>
      <c r="DJ28" s="573"/>
      <c r="DK28" s="573"/>
      <c r="DL28" s="573"/>
      <c r="DM28" s="573"/>
      <c r="DN28" s="573"/>
      <c r="DO28" s="573"/>
      <c r="DP28" s="573"/>
      <c r="DQ28" s="573"/>
      <c r="DR28" s="573"/>
      <c r="DS28" s="573"/>
      <c r="DT28" s="573"/>
      <c r="DU28" s="573"/>
      <c r="DV28" s="573"/>
      <c r="DW28" s="573"/>
      <c r="DX28" s="573"/>
      <c r="DY28" s="573"/>
      <c r="DZ28" s="573"/>
      <c r="EA28" s="573"/>
      <c r="EB28" s="573"/>
      <c r="EC28" s="573"/>
      <c r="ED28" s="573"/>
      <c r="EE28" s="573"/>
      <c r="EF28" s="573"/>
      <c r="EG28" s="573"/>
      <c r="EH28" s="573"/>
      <c r="EI28" s="573"/>
      <c r="EJ28" s="573"/>
      <c r="EK28" s="573"/>
      <c r="EL28" s="573"/>
      <c r="EM28" s="573"/>
      <c r="EN28" s="573"/>
      <c r="EO28" s="573"/>
      <c r="EP28" s="573"/>
      <c r="EQ28" s="573"/>
      <c r="ER28" s="573"/>
      <c r="ES28" s="573"/>
      <c r="ET28" s="573"/>
      <c r="EU28" s="573"/>
      <c r="EV28" s="573"/>
      <c r="EW28" s="573"/>
      <c r="EX28" s="573"/>
      <c r="EY28" s="573"/>
      <c r="EZ28" s="573"/>
      <c r="FA28" s="573"/>
      <c r="FB28" s="573"/>
      <c r="FC28" s="573"/>
      <c r="FD28" s="573"/>
      <c r="FE28" s="573"/>
      <c r="FF28" s="573"/>
      <c r="FG28" s="573"/>
      <c r="FH28" s="573"/>
      <c r="FI28" s="573"/>
      <c r="FJ28" s="573"/>
      <c r="FK28" s="573"/>
      <c r="FL28" s="573"/>
      <c r="FM28" s="573"/>
      <c r="FN28" s="573"/>
      <c r="FO28" s="573"/>
      <c r="FP28" s="573"/>
      <c r="FQ28" s="573"/>
      <c r="FR28" s="573"/>
      <c r="FS28" s="573"/>
      <c r="FT28" s="573"/>
      <c r="FU28" s="573"/>
      <c r="FV28" s="573"/>
      <c r="FW28" s="573"/>
      <c r="FX28" s="573"/>
      <c r="FY28" s="573"/>
      <c r="FZ28" s="573"/>
      <c r="GA28" s="573"/>
      <c r="GB28" s="573"/>
      <c r="GC28" s="573"/>
      <c r="GD28" s="573"/>
      <c r="GE28" s="573"/>
      <c r="GF28" s="573"/>
      <c r="GG28" s="573"/>
      <c r="GH28" s="573"/>
      <c r="GI28" s="573"/>
      <c r="GJ28" s="573"/>
      <c r="GK28" s="573"/>
      <c r="GL28" s="573"/>
      <c r="GM28" s="573"/>
      <c r="GN28" s="573"/>
      <c r="GO28" s="573"/>
      <c r="GP28" s="573"/>
      <c r="GQ28" s="573"/>
      <c r="GR28" s="573"/>
      <c r="GS28" s="573"/>
      <c r="GT28" s="573"/>
      <c r="GU28" s="573"/>
      <c r="GV28" s="573"/>
      <c r="GW28" s="573"/>
      <c r="GX28" s="573"/>
      <c r="GY28" s="573"/>
      <c r="GZ28" s="573"/>
      <c r="HA28" s="573"/>
      <c r="HB28" s="573"/>
      <c r="HC28" s="573"/>
      <c r="HD28" s="573"/>
      <c r="HE28" s="573"/>
      <c r="HF28" s="573"/>
      <c r="HG28" s="573"/>
      <c r="HH28" s="573"/>
      <c r="HI28" s="573"/>
      <c r="HJ28" s="573"/>
      <c r="HK28" s="573"/>
      <c r="HL28" s="573"/>
      <c r="HM28" s="573"/>
      <c r="HN28" s="573"/>
      <c r="HO28" s="573"/>
      <c r="HP28" s="573"/>
      <c r="HQ28" s="573"/>
      <c r="HR28" s="573"/>
      <c r="HS28" s="573"/>
      <c r="HT28" s="573"/>
      <c r="HU28" s="573"/>
      <c r="HV28" s="573"/>
      <c r="HW28" s="573"/>
      <c r="HX28" s="573"/>
      <c r="HY28" s="573"/>
      <c r="HZ28" s="573"/>
      <c r="IA28" s="573"/>
      <c r="IB28" s="573"/>
      <c r="IC28" s="573"/>
      <c r="ID28" s="573"/>
      <c r="IE28" s="573"/>
      <c r="IF28" s="573"/>
      <c r="IG28" s="573"/>
      <c r="IH28" s="573"/>
      <c r="II28" s="573"/>
      <c r="IJ28" s="573"/>
      <c r="IK28" s="573"/>
      <c r="IL28" s="573"/>
      <c r="IM28" s="573"/>
      <c r="IN28" s="573"/>
      <c r="IO28" s="573"/>
      <c r="IP28" s="573"/>
      <c r="IQ28" s="573"/>
      <c r="IR28" s="573"/>
      <c r="IS28" s="573"/>
      <c r="IT28" s="573"/>
      <c r="IU28" s="573"/>
      <c r="IV28" s="573"/>
      <c r="IW28" s="573"/>
    </row>
    <row r="29" customFormat="false" ht="15" hidden="false" customHeight="false" outlineLevel="0" collapsed="false">
      <c r="A29" s="558" t="s">
        <v>421</v>
      </c>
      <c r="B29" s="572"/>
      <c r="C29" s="581"/>
      <c r="D29" s="574"/>
      <c r="E29" s="580"/>
      <c r="F29" s="574"/>
      <c r="G29" s="574"/>
      <c r="H29" s="573"/>
      <c r="I29" s="573"/>
      <c r="J29" s="573"/>
      <c r="K29" s="573"/>
      <c r="L29" s="573"/>
      <c r="M29" s="573"/>
      <c r="N29" s="573"/>
      <c r="O29" s="573"/>
      <c r="P29" s="573"/>
      <c r="Q29" s="573"/>
      <c r="R29" s="573"/>
      <c r="S29" s="573"/>
      <c r="T29" s="573"/>
      <c r="U29" s="573"/>
      <c r="V29" s="573"/>
      <c r="W29" s="573"/>
      <c r="X29" s="573"/>
      <c r="Y29" s="573"/>
      <c r="Z29" s="573"/>
      <c r="AA29" s="573"/>
      <c r="AB29" s="573"/>
      <c r="AC29" s="573"/>
      <c r="AD29" s="573"/>
      <c r="AE29" s="573"/>
      <c r="AF29" s="573"/>
      <c r="AG29" s="573"/>
      <c r="AH29" s="573"/>
      <c r="AI29" s="573"/>
      <c r="AJ29" s="573"/>
      <c r="AK29" s="573"/>
      <c r="AL29" s="573"/>
      <c r="AM29" s="573"/>
      <c r="AN29" s="573"/>
      <c r="AO29" s="573"/>
      <c r="AP29" s="573"/>
      <c r="AQ29" s="573"/>
      <c r="AR29" s="573"/>
      <c r="AS29" s="573"/>
      <c r="AT29" s="573"/>
      <c r="AU29" s="573"/>
      <c r="AV29" s="573"/>
      <c r="AW29" s="573"/>
      <c r="AX29" s="573"/>
      <c r="AY29" s="573"/>
      <c r="AZ29" s="573"/>
      <c r="BA29" s="573"/>
      <c r="BB29" s="573"/>
      <c r="BC29" s="573"/>
      <c r="BD29" s="573"/>
      <c r="BE29" s="573"/>
      <c r="BF29" s="573"/>
      <c r="BG29" s="573"/>
      <c r="BH29" s="573"/>
      <c r="BI29" s="573"/>
      <c r="BJ29" s="573"/>
      <c r="BK29" s="573"/>
      <c r="BL29" s="573"/>
      <c r="BM29" s="573"/>
      <c r="BN29" s="573"/>
      <c r="BO29" s="573"/>
      <c r="BP29" s="573"/>
      <c r="BQ29" s="573"/>
      <c r="BR29" s="573"/>
      <c r="BS29" s="573"/>
      <c r="BT29" s="573"/>
      <c r="BU29" s="573"/>
      <c r="BV29" s="573"/>
      <c r="BW29" s="573"/>
      <c r="BX29" s="573"/>
      <c r="BY29" s="573"/>
      <c r="BZ29" s="573"/>
      <c r="CA29" s="573"/>
      <c r="CB29" s="573"/>
      <c r="CC29" s="573"/>
      <c r="CD29" s="573"/>
      <c r="CE29" s="573"/>
      <c r="CF29" s="573"/>
      <c r="CG29" s="573"/>
      <c r="CH29" s="573"/>
      <c r="CI29" s="573"/>
      <c r="CJ29" s="573"/>
      <c r="CK29" s="573"/>
      <c r="CL29" s="573"/>
      <c r="CM29" s="573"/>
      <c r="CN29" s="573"/>
      <c r="CO29" s="573"/>
      <c r="CP29" s="573"/>
      <c r="CQ29" s="573"/>
      <c r="CR29" s="573"/>
      <c r="CS29" s="573"/>
      <c r="CT29" s="573"/>
      <c r="CU29" s="573"/>
      <c r="CV29" s="573"/>
      <c r="CW29" s="573"/>
      <c r="CX29" s="573"/>
      <c r="CY29" s="573"/>
      <c r="CZ29" s="573"/>
      <c r="DA29" s="573"/>
      <c r="DB29" s="573"/>
      <c r="DC29" s="573"/>
      <c r="DD29" s="573"/>
      <c r="DE29" s="573"/>
      <c r="DF29" s="573"/>
      <c r="DG29" s="573"/>
      <c r="DH29" s="573"/>
      <c r="DI29" s="573"/>
      <c r="DJ29" s="573"/>
      <c r="DK29" s="573"/>
      <c r="DL29" s="573"/>
      <c r="DM29" s="573"/>
      <c r="DN29" s="573"/>
      <c r="DO29" s="573"/>
      <c r="DP29" s="573"/>
      <c r="DQ29" s="573"/>
      <c r="DR29" s="573"/>
      <c r="DS29" s="573"/>
      <c r="DT29" s="573"/>
      <c r="DU29" s="573"/>
      <c r="DV29" s="573"/>
      <c r="DW29" s="573"/>
      <c r="DX29" s="573"/>
      <c r="DY29" s="573"/>
      <c r="DZ29" s="573"/>
      <c r="EA29" s="573"/>
      <c r="EB29" s="573"/>
      <c r="EC29" s="573"/>
      <c r="ED29" s="573"/>
      <c r="EE29" s="573"/>
      <c r="EF29" s="573"/>
      <c r="EG29" s="573"/>
      <c r="EH29" s="573"/>
      <c r="EI29" s="573"/>
      <c r="EJ29" s="573"/>
      <c r="EK29" s="573"/>
      <c r="EL29" s="573"/>
      <c r="EM29" s="573"/>
      <c r="EN29" s="573"/>
      <c r="EO29" s="573"/>
      <c r="EP29" s="573"/>
      <c r="EQ29" s="573"/>
      <c r="ER29" s="573"/>
      <c r="ES29" s="573"/>
      <c r="ET29" s="573"/>
      <c r="EU29" s="573"/>
      <c r="EV29" s="573"/>
      <c r="EW29" s="573"/>
      <c r="EX29" s="573"/>
      <c r="EY29" s="573"/>
      <c r="EZ29" s="573"/>
      <c r="FA29" s="573"/>
      <c r="FB29" s="573"/>
      <c r="FC29" s="573"/>
      <c r="FD29" s="573"/>
      <c r="FE29" s="573"/>
      <c r="FF29" s="573"/>
      <c r="FG29" s="573"/>
      <c r="FH29" s="573"/>
      <c r="FI29" s="573"/>
      <c r="FJ29" s="573"/>
      <c r="FK29" s="573"/>
      <c r="FL29" s="573"/>
      <c r="FM29" s="573"/>
      <c r="FN29" s="573"/>
      <c r="FO29" s="573"/>
      <c r="FP29" s="573"/>
      <c r="FQ29" s="573"/>
      <c r="FR29" s="573"/>
      <c r="FS29" s="573"/>
      <c r="FT29" s="573"/>
      <c r="FU29" s="573"/>
      <c r="FV29" s="573"/>
      <c r="FW29" s="573"/>
      <c r="FX29" s="573"/>
      <c r="FY29" s="573"/>
      <c r="FZ29" s="573"/>
      <c r="GA29" s="573"/>
      <c r="GB29" s="573"/>
      <c r="GC29" s="573"/>
      <c r="GD29" s="573"/>
      <c r="GE29" s="573"/>
      <c r="GF29" s="573"/>
      <c r="GG29" s="573"/>
      <c r="GH29" s="573"/>
      <c r="GI29" s="573"/>
      <c r="GJ29" s="573"/>
      <c r="GK29" s="573"/>
      <c r="GL29" s="573"/>
      <c r="GM29" s="573"/>
      <c r="GN29" s="573"/>
      <c r="GO29" s="573"/>
      <c r="GP29" s="573"/>
      <c r="GQ29" s="573"/>
      <c r="GR29" s="573"/>
      <c r="GS29" s="573"/>
      <c r="GT29" s="573"/>
      <c r="GU29" s="573"/>
      <c r="GV29" s="573"/>
      <c r="GW29" s="573"/>
      <c r="GX29" s="573"/>
      <c r="GY29" s="573"/>
      <c r="GZ29" s="573"/>
      <c r="HA29" s="573"/>
      <c r="HB29" s="573"/>
      <c r="HC29" s="573"/>
      <c r="HD29" s="573"/>
      <c r="HE29" s="573"/>
      <c r="HF29" s="573"/>
      <c r="HG29" s="573"/>
      <c r="HH29" s="573"/>
      <c r="HI29" s="573"/>
      <c r="HJ29" s="573"/>
      <c r="HK29" s="573"/>
      <c r="HL29" s="573"/>
      <c r="HM29" s="573"/>
      <c r="HN29" s="573"/>
      <c r="HO29" s="573"/>
      <c r="HP29" s="573"/>
      <c r="HQ29" s="573"/>
      <c r="HR29" s="573"/>
      <c r="HS29" s="573"/>
      <c r="HT29" s="573"/>
      <c r="HU29" s="573"/>
      <c r="HV29" s="573"/>
      <c r="HW29" s="573"/>
      <c r="HX29" s="573"/>
      <c r="HY29" s="573"/>
      <c r="HZ29" s="573"/>
      <c r="IA29" s="573"/>
      <c r="IB29" s="573"/>
      <c r="IC29" s="573"/>
      <c r="ID29" s="573"/>
      <c r="IE29" s="573"/>
      <c r="IF29" s="573"/>
      <c r="IG29" s="573"/>
      <c r="IH29" s="573"/>
      <c r="II29" s="573"/>
      <c r="IJ29" s="573"/>
      <c r="IK29" s="573"/>
      <c r="IL29" s="573"/>
      <c r="IM29" s="573"/>
      <c r="IN29" s="573"/>
      <c r="IO29" s="573"/>
      <c r="IP29" s="573"/>
      <c r="IQ29" s="573"/>
      <c r="IR29" s="573"/>
      <c r="IS29" s="573"/>
      <c r="IT29" s="573"/>
      <c r="IU29" s="573"/>
      <c r="IV29" s="573"/>
      <c r="IW29" s="573"/>
    </row>
    <row r="30" customFormat="false" ht="15" hidden="false" customHeight="false" outlineLevel="0" collapsed="false">
      <c r="A30" s="558"/>
      <c r="B30" s="572"/>
      <c r="C30" s="581"/>
      <c r="D30" s="574"/>
      <c r="E30" s="580"/>
      <c r="F30" s="574"/>
      <c r="G30" s="574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73"/>
      <c r="S30" s="573"/>
      <c r="T30" s="573"/>
      <c r="U30" s="573"/>
      <c r="V30" s="573"/>
      <c r="W30" s="573"/>
      <c r="X30" s="573"/>
      <c r="Y30" s="573"/>
      <c r="Z30" s="573"/>
      <c r="AA30" s="573"/>
      <c r="AB30" s="573"/>
      <c r="AC30" s="573"/>
      <c r="AD30" s="573"/>
      <c r="AE30" s="573"/>
      <c r="AF30" s="573"/>
      <c r="AG30" s="573"/>
      <c r="AH30" s="573"/>
      <c r="AI30" s="573"/>
      <c r="AJ30" s="573"/>
      <c r="AK30" s="573"/>
      <c r="AL30" s="573"/>
      <c r="AM30" s="573"/>
      <c r="AN30" s="573"/>
      <c r="AO30" s="573"/>
      <c r="AP30" s="573"/>
      <c r="AQ30" s="573"/>
      <c r="AR30" s="573"/>
      <c r="AS30" s="573"/>
      <c r="AT30" s="573"/>
      <c r="AU30" s="573"/>
      <c r="AV30" s="573"/>
      <c r="AW30" s="573"/>
      <c r="AX30" s="573"/>
      <c r="AY30" s="573"/>
      <c r="AZ30" s="573"/>
      <c r="BA30" s="573"/>
      <c r="BB30" s="573"/>
      <c r="BC30" s="573"/>
      <c r="BD30" s="573"/>
      <c r="BE30" s="573"/>
      <c r="BF30" s="573"/>
      <c r="BG30" s="573"/>
      <c r="BH30" s="573"/>
      <c r="BI30" s="573"/>
      <c r="BJ30" s="573"/>
      <c r="BK30" s="573"/>
      <c r="BL30" s="573"/>
      <c r="BM30" s="573"/>
      <c r="BN30" s="573"/>
      <c r="BO30" s="573"/>
      <c r="BP30" s="573"/>
      <c r="BQ30" s="573"/>
      <c r="BR30" s="573"/>
      <c r="BS30" s="573"/>
      <c r="BT30" s="573"/>
      <c r="BU30" s="573"/>
      <c r="BV30" s="573"/>
      <c r="BW30" s="573"/>
      <c r="BX30" s="573"/>
      <c r="BY30" s="573"/>
      <c r="BZ30" s="573"/>
      <c r="CA30" s="573"/>
      <c r="CB30" s="573"/>
      <c r="CC30" s="573"/>
      <c r="CD30" s="573"/>
      <c r="CE30" s="573"/>
      <c r="CF30" s="573"/>
      <c r="CG30" s="573"/>
      <c r="CH30" s="573"/>
      <c r="CI30" s="573"/>
      <c r="CJ30" s="573"/>
      <c r="CK30" s="573"/>
      <c r="CL30" s="573"/>
      <c r="CM30" s="573"/>
      <c r="CN30" s="573"/>
      <c r="CO30" s="573"/>
      <c r="CP30" s="573"/>
      <c r="CQ30" s="573"/>
      <c r="CR30" s="573"/>
      <c r="CS30" s="573"/>
      <c r="CT30" s="573"/>
      <c r="CU30" s="573"/>
      <c r="CV30" s="573"/>
      <c r="CW30" s="573"/>
      <c r="CX30" s="573"/>
      <c r="CY30" s="573"/>
      <c r="CZ30" s="573"/>
      <c r="DA30" s="573"/>
      <c r="DB30" s="573"/>
      <c r="DC30" s="573"/>
      <c r="DD30" s="573"/>
      <c r="DE30" s="573"/>
      <c r="DF30" s="573"/>
      <c r="DG30" s="573"/>
      <c r="DH30" s="573"/>
      <c r="DI30" s="573"/>
      <c r="DJ30" s="573"/>
      <c r="DK30" s="573"/>
      <c r="DL30" s="573"/>
      <c r="DM30" s="573"/>
      <c r="DN30" s="573"/>
      <c r="DO30" s="573"/>
      <c r="DP30" s="573"/>
      <c r="DQ30" s="573"/>
      <c r="DR30" s="573"/>
      <c r="DS30" s="573"/>
      <c r="DT30" s="573"/>
      <c r="DU30" s="573"/>
      <c r="DV30" s="573"/>
      <c r="DW30" s="573"/>
      <c r="DX30" s="573"/>
      <c r="DY30" s="573"/>
      <c r="DZ30" s="573"/>
      <c r="EA30" s="573"/>
      <c r="EB30" s="573"/>
      <c r="EC30" s="573"/>
      <c r="ED30" s="573"/>
      <c r="EE30" s="573"/>
      <c r="EF30" s="573"/>
      <c r="EG30" s="573"/>
      <c r="EH30" s="573"/>
      <c r="EI30" s="573"/>
      <c r="EJ30" s="573"/>
      <c r="EK30" s="573"/>
      <c r="EL30" s="573"/>
      <c r="EM30" s="573"/>
      <c r="EN30" s="573"/>
      <c r="EO30" s="573"/>
      <c r="EP30" s="573"/>
      <c r="EQ30" s="573"/>
      <c r="ER30" s="573"/>
      <c r="ES30" s="573"/>
      <c r="ET30" s="573"/>
      <c r="EU30" s="573"/>
      <c r="EV30" s="573"/>
      <c r="EW30" s="573"/>
      <c r="EX30" s="573"/>
      <c r="EY30" s="573"/>
      <c r="EZ30" s="573"/>
      <c r="FA30" s="573"/>
      <c r="FB30" s="573"/>
      <c r="FC30" s="573"/>
      <c r="FD30" s="573"/>
      <c r="FE30" s="573"/>
      <c r="FF30" s="573"/>
      <c r="FG30" s="573"/>
      <c r="FH30" s="573"/>
      <c r="FI30" s="573"/>
      <c r="FJ30" s="573"/>
      <c r="FK30" s="573"/>
      <c r="FL30" s="573"/>
      <c r="FM30" s="573"/>
      <c r="FN30" s="573"/>
      <c r="FO30" s="573"/>
      <c r="FP30" s="573"/>
      <c r="FQ30" s="573"/>
      <c r="FR30" s="573"/>
      <c r="FS30" s="573"/>
      <c r="FT30" s="573"/>
      <c r="FU30" s="573"/>
      <c r="FV30" s="573"/>
      <c r="FW30" s="573"/>
      <c r="FX30" s="573"/>
      <c r="FY30" s="573"/>
      <c r="FZ30" s="573"/>
      <c r="GA30" s="573"/>
      <c r="GB30" s="573"/>
      <c r="GC30" s="573"/>
      <c r="GD30" s="573"/>
      <c r="GE30" s="573"/>
      <c r="GF30" s="573"/>
      <c r="GG30" s="573"/>
      <c r="GH30" s="573"/>
      <c r="GI30" s="573"/>
      <c r="GJ30" s="573"/>
      <c r="GK30" s="573"/>
      <c r="GL30" s="573"/>
      <c r="GM30" s="573"/>
      <c r="GN30" s="573"/>
      <c r="GO30" s="573"/>
      <c r="GP30" s="573"/>
      <c r="GQ30" s="573"/>
      <c r="GR30" s="573"/>
      <c r="GS30" s="573"/>
      <c r="GT30" s="573"/>
      <c r="GU30" s="573"/>
      <c r="GV30" s="573"/>
      <c r="GW30" s="573"/>
      <c r="GX30" s="573"/>
      <c r="GY30" s="573"/>
      <c r="GZ30" s="573"/>
      <c r="HA30" s="573"/>
      <c r="HB30" s="573"/>
      <c r="HC30" s="573"/>
      <c r="HD30" s="573"/>
      <c r="HE30" s="573"/>
      <c r="HF30" s="573"/>
      <c r="HG30" s="573"/>
      <c r="HH30" s="573"/>
      <c r="HI30" s="573"/>
      <c r="HJ30" s="573"/>
      <c r="HK30" s="573"/>
      <c r="HL30" s="573"/>
      <c r="HM30" s="573"/>
      <c r="HN30" s="573"/>
      <c r="HO30" s="573"/>
      <c r="HP30" s="573"/>
      <c r="HQ30" s="573"/>
      <c r="HR30" s="573"/>
      <c r="HS30" s="573"/>
      <c r="HT30" s="573"/>
      <c r="HU30" s="573"/>
      <c r="HV30" s="573"/>
      <c r="HW30" s="573"/>
      <c r="HX30" s="573"/>
      <c r="HY30" s="573"/>
      <c r="HZ30" s="573"/>
      <c r="IA30" s="573"/>
      <c r="IB30" s="573"/>
      <c r="IC30" s="573"/>
      <c r="ID30" s="573"/>
      <c r="IE30" s="573"/>
      <c r="IF30" s="573"/>
      <c r="IG30" s="573"/>
      <c r="IH30" s="573"/>
      <c r="II30" s="573"/>
      <c r="IJ30" s="573"/>
      <c r="IK30" s="573"/>
      <c r="IL30" s="573"/>
      <c r="IM30" s="573"/>
      <c r="IN30" s="573"/>
      <c r="IO30" s="573"/>
      <c r="IP30" s="573"/>
      <c r="IQ30" s="573"/>
      <c r="IR30" s="573"/>
      <c r="IS30" s="573"/>
      <c r="IT30" s="573"/>
      <c r="IU30" s="573"/>
      <c r="IV30" s="573"/>
      <c r="IW30" s="573"/>
    </row>
    <row r="31" customFormat="false" ht="15" hidden="false" customHeight="false" outlineLevel="0" collapsed="false">
      <c r="A31" s="582" t="s">
        <v>422</v>
      </c>
      <c r="B31" s="572"/>
      <c r="C31" s="581"/>
      <c r="D31" s="574"/>
      <c r="E31" s="580"/>
      <c r="F31" s="574"/>
      <c r="G31" s="574"/>
      <c r="H31" s="573"/>
      <c r="I31" s="573"/>
      <c r="J31" s="573"/>
      <c r="K31" s="573"/>
      <c r="L31" s="573"/>
      <c r="M31" s="573"/>
      <c r="N31" s="573"/>
      <c r="O31" s="573"/>
      <c r="P31" s="573"/>
      <c r="Q31" s="573"/>
      <c r="R31" s="573"/>
      <c r="S31" s="573"/>
      <c r="T31" s="573"/>
      <c r="U31" s="573"/>
      <c r="V31" s="573"/>
      <c r="W31" s="573"/>
      <c r="X31" s="573"/>
      <c r="Y31" s="573"/>
      <c r="Z31" s="573"/>
      <c r="AA31" s="573"/>
      <c r="AB31" s="573"/>
      <c r="AC31" s="573"/>
      <c r="AD31" s="573"/>
      <c r="AE31" s="573"/>
      <c r="AF31" s="573"/>
      <c r="AG31" s="573"/>
      <c r="AH31" s="573"/>
      <c r="AI31" s="573"/>
      <c r="AJ31" s="573"/>
      <c r="AK31" s="573"/>
      <c r="AL31" s="573"/>
      <c r="AM31" s="573"/>
      <c r="AN31" s="573"/>
      <c r="AO31" s="573"/>
      <c r="AP31" s="573"/>
      <c r="AQ31" s="573"/>
      <c r="AR31" s="573"/>
      <c r="AS31" s="573"/>
      <c r="AT31" s="573"/>
      <c r="AU31" s="573"/>
      <c r="AV31" s="573"/>
      <c r="AW31" s="573"/>
      <c r="AX31" s="573"/>
      <c r="AY31" s="573"/>
      <c r="AZ31" s="573"/>
      <c r="BA31" s="573"/>
      <c r="BB31" s="573"/>
      <c r="BC31" s="573"/>
      <c r="BD31" s="573"/>
      <c r="BE31" s="573"/>
      <c r="BF31" s="573"/>
      <c r="BG31" s="573"/>
      <c r="BH31" s="573"/>
      <c r="BI31" s="573"/>
      <c r="BJ31" s="573"/>
      <c r="BK31" s="573"/>
      <c r="BL31" s="573"/>
      <c r="BM31" s="573"/>
      <c r="BN31" s="573"/>
      <c r="BO31" s="573"/>
      <c r="BP31" s="573"/>
      <c r="BQ31" s="573"/>
      <c r="BR31" s="573"/>
      <c r="BS31" s="573"/>
      <c r="BT31" s="573"/>
      <c r="BU31" s="573"/>
      <c r="BV31" s="573"/>
      <c r="BW31" s="573"/>
      <c r="BX31" s="573"/>
      <c r="BY31" s="573"/>
      <c r="BZ31" s="573"/>
      <c r="CA31" s="573"/>
      <c r="CB31" s="573"/>
      <c r="CC31" s="573"/>
      <c r="CD31" s="573"/>
      <c r="CE31" s="573"/>
      <c r="CF31" s="573"/>
      <c r="CG31" s="573"/>
      <c r="CH31" s="573"/>
      <c r="CI31" s="573"/>
      <c r="CJ31" s="573"/>
      <c r="CK31" s="573"/>
      <c r="CL31" s="573"/>
      <c r="CM31" s="573"/>
      <c r="CN31" s="573"/>
      <c r="CO31" s="573"/>
      <c r="CP31" s="573"/>
      <c r="CQ31" s="573"/>
      <c r="CR31" s="573"/>
      <c r="CS31" s="573"/>
      <c r="CT31" s="573"/>
      <c r="CU31" s="573"/>
      <c r="CV31" s="573"/>
      <c r="CW31" s="573"/>
      <c r="CX31" s="573"/>
      <c r="CY31" s="573"/>
      <c r="CZ31" s="573"/>
      <c r="DA31" s="573"/>
      <c r="DB31" s="573"/>
      <c r="DC31" s="573"/>
      <c r="DD31" s="573"/>
      <c r="DE31" s="573"/>
      <c r="DF31" s="573"/>
      <c r="DG31" s="573"/>
      <c r="DH31" s="573"/>
      <c r="DI31" s="573"/>
      <c r="DJ31" s="573"/>
      <c r="DK31" s="573"/>
      <c r="DL31" s="573"/>
      <c r="DM31" s="573"/>
      <c r="DN31" s="573"/>
      <c r="DO31" s="573"/>
      <c r="DP31" s="573"/>
      <c r="DQ31" s="573"/>
      <c r="DR31" s="573"/>
      <c r="DS31" s="573"/>
      <c r="DT31" s="573"/>
      <c r="DU31" s="573"/>
      <c r="DV31" s="573"/>
      <c r="DW31" s="573"/>
      <c r="DX31" s="573"/>
      <c r="DY31" s="573"/>
      <c r="DZ31" s="573"/>
      <c r="EA31" s="573"/>
      <c r="EB31" s="573"/>
      <c r="EC31" s="573"/>
      <c r="ED31" s="573"/>
      <c r="EE31" s="573"/>
      <c r="EF31" s="573"/>
      <c r="EG31" s="573"/>
      <c r="EH31" s="573"/>
      <c r="EI31" s="573"/>
      <c r="EJ31" s="573"/>
      <c r="EK31" s="573"/>
      <c r="EL31" s="573"/>
      <c r="EM31" s="573"/>
      <c r="EN31" s="573"/>
      <c r="EO31" s="573"/>
      <c r="EP31" s="573"/>
      <c r="EQ31" s="573"/>
      <c r="ER31" s="573"/>
      <c r="ES31" s="573"/>
      <c r="ET31" s="573"/>
      <c r="EU31" s="573"/>
      <c r="EV31" s="573"/>
      <c r="EW31" s="573"/>
      <c r="EX31" s="573"/>
      <c r="EY31" s="573"/>
      <c r="EZ31" s="573"/>
      <c r="FA31" s="573"/>
      <c r="FB31" s="573"/>
      <c r="FC31" s="573"/>
      <c r="FD31" s="573"/>
      <c r="FE31" s="573"/>
      <c r="FF31" s="573"/>
      <c r="FG31" s="573"/>
      <c r="FH31" s="573"/>
      <c r="FI31" s="573"/>
      <c r="FJ31" s="573"/>
      <c r="FK31" s="573"/>
      <c r="FL31" s="573"/>
      <c r="FM31" s="573"/>
      <c r="FN31" s="573"/>
      <c r="FO31" s="573"/>
      <c r="FP31" s="573"/>
      <c r="FQ31" s="573"/>
      <c r="FR31" s="573"/>
      <c r="FS31" s="573"/>
      <c r="FT31" s="573"/>
      <c r="FU31" s="573"/>
      <c r="FV31" s="573"/>
      <c r="FW31" s="573"/>
      <c r="FX31" s="573"/>
      <c r="FY31" s="573"/>
      <c r="FZ31" s="573"/>
      <c r="GA31" s="573"/>
      <c r="GB31" s="573"/>
      <c r="GC31" s="573"/>
      <c r="GD31" s="573"/>
      <c r="GE31" s="573"/>
      <c r="GF31" s="573"/>
      <c r="GG31" s="573"/>
      <c r="GH31" s="573"/>
      <c r="GI31" s="573"/>
      <c r="GJ31" s="573"/>
      <c r="GK31" s="573"/>
      <c r="GL31" s="573"/>
      <c r="GM31" s="573"/>
      <c r="GN31" s="573"/>
      <c r="GO31" s="573"/>
      <c r="GP31" s="573"/>
      <c r="GQ31" s="573"/>
      <c r="GR31" s="573"/>
      <c r="GS31" s="573"/>
      <c r="GT31" s="573"/>
      <c r="GU31" s="573"/>
      <c r="GV31" s="573"/>
      <c r="GW31" s="573"/>
      <c r="GX31" s="573"/>
      <c r="GY31" s="573"/>
      <c r="GZ31" s="573"/>
      <c r="HA31" s="573"/>
      <c r="HB31" s="573"/>
      <c r="HC31" s="573"/>
      <c r="HD31" s="573"/>
      <c r="HE31" s="573"/>
      <c r="HF31" s="573"/>
      <c r="HG31" s="573"/>
      <c r="HH31" s="573"/>
      <c r="HI31" s="573"/>
      <c r="HJ31" s="573"/>
      <c r="HK31" s="573"/>
      <c r="HL31" s="573"/>
      <c r="HM31" s="573"/>
      <c r="HN31" s="573"/>
      <c r="HO31" s="573"/>
      <c r="HP31" s="573"/>
      <c r="HQ31" s="573"/>
      <c r="HR31" s="573"/>
      <c r="HS31" s="573"/>
      <c r="HT31" s="573"/>
      <c r="HU31" s="573"/>
      <c r="HV31" s="573"/>
      <c r="HW31" s="573"/>
      <c r="HX31" s="573"/>
      <c r="HY31" s="573"/>
      <c r="HZ31" s="573"/>
      <c r="IA31" s="573"/>
      <c r="IB31" s="573"/>
      <c r="IC31" s="573"/>
      <c r="ID31" s="573"/>
      <c r="IE31" s="573"/>
      <c r="IF31" s="573"/>
      <c r="IG31" s="573"/>
      <c r="IH31" s="573"/>
      <c r="II31" s="573"/>
      <c r="IJ31" s="573"/>
      <c r="IK31" s="573"/>
      <c r="IL31" s="573"/>
      <c r="IM31" s="573"/>
      <c r="IN31" s="573"/>
      <c r="IO31" s="573"/>
      <c r="IP31" s="573"/>
      <c r="IQ31" s="573"/>
      <c r="IR31" s="573"/>
      <c r="IS31" s="573"/>
      <c r="IT31" s="573"/>
      <c r="IU31" s="573"/>
      <c r="IV31" s="573"/>
      <c r="IW31" s="573"/>
    </row>
    <row r="32" customFormat="false" ht="15" hidden="false" customHeight="false" outlineLevel="0" collapsed="false">
      <c r="A32" s="558" t="s">
        <v>423</v>
      </c>
      <c r="B32" s="572"/>
      <c r="C32" s="581"/>
      <c r="D32" s="574"/>
      <c r="E32" s="580"/>
      <c r="F32" s="574"/>
      <c r="G32" s="574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73"/>
      <c r="S32" s="573"/>
      <c r="T32" s="573"/>
      <c r="U32" s="573"/>
      <c r="V32" s="573"/>
      <c r="W32" s="573"/>
      <c r="X32" s="573"/>
      <c r="Y32" s="573"/>
      <c r="Z32" s="573"/>
      <c r="AA32" s="573"/>
      <c r="AB32" s="573"/>
      <c r="AC32" s="573"/>
      <c r="AD32" s="573"/>
      <c r="AE32" s="573"/>
      <c r="AF32" s="573"/>
      <c r="AG32" s="573"/>
      <c r="AH32" s="573"/>
      <c r="AI32" s="573"/>
      <c r="AJ32" s="573"/>
      <c r="AK32" s="573"/>
      <c r="AL32" s="573"/>
      <c r="AM32" s="573"/>
      <c r="AN32" s="573"/>
      <c r="AO32" s="573"/>
      <c r="AP32" s="573"/>
      <c r="AQ32" s="573"/>
      <c r="AR32" s="573"/>
      <c r="AS32" s="573"/>
      <c r="AT32" s="573"/>
      <c r="AU32" s="573"/>
      <c r="AV32" s="573"/>
      <c r="AW32" s="573"/>
      <c r="AX32" s="573"/>
      <c r="AY32" s="573"/>
      <c r="AZ32" s="573"/>
      <c r="BA32" s="573"/>
      <c r="BB32" s="573"/>
      <c r="BC32" s="573"/>
      <c r="BD32" s="573"/>
      <c r="BE32" s="573"/>
      <c r="BF32" s="573"/>
      <c r="BG32" s="573"/>
      <c r="BH32" s="573"/>
      <c r="BI32" s="573"/>
      <c r="BJ32" s="573"/>
      <c r="BK32" s="573"/>
      <c r="BL32" s="573"/>
      <c r="BM32" s="573"/>
      <c r="BN32" s="573"/>
      <c r="BO32" s="573"/>
      <c r="BP32" s="573"/>
      <c r="BQ32" s="573"/>
      <c r="BR32" s="573"/>
      <c r="BS32" s="573"/>
      <c r="BT32" s="573"/>
      <c r="BU32" s="573"/>
      <c r="BV32" s="573"/>
      <c r="BW32" s="573"/>
      <c r="BX32" s="573"/>
      <c r="BY32" s="573"/>
      <c r="BZ32" s="573"/>
      <c r="CA32" s="573"/>
      <c r="CB32" s="573"/>
      <c r="CC32" s="573"/>
      <c r="CD32" s="573"/>
      <c r="CE32" s="573"/>
      <c r="CF32" s="573"/>
      <c r="CG32" s="573"/>
      <c r="CH32" s="573"/>
      <c r="CI32" s="573"/>
      <c r="CJ32" s="573"/>
      <c r="CK32" s="573"/>
      <c r="CL32" s="573"/>
      <c r="CM32" s="573"/>
      <c r="CN32" s="573"/>
      <c r="CO32" s="573"/>
      <c r="CP32" s="573"/>
      <c r="CQ32" s="573"/>
      <c r="CR32" s="573"/>
      <c r="CS32" s="573"/>
      <c r="CT32" s="573"/>
      <c r="CU32" s="573"/>
      <c r="CV32" s="573"/>
      <c r="CW32" s="573"/>
      <c r="CX32" s="573"/>
      <c r="CY32" s="573"/>
      <c r="CZ32" s="573"/>
      <c r="DA32" s="573"/>
      <c r="DB32" s="573"/>
      <c r="DC32" s="573"/>
      <c r="DD32" s="573"/>
      <c r="DE32" s="573"/>
      <c r="DF32" s="573"/>
      <c r="DG32" s="573"/>
      <c r="DH32" s="573"/>
      <c r="DI32" s="573"/>
      <c r="DJ32" s="573"/>
      <c r="DK32" s="573"/>
      <c r="DL32" s="573"/>
      <c r="DM32" s="573"/>
      <c r="DN32" s="573"/>
      <c r="DO32" s="573"/>
      <c r="DP32" s="573"/>
      <c r="DQ32" s="573"/>
      <c r="DR32" s="573"/>
      <c r="DS32" s="573"/>
      <c r="DT32" s="573"/>
      <c r="DU32" s="573"/>
      <c r="DV32" s="573"/>
      <c r="DW32" s="573"/>
      <c r="DX32" s="573"/>
      <c r="DY32" s="573"/>
      <c r="DZ32" s="573"/>
      <c r="EA32" s="573"/>
      <c r="EB32" s="573"/>
      <c r="EC32" s="573"/>
      <c r="ED32" s="573"/>
      <c r="EE32" s="573"/>
      <c r="EF32" s="573"/>
      <c r="EG32" s="573"/>
      <c r="EH32" s="573"/>
      <c r="EI32" s="573"/>
      <c r="EJ32" s="573"/>
      <c r="EK32" s="573"/>
      <c r="EL32" s="573"/>
      <c r="EM32" s="573"/>
      <c r="EN32" s="573"/>
      <c r="EO32" s="573"/>
      <c r="EP32" s="573"/>
      <c r="EQ32" s="573"/>
      <c r="ER32" s="573"/>
      <c r="ES32" s="573"/>
      <c r="ET32" s="573"/>
      <c r="EU32" s="573"/>
      <c r="EV32" s="573"/>
      <c r="EW32" s="573"/>
      <c r="EX32" s="573"/>
      <c r="EY32" s="573"/>
      <c r="EZ32" s="573"/>
      <c r="FA32" s="573"/>
      <c r="FB32" s="573"/>
      <c r="FC32" s="573"/>
      <c r="FD32" s="573"/>
      <c r="FE32" s="573"/>
      <c r="FF32" s="573"/>
      <c r="FG32" s="573"/>
      <c r="FH32" s="573"/>
      <c r="FI32" s="573"/>
      <c r="FJ32" s="573"/>
      <c r="FK32" s="573"/>
      <c r="FL32" s="573"/>
      <c r="FM32" s="573"/>
      <c r="FN32" s="573"/>
      <c r="FO32" s="573"/>
      <c r="FP32" s="573"/>
      <c r="FQ32" s="573"/>
      <c r="FR32" s="573"/>
      <c r="FS32" s="573"/>
      <c r="FT32" s="573"/>
      <c r="FU32" s="573"/>
      <c r="FV32" s="573"/>
      <c r="FW32" s="573"/>
      <c r="FX32" s="573"/>
      <c r="FY32" s="573"/>
      <c r="FZ32" s="573"/>
      <c r="GA32" s="573"/>
      <c r="GB32" s="573"/>
      <c r="GC32" s="573"/>
      <c r="GD32" s="573"/>
      <c r="GE32" s="573"/>
      <c r="GF32" s="573"/>
      <c r="GG32" s="573"/>
      <c r="GH32" s="573"/>
      <c r="GI32" s="573"/>
      <c r="GJ32" s="573"/>
      <c r="GK32" s="573"/>
      <c r="GL32" s="573"/>
      <c r="GM32" s="573"/>
      <c r="GN32" s="573"/>
      <c r="GO32" s="573"/>
      <c r="GP32" s="573"/>
      <c r="GQ32" s="573"/>
      <c r="GR32" s="573"/>
      <c r="GS32" s="573"/>
      <c r="GT32" s="573"/>
      <c r="GU32" s="573"/>
      <c r="GV32" s="573"/>
      <c r="GW32" s="573"/>
      <c r="GX32" s="573"/>
      <c r="GY32" s="573"/>
      <c r="GZ32" s="573"/>
      <c r="HA32" s="573"/>
      <c r="HB32" s="573"/>
      <c r="HC32" s="573"/>
      <c r="HD32" s="573"/>
      <c r="HE32" s="573"/>
      <c r="HF32" s="573"/>
      <c r="HG32" s="573"/>
      <c r="HH32" s="573"/>
      <c r="HI32" s="573"/>
      <c r="HJ32" s="573"/>
      <c r="HK32" s="573"/>
      <c r="HL32" s="573"/>
      <c r="HM32" s="573"/>
      <c r="HN32" s="573"/>
      <c r="HO32" s="573"/>
      <c r="HP32" s="573"/>
      <c r="HQ32" s="573"/>
      <c r="HR32" s="573"/>
      <c r="HS32" s="573"/>
      <c r="HT32" s="573"/>
      <c r="HU32" s="573"/>
      <c r="HV32" s="573"/>
      <c r="HW32" s="573"/>
      <c r="HX32" s="573"/>
      <c r="HY32" s="573"/>
      <c r="HZ32" s="573"/>
      <c r="IA32" s="573"/>
      <c r="IB32" s="573"/>
      <c r="IC32" s="573"/>
      <c r="ID32" s="573"/>
      <c r="IE32" s="573"/>
      <c r="IF32" s="573"/>
      <c r="IG32" s="573"/>
      <c r="IH32" s="573"/>
      <c r="II32" s="573"/>
      <c r="IJ32" s="573"/>
      <c r="IK32" s="573"/>
      <c r="IL32" s="573"/>
      <c r="IM32" s="573"/>
      <c r="IN32" s="573"/>
      <c r="IO32" s="573"/>
      <c r="IP32" s="573"/>
      <c r="IQ32" s="573"/>
      <c r="IR32" s="573"/>
      <c r="IS32" s="573"/>
      <c r="IT32" s="573"/>
      <c r="IU32" s="573"/>
      <c r="IV32" s="573"/>
      <c r="IW32" s="573"/>
    </row>
    <row r="33" customFormat="false" ht="15" hidden="false" customHeight="false" outlineLevel="0" collapsed="false">
      <c r="A33" s="558" t="s">
        <v>424</v>
      </c>
      <c r="B33" s="572"/>
      <c r="C33" s="581"/>
      <c r="D33" s="574"/>
      <c r="E33" s="580"/>
      <c r="F33" s="574"/>
      <c r="G33" s="574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73"/>
      <c r="S33" s="573"/>
      <c r="T33" s="573"/>
      <c r="U33" s="573"/>
      <c r="V33" s="573"/>
      <c r="W33" s="573"/>
      <c r="X33" s="573"/>
      <c r="Y33" s="573"/>
      <c r="Z33" s="573"/>
      <c r="AA33" s="573"/>
      <c r="AB33" s="573"/>
      <c r="AC33" s="573"/>
      <c r="AD33" s="573"/>
      <c r="AE33" s="573"/>
      <c r="AF33" s="573"/>
      <c r="AG33" s="573"/>
      <c r="AH33" s="573"/>
      <c r="AI33" s="573"/>
      <c r="AJ33" s="573"/>
      <c r="AK33" s="573"/>
      <c r="AL33" s="573"/>
      <c r="AM33" s="573"/>
      <c r="AN33" s="573"/>
      <c r="AO33" s="573"/>
      <c r="AP33" s="573"/>
      <c r="AQ33" s="573"/>
      <c r="AR33" s="573"/>
      <c r="AS33" s="573"/>
      <c r="AT33" s="573"/>
      <c r="AU33" s="573"/>
      <c r="AV33" s="573"/>
      <c r="AW33" s="573"/>
      <c r="AX33" s="573"/>
      <c r="AY33" s="573"/>
      <c r="AZ33" s="573"/>
      <c r="BA33" s="573"/>
      <c r="BB33" s="573"/>
      <c r="BC33" s="573"/>
      <c r="BD33" s="573"/>
      <c r="BE33" s="573"/>
      <c r="BF33" s="573"/>
      <c r="BG33" s="573"/>
      <c r="BH33" s="573"/>
      <c r="BI33" s="573"/>
      <c r="BJ33" s="573"/>
      <c r="BK33" s="573"/>
      <c r="BL33" s="573"/>
      <c r="BM33" s="573"/>
      <c r="BN33" s="573"/>
      <c r="BO33" s="573"/>
      <c r="BP33" s="573"/>
      <c r="BQ33" s="573"/>
      <c r="BR33" s="573"/>
      <c r="BS33" s="573"/>
      <c r="BT33" s="573"/>
      <c r="BU33" s="573"/>
      <c r="BV33" s="573"/>
      <c r="BW33" s="573"/>
      <c r="BX33" s="573"/>
      <c r="BY33" s="573"/>
      <c r="BZ33" s="573"/>
      <c r="CA33" s="573"/>
      <c r="CB33" s="573"/>
      <c r="CC33" s="573"/>
      <c r="CD33" s="573"/>
      <c r="CE33" s="573"/>
      <c r="CF33" s="573"/>
      <c r="CG33" s="573"/>
      <c r="CH33" s="573"/>
      <c r="CI33" s="573"/>
      <c r="CJ33" s="573"/>
      <c r="CK33" s="573"/>
      <c r="CL33" s="573"/>
      <c r="CM33" s="573"/>
      <c r="CN33" s="573"/>
      <c r="CO33" s="573"/>
      <c r="CP33" s="573"/>
      <c r="CQ33" s="573"/>
      <c r="CR33" s="573"/>
      <c r="CS33" s="573"/>
      <c r="CT33" s="573"/>
      <c r="CU33" s="573"/>
      <c r="CV33" s="573"/>
      <c r="CW33" s="573"/>
      <c r="CX33" s="573"/>
      <c r="CY33" s="573"/>
      <c r="CZ33" s="573"/>
      <c r="DA33" s="573"/>
      <c r="DB33" s="573"/>
      <c r="DC33" s="573"/>
      <c r="DD33" s="573"/>
      <c r="DE33" s="573"/>
      <c r="DF33" s="573"/>
      <c r="DG33" s="573"/>
      <c r="DH33" s="573"/>
      <c r="DI33" s="573"/>
      <c r="DJ33" s="573"/>
      <c r="DK33" s="573"/>
      <c r="DL33" s="573"/>
      <c r="DM33" s="573"/>
      <c r="DN33" s="573"/>
      <c r="DO33" s="573"/>
      <c r="DP33" s="573"/>
      <c r="DQ33" s="573"/>
      <c r="DR33" s="573"/>
      <c r="DS33" s="573"/>
      <c r="DT33" s="573"/>
      <c r="DU33" s="573"/>
      <c r="DV33" s="573"/>
      <c r="DW33" s="573"/>
      <c r="DX33" s="573"/>
      <c r="DY33" s="573"/>
      <c r="DZ33" s="573"/>
      <c r="EA33" s="573"/>
      <c r="EB33" s="573"/>
      <c r="EC33" s="573"/>
      <c r="ED33" s="573"/>
      <c r="EE33" s="573"/>
      <c r="EF33" s="573"/>
      <c r="EG33" s="573"/>
      <c r="EH33" s="573"/>
      <c r="EI33" s="573"/>
      <c r="EJ33" s="573"/>
      <c r="EK33" s="573"/>
      <c r="EL33" s="573"/>
      <c r="EM33" s="573"/>
      <c r="EN33" s="573"/>
      <c r="EO33" s="573"/>
      <c r="EP33" s="573"/>
      <c r="EQ33" s="573"/>
      <c r="ER33" s="573"/>
      <c r="ES33" s="573"/>
      <c r="ET33" s="573"/>
      <c r="EU33" s="573"/>
      <c r="EV33" s="573"/>
      <c r="EW33" s="573"/>
      <c r="EX33" s="573"/>
      <c r="EY33" s="573"/>
      <c r="EZ33" s="573"/>
      <c r="FA33" s="573"/>
      <c r="FB33" s="573"/>
      <c r="FC33" s="573"/>
      <c r="FD33" s="573"/>
      <c r="FE33" s="573"/>
      <c r="FF33" s="573"/>
      <c r="FG33" s="573"/>
      <c r="FH33" s="573"/>
      <c r="FI33" s="573"/>
      <c r="FJ33" s="573"/>
      <c r="FK33" s="573"/>
      <c r="FL33" s="573"/>
      <c r="FM33" s="573"/>
      <c r="FN33" s="573"/>
      <c r="FO33" s="573"/>
      <c r="FP33" s="573"/>
      <c r="FQ33" s="573"/>
      <c r="FR33" s="573"/>
      <c r="FS33" s="573"/>
      <c r="FT33" s="573"/>
      <c r="FU33" s="573"/>
      <c r="FV33" s="573"/>
      <c r="FW33" s="573"/>
      <c r="FX33" s="573"/>
      <c r="FY33" s="573"/>
      <c r="FZ33" s="573"/>
      <c r="GA33" s="573"/>
      <c r="GB33" s="573"/>
      <c r="GC33" s="573"/>
      <c r="GD33" s="573"/>
      <c r="GE33" s="573"/>
      <c r="GF33" s="573"/>
      <c r="GG33" s="573"/>
      <c r="GH33" s="573"/>
      <c r="GI33" s="573"/>
      <c r="GJ33" s="573"/>
      <c r="GK33" s="573"/>
      <c r="GL33" s="573"/>
      <c r="GM33" s="573"/>
      <c r="GN33" s="573"/>
      <c r="GO33" s="573"/>
      <c r="GP33" s="573"/>
      <c r="GQ33" s="573"/>
      <c r="GR33" s="573"/>
      <c r="GS33" s="573"/>
      <c r="GT33" s="573"/>
      <c r="GU33" s="573"/>
      <c r="GV33" s="573"/>
      <c r="GW33" s="573"/>
      <c r="GX33" s="573"/>
      <c r="GY33" s="573"/>
      <c r="GZ33" s="573"/>
      <c r="HA33" s="573"/>
      <c r="HB33" s="573"/>
      <c r="HC33" s="573"/>
      <c r="HD33" s="573"/>
      <c r="HE33" s="573"/>
      <c r="HF33" s="573"/>
      <c r="HG33" s="573"/>
      <c r="HH33" s="573"/>
      <c r="HI33" s="573"/>
      <c r="HJ33" s="573"/>
      <c r="HK33" s="573"/>
      <c r="HL33" s="573"/>
      <c r="HM33" s="573"/>
      <c r="HN33" s="573"/>
      <c r="HO33" s="573"/>
      <c r="HP33" s="573"/>
      <c r="HQ33" s="573"/>
      <c r="HR33" s="573"/>
      <c r="HS33" s="573"/>
      <c r="HT33" s="573"/>
      <c r="HU33" s="573"/>
      <c r="HV33" s="573"/>
      <c r="HW33" s="573"/>
      <c r="HX33" s="573"/>
      <c r="HY33" s="573"/>
      <c r="HZ33" s="573"/>
      <c r="IA33" s="573"/>
      <c r="IB33" s="573"/>
      <c r="IC33" s="573"/>
      <c r="ID33" s="573"/>
      <c r="IE33" s="573"/>
      <c r="IF33" s="573"/>
      <c r="IG33" s="573"/>
      <c r="IH33" s="573"/>
      <c r="II33" s="573"/>
      <c r="IJ33" s="573"/>
      <c r="IK33" s="573"/>
      <c r="IL33" s="573"/>
      <c r="IM33" s="573"/>
      <c r="IN33" s="573"/>
      <c r="IO33" s="573"/>
      <c r="IP33" s="573"/>
      <c r="IQ33" s="573"/>
      <c r="IR33" s="573"/>
      <c r="IS33" s="573"/>
      <c r="IT33" s="573"/>
      <c r="IU33" s="573"/>
      <c r="IV33" s="573"/>
      <c r="IW33" s="573"/>
    </row>
    <row r="34" customFormat="false" ht="15" hidden="false" customHeight="false" outlineLevel="0" collapsed="false">
      <c r="A34" s="558" t="s">
        <v>425</v>
      </c>
      <c r="B34" s="572"/>
      <c r="C34" s="581"/>
      <c r="D34" s="574"/>
      <c r="E34" s="580"/>
      <c r="F34" s="574"/>
      <c r="G34" s="574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73"/>
      <c r="S34" s="573"/>
      <c r="T34" s="573"/>
      <c r="U34" s="573"/>
      <c r="V34" s="573"/>
      <c r="W34" s="573"/>
      <c r="X34" s="573"/>
      <c r="Y34" s="573"/>
      <c r="Z34" s="573"/>
      <c r="AA34" s="573"/>
      <c r="AB34" s="573"/>
      <c r="AC34" s="573"/>
      <c r="AD34" s="573"/>
      <c r="AE34" s="573"/>
      <c r="AF34" s="573"/>
      <c r="AG34" s="573"/>
      <c r="AH34" s="573"/>
      <c r="AI34" s="573"/>
      <c r="AJ34" s="573"/>
      <c r="AK34" s="573"/>
      <c r="AL34" s="573"/>
      <c r="AM34" s="573"/>
      <c r="AN34" s="573"/>
      <c r="AO34" s="573"/>
      <c r="AP34" s="573"/>
      <c r="AQ34" s="573"/>
      <c r="AR34" s="573"/>
      <c r="AS34" s="573"/>
      <c r="AT34" s="573"/>
      <c r="AU34" s="573"/>
      <c r="AV34" s="573"/>
      <c r="AW34" s="573"/>
      <c r="AX34" s="573"/>
      <c r="AY34" s="573"/>
      <c r="AZ34" s="573"/>
      <c r="BA34" s="573"/>
      <c r="BB34" s="573"/>
      <c r="BC34" s="573"/>
      <c r="BD34" s="573"/>
      <c r="BE34" s="573"/>
      <c r="BF34" s="573"/>
      <c r="BG34" s="573"/>
      <c r="BH34" s="573"/>
      <c r="BI34" s="573"/>
      <c r="BJ34" s="573"/>
      <c r="BK34" s="573"/>
      <c r="BL34" s="573"/>
      <c r="BM34" s="573"/>
      <c r="BN34" s="573"/>
      <c r="BO34" s="573"/>
      <c r="BP34" s="573"/>
      <c r="BQ34" s="573"/>
      <c r="BR34" s="573"/>
      <c r="BS34" s="573"/>
      <c r="BT34" s="573"/>
      <c r="BU34" s="573"/>
      <c r="BV34" s="573"/>
      <c r="BW34" s="573"/>
      <c r="BX34" s="573"/>
      <c r="BY34" s="573"/>
      <c r="BZ34" s="573"/>
      <c r="CA34" s="573"/>
      <c r="CB34" s="573"/>
      <c r="CC34" s="573"/>
      <c r="CD34" s="573"/>
      <c r="CE34" s="573"/>
      <c r="CF34" s="573"/>
      <c r="CG34" s="573"/>
      <c r="CH34" s="573"/>
      <c r="CI34" s="573"/>
      <c r="CJ34" s="573"/>
      <c r="CK34" s="573"/>
      <c r="CL34" s="573"/>
      <c r="CM34" s="573"/>
      <c r="CN34" s="573"/>
      <c r="CO34" s="573"/>
      <c r="CP34" s="573"/>
      <c r="CQ34" s="573"/>
      <c r="CR34" s="573"/>
      <c r="CS34" s="573"/>
      <c r="CT34" s="573"/>
      <c r="CU34" s="573"/>
      <c r="CV34" s="573"/>
      <c r="CW34" s="573"/>
      <c r="CX34" s="573"/>
      <c r="CY34" s="573"/>
      <c r="CZ34" s="573"/>
      <c r="DA34" s="573"/>
      <c r="DB34" s="573"/>
      <c r="DC34" s="573"/>
      <c r="DD34" s="573"/>
      <c r="DE34" s="573"/>
      <c r="DF34" s="573"/>
      <c r="DG34" s="573"/>
      <c r="DH34" s="573"/>
      <c r="DI34" s="573"/>
      <c r="DJ34" s="573"/>
      <c r="DK34" s="573"/>
      <c r="DL34" s="573"/>
      <c r="DM34" s="573"/>
      <c r="DN34" s="573"/>
      <c r="DO34" s="573"/>
      <c r="DP34" s="573"/>
      <c r="DQ34" s="573"/>
      <c r="DR34" s="573"/>
      <c r="DS34" s="573"/>
      <c r="DT34" s="573"/>
      <c r="DU34" s="573"/>
      <c r="DV34" s="573"/>
      <c r="DW34" s="573"/>
      <c r="DX34" s="573"/>
      <c r="DY34" s="573"/>
      <c r="DZ34" s="573"/>
      <c r="EA34" s="573"/>
      <c r="EB34" s="573"/>
      <c r="EC34" s="573"/>
      <c r="ED34" s="573"/>
      <c r="EE34" s="573"/>
      <c r="EF34" s="573"/>
      <c r="EG34" s="573"/>
      <c r="EH34" s="573"/>
      <c r="EI34" s="573"/>
      <c r="EJ34" s="573"/>
      <c r="EK34" s="573"/>
      <c r="EL34" s="573"/>
      <c r="EM34" s="573"/>
      <c r="EN34" s="573"/>
      <c r="EO34" s="573"/>
      <c r="EP34" s="573"/>
      <c r="EQ34" s="573"/>
      <c r="ER34" s="573"/>
      <c r="ES34" s="573"/>
      <c r="ET34" s="573"/>
      <c r="EU34" s="573"/>
      <c r="EV34" s="573"/>
      <c r="EW34" s="573"/>
      <c r="EX34" s="573"/>
      <c r="EY34" s="573"/>
      <c r="EZ34" s="573"/>
      <c r="FA34" s="573"/>
      <c r="FB34" s="573"/>
      <c r="FC34" s="573"/>
      <c r="FD34" s="573"/>
      <c r="FE34" s="573"/>
      <c r="FF34" s="573"/>
      <c r="FG34" s="573"/>
      <c r="FH34" s="573"/>
      <c r="FI34" s="573"/>
      <c r="FJ34" s="573"/>
      <c r="FK34" s="573"/>
      <c r="FL34" s="573"/>
      <c r="FM34" s="573"/>
      <c r="FN34" s="573"/>
      <c r="FO34" s="573"/>
      <c r="FP34" s="573"/>
      <c r="FQ34" s="573"/>
      <c r="FR34" s="573"/>
      <c r="FS34" s="573"/>
      <c r="FT34" s="573"/>
      <c r="FU34" s="573"/>
      <c r="FV34" s="573"/>
      <c r="FW34" s="573"/>
      <c r="FX34" s="573"/>
      <c r="FY34" s="573"/>
      <c r="FZ34" s="573"/>
      <c r="GA34" s="573"/>
      <c r="GB34" s="573"/>
      <c r="GC34" s="573"/>
      <c r="GD34" s="573"/>
      <c r="GE34" s="573"/>
      <c r="GF34" s="573"/>
      <c r="GG34" s="573"/>
      <c r="GH34" s="573"/>
      <c r="GI34" s="573"/>
      <c r="GJ34" s="573"/>
      <c r="GK34" s="573"/>
      <c r="GL34" s="573"/>
      <c r="GM34" s="573"/>
      <c r="GN34" s="573"/>
      <c r="GO34" s="573"/>
      <c r="GP34" s="573"/>
      <c r="GQ34" s="573"/>
      <c r="GR34" s="573"/>
      <c r="GS34" s="573"/>
      <c r="GT34" s="573"/>
      <c r="GU34" s="573"/>
      <c r="GV34" s="573"/>
      <c r="GW34" s="573"/>
      <c r="GX34" s="573"/>
      <c r="GY34" s="573"/>
      <c r="GZ34" s="573"/>
      <c r="HA34" s="573"/>
      <c r="HB34" s="573"/>
      <c r="HC34" s="573"/>
      <c r="HD34" s="573"/>
      <c r="HE34" s="573"/>
      <c r="HF34" s="573"/>
      <c r="HG34" s="573"/>
      <c r="HH34" s="573"/>
      <c r="HI34" s="573"/>
      <c r="HJ34" s="573"/>
      <c r="HK34" s="573"/>
      <c r="HL34" s="573"/>
      <c r="HM34" s="573"/>
      <c r="HN34" s="573"/>
      <c r="HO34" s="573"/>
      <c r="HP34" s="573"/>
      <c r="HQ34" s="573"/>
      <c r="HR34" s="573"/>
      <c r="HS34" s="573"/>
      <c r="HT34" s="573"/>
      <c r="HU34" s="573"/>
      <c r="HV34" s="573"/>
      <c r="HW34" s="573"/>
      <c r="HX34" s="573"/>
      <c r="HY34" s="573"/>
      <c r="HZ34" s="573"/>
      <c r="IA34" s="573"/>
      <c r="IB34" s="573"/>
      <c r="IC34" s="573"/>
      <c r="ID34" s="573"/>
      <c r="IE34" s="573"/>
      <c r="IF34" s="573"/>
      <c r="IG34" s="573"/>
      <c r="IH34" s="573"/>
      <c r="II34" s="573"/>
      <c r="IJ34" s="573"/>
      <c r="IK34" s="573"/>
      <c r="IL34" s="573"/>
      <c r="IM34" s="573"/>
      <c r="IN34" s="573"/>
      <c r="IO34" s="573"/>
      <c r="IP34" s="573"/>
      <c r="IQ34" s="573"/>
      <c r="IR34" s="573"/>
      <c r="IS34" s="573"/>
      <c r="IT34" s="573"/>
      <c r="IU34" s="573"/>
      <c r="IV34" s="573"/>
      <c r="IW34" s="573"/>
    </row>
    <row r="35" customFormat="false" ht="15" hidden="false" customHeight="false" outlineLevel="0" collapsed="false">
      <c r="A35" s="558" t="s">
        <v>426</v>
      </c>
      <c r="B35" s="572"/>
      <c r="C35" s="581"/>
      <c r="D35" s="574"/>
      <c r="E35" s="580"/>
      <c r="F35" s="574"/>
      <c r="G35" s="574"/>
      <c r="H35" s="573"/>
      <c r="I35" s="573"/>
      <c r="J35" s="573"/>
      <c r="K35" s="573"/>
      <c r="L35" s="573"/>
      <c r="M35" s="573"/>
      <c r="N35" s="573"/>
      <c r="O35" s="573"/>
      <c r="P35" s="573"/>
      <c r="Q35" s="573"/>
      <c r="R35" s="573"/>
      <c r="S35" s="573"/>
      <c r="T35" s="573"/>
      <c r="U35" s="573"/>
      <c r="V35" s="573"/>
      <c r="W35" s="573"/>
      <c r="X35" s="573"/>
      <c r="Y35" s="573"/>
      <c r="Z35" s="573"/>
      <c r="AA35" s="573"/>
      <c r="AB35" s="573"/>
      <c r="AC35" s="573"/>
      <c r="AD35" s="573"/>
      <c r="AE35" s="573"/>
      <c r="AF35" s="573"/>
      <c r="AG35" s="573"/>
      <c r="AH35" s="573"/>
      <c r="AI35" s="573"/>
      <c r="AJ35" s="573"/>
      <c r="AK35" s="573"/>
      <c r="AL35" s="573"/>
      <c r="AM35" s="573"/>
      <c r="AN35" s="573"/>
      <c r="AO35" s="573"/>
      <c r="AP35" s="573"/>
      <c r="AQ35" s="573"/>
      <c r="AR35" s="573"/>
      <c r="AS35" s="573"/>
      <c r="AT35" s="573"/>
      <c r="AU35" s="573"/>
      <c r="AV35" s="573"/>
      <c r="AW35" s="573"/>
      <c r="AX35" s="573"/>
      <c r="AY35" s="573"/>
      <c r="AZ35" s="573"/>
      <c r="BA35" s="573"/>
      <c r="BB35" s="573"/>
      <c r="BC35" s="573"/>
      <c r="BD35" s="573"/>
      <c r="BE35" s="573"/>
      <c r="BF35" s="573"/>
      <c r="BG35" s="573"/>
      <c r="BH35" s="573"/>
      <c r="BI35" s="573"/>
      <c r="BJ35" s="573"/>
      <c r="BK35" s="573"/>
      <c r="BL35" s="573"/>
      <c r="BM35" s="573"/>
      <c r="BN35" s="573"/>
      <c r="BO35" s="573"/>
      <c r="BP35" s="573"/>
      <c r="BQ35" s="573"/>
      <c r="BR35" s="573"/>
      <c r="BS35" s="573"/>
      <c r="BT35" s="573"/>
      <c r="BU35" s="573"/>
      <c r="BV35" s="573"/>
      <c r="BW35" s="573"/>
      <c r="BX35" s="573"/>
      <c r="BY35" s="573"/>
      <c r="BZ35" s="573"/>
      <c r="CA35" s="573"/>
      <c r="CB35" s="573"/>
      <c r="CC35" s="573"/>
      <c r="CD35" s="573"/>
      <c r="CE35" s="573"/>
      <c r="CF35" s="573"/>
      <c r="CG35" s="573"/>
      <c r="CH35" s="573"/>
      <c r="CI35" s="573"/>
      <c r="CJ35" s="573"/>
      <c r="CK35" s="573"/>
      <c r="CL35" s="573"/>
      <c r="CM35" s="573"/>
      <c r="CN35" s="573"/>
      <c r="CO35" s="573"/>
      <c r="CP35" s="573"/>
      <c r="CQ35" s="573"/>
      <c r="CR35" s="573"/>
      <c r="CS35" s="573"/>
      <c r="CT35" s="573"/>
      <c r="CU35" s="573"/>
      <c r="CV35" s="573"/>
      <c r="CW35" s="573"/>
      <c r="CX35" s="573"/>
      <c r="CY35" s="573"/>
      <c r="CZ35" s="573"/>
      <c r="DA35" s="573"/>
      <c r="DB35" s="573"/>
      <c r="DC35" s="573"/>
      <c r="DD35" s="573"/>
      <c r="DE35" s="573"/>
      <c r="DF35" s="573"/>
      <c r="DG35" s="573"/>
      <c r="DH35" s="573"/>
      <c r="DI35" s="573"/>
      <c r="DJ35" s="573"/>
      <c r="DK35" s="573"/>
      <c r="DL35" s="573"/>
      <c r="DM35" s="573"/>
      <c r="DN35" s="573"/>
      <c r="DO35" s="573"/>
      <c r="DP35" s="573"/>
      <c r="DQ35" s="573"/>
      <c r="DR35" s="573"/>
      <c r="DS35" s="573"/>
      <c r="DT35" s="573"/>
      <c r="DU35" s="573"/>
      <c r="DV35" s="573"/>
      <c r="DW35" s="573"/>
      <c r="DX35" s="573"/>
      <c r="DY35" s="573"/>
      <c r="DZ35" s="573"/>
      <c r="EA35" s="573"/>
      <c r="EB35" s="573"/>
      <c r="EC35" s="573"/>
      <c r="ED35" s="573"/>
      <c r="EE35" s="573"/>
      <c r="EF35" s="573"/>
      <c r="EG35" s="573"/>
      <c r="EH35" s="573"/>
      <c r="EI35" s="573"/>
      <c r="EJ35" s="573"/>
      <c r="EK35" s="573"/>
      <c r="EL35" s="573"/>
      <c r="EM35" s="573"/>
      <c r="EN35" s="573"/>
      <c r="EO35" s="573"/>
      <c r="EP35" s="573"/>
      <c r="EQ35" s="573"/>
      <c r="ER35" s="573"/>
      <c r="ES35" s="573"/>
      <c r="ET35" s="573"/>
      <c r="EU35" s="573"/>
      <c r="EV35" s="573"/>
      <c r="EW35" s="573"/>
      <c r="EX35" s="573"/>
      <c r="EY35" s="573"/>
      <c r="EZ35" s="573"/>
      <c r="FA35" s="573"/>
      <c r="FB35" s="573"/>
      <c r="FC35" s="573"/>
      <c r="FD35" s="573"/>
      <c r="FE35" s="573"/>
      <c r="FF35" s="573"/>
      <c r="FG35" s="573"/>
      <c r="FH35" s="573"/>
      <c r="FI35" s="573"/>
      <c r="FJ35" s="573"/>
      <c r="FK35" s="573"/>
      <c r="FL35" s="573"/>
      <c r="FM35" s="573"/>
      <c r="FN35" s="573"/>
      <c r="FO35" s="573"/>
      <c r="FP35" s="573"/>
      <c r="FQ35" s="573"/>
      <c r="FR35" s="573"/>
      <c r="FS35" s="573"/>
      <c r="FT35" s="573"/>
      <c r="FU35" s="573"/>
      <c r="FV35" s="573"/>
      <c r="FW35" s="573"/>
      <c r="FX35" s="573"/>
      <c r="FY35" s="573"/>
      <c r="FZ35" s="573"/>
      <c r="GA35" s="573"/>
      <c r="GB35" s="573"/>
      <c r="GC35" s="573"/>
      <c r="GD35" s="573"/>
      <c r="GE35" s="573"/>
      <c r="GF35" s="573"/>
      <c r="GG35" s="573"/>
      <c r="GH35" s="573"/>
      <c r="GI35" s="573"/>
      <c r="GJ35" s="573"/>
      <c r="GK35" s="573"/>
      <c r="GL35" s="573"/>
      <c r="GM35" s="573"/>
      <c r="GN35" s="573"/>
      <c r="GO35" s="573"/>
      <c r="GP35" s="573"/>
      <c r="GQ35" s="573"/>
      <c r="GR35" s="573"/>
      <c r="GS35" s="573"/>
      <c r="GT35" s="573"/>
      <c r="GU35" s="573"/>
      <c r="GV35" s="573"/>
      <c r="GW35" s="573"/>
      <c r="GX35" s="573"/>
      <c r="GY35" s="573"/>
      <c r="GZ35" s="573"/>
      <c r="HA35" s="573"/>
      <c r="HB35" s="573"/>
      <c r="HC35" s="573"/>
      <c r="HD35" s="573"/>
      <c r="HE35" s="573"/>
      <c r="HF35" s="573"/>
      <c r="HG35" s="573"/>
      <c r="HH35" s="573"/>
      <c r="HI35" s="573"/>
      <c r="HJ35" s="573"/>
      <c r="HK35" s="573"/>
      <c r="HL35" s="573"/>
      <c r="HM35" s="573"/>
      <c r="HN35" s="573"/>
      <c r="HO35" s="573"/>
      <c r="HP35" s="573"/>
      <c r="HQ35" s="573"/>
      <c r="HR35" s="573"/>
      <c r="HS35" s="573"/>
      <c r="HT35" s="573"/>
      <c r="HU35" s="573"/>
      <c r="HV35" s="573"/>
      <c r="HW35" s="573"/>
      <c r="HX35" s="573"/>
      <c r="HY35" s="573"/>
      <c r="HZ35" s="573"/>
      <c r="IA35" s="573"/>
      <c r="IB35" s="573"/>
      <c r="IC35" s="573"/>
      <c r="ID35" s="573"/>
      <c r="IE35" s="573"/>
      <c r="IF35" s="573"/>
      <c r="IG35" s="573"/>
      <c r="IH35" s="573"/>
      <c r="II35" s="573"/>
      <c r="IJ35" s="573"/>
      <c r="IK35" s="573"/>
      <c r="IL35" s="573"/>
      <c r="IM35" s="573"/>
      <c r="IN35" s="573"/>
      <c r="IO35" s="573"/>
      <c r="IP35" s="573"/>
      <c r="IQ35" s="573"/>
      <c r="IR35" s="573"/>
      <c r="IS35" s="573"/>
      <c r="IT35" s="573"/>
      <c r="IU35" s="573"/>
      <c r="IV35" s="573"/>
      <c r="IW35" s="573"/>
    </row>
    <row r="36" customFormat="false" ht="15" hidden="false" customHeight="false" outlineLevel="0" collapsed="false">
      <c r="A36" s="558" t="s">
        <v>427</v>
      </c>
      <c r="B36" s="572"/>
      <c r="C36" s="581"/>
      <c r="D36" s="574"/>
      <c r="E36" s="580"/>
      <c r="F36" s="574"/>
      <c r="G36" s="574"/>
      <c r="H36" s="573"/>
      <c r="I36" s="573"/>
      <c r="J36" s="573"/>
      <c r="K36" s="573"/>
      <c r="L36" s="573"/>
      <c r="M36" s="573"/>
      <c r="N36" s="573"/>
      <c r="O36" s="573"/>
      <c r="P36" s="573"/>
      <c r="Q36" s="573"/>
      <c r="R36" s="573"/>
      <c r="S36" s="573"/>
      <c r="T36" s="573"/>
      <c r="U36" s="573"/>
      <c r="V36" s="573"/>
      <c r="W36" s="573"/>
      <c r="X36" s="573"/>
      <c r="Y36" s="573"/>
      <c r="Z36" s="573"/>
      <c r="AA36" s="573"/>
      <c r="AB36" s="573"/>
      <c r="AC36" s="573"/>
      <c r="AD36" s="573"/>
      <c r="AE36" s="573"/>
      <c r="AF36" s="573"/>
      <c r="AG36" s="573"/>
      <c r="AH36" s="573"/>
      <c r="AI36" s="573"/>
      <c r="AJ36" s="573"/>
      <c r="AK36" s="573"/>
      <c r="AL36" s="573"/>
      <c r="AM36" s="573"/>
      <c r="AN36" s="573"/>
      <c r="AO36" s="573"/>
      <c r="AP36" s="573"/>
      <c r="AQ36" s="573"/>
      <c r="AR36" s="573"/>
      <c r="AS36" s="573"/>
      <c r="AT36" s="573"/>
      <c r="AU36" s="573"/>
      <c r="AV36" s="573"/>
      <c r="AW36" s="573"/>
      <c r="AX36" s="573"/>
      <c r="AY36" s="573"/>
      <c r="AZ36" s="573"/>
      <c r="BA36" s="573"/>
      <c r="BB36" s="573"/>
      <c r="BC36" s="573"/>
      <c r="BD36" s="573"/>
      <c r="BE36" s="573"/>
      <c r="BF36" s="573"/>
      <c r="BG36" s="573"/>
      <c r="BH36" s="573"/>
      <c r="BI36" s="573"/>
      <c r="BJ36" s="573"/>
      <c r="BK36" s="573"/>
      <c r="BL36" s="573"/>
      <c r="BM36" s="573"/>
      <c r="BN36" s="573"/>
      <c r="BO36" s="573"/>
      <c r="BP36" s="573"/>
      <c r="BQ36" s="573"/>
      <c r="BR36" s="573"/>
      <c r="BS36" s="573"/>
      <c r="BT36" s="573"/>
      <c r="BU36" s="573"/>
      <c r="BV36" s="573"/>
      <c r="BW36" s="573"/>
      <c r="BX36" s="573"/>
      <c r="BY36" s="573"/>
      <c r="BZ36" s="573"/>
      <c r="CA36" s="573"/>
      <c r="CB36" s="573"/>
      <c r="CC36" s="573"/>
      <c r="CD36" s="573"/>
      <c r="CE36" s="573"/>
      <c r="CF36" s="573"/>
      <c r="CG36" s="573"/>
      <c r="CH36" s="573"/>
      <c r="CI36" s="573"/>
      <c r="CJ36" s="573"/>
      <c r="CK36" s="573"/>
      <c r="CL36" s="573"/>
      <c r="CM36" s="573"/>
      <c r="CN36" s="573"/>
      <c r="CO36" s="573"/>
      <c r="CP36" s="573"/>
      <c r="CQ36" s="573"/>
      <c r="CR36" s="573"/>
      <c r="CS36" s="573"/>
      <c r="CT36" s="573"/>
      <c r="CU36" s="573"/>
      <c r="CV36" s="573"/>
      <c r="CW36" s="573"/>
      <c r="CX36" s="573"/>
      <c r="CY36" s="573"/>
      <c r="CZ36" s="573"/>
      <c r="DA36" s="573"/>
      <c r="DB36" s="573"/>
      <c r="DC36" s="573"/>
      <c r="DD36" s="573"/>
      <c r="DE36" s="573"/>
      <c r="DF36" s="573"/>
      <c r="DG36" s="573"/>
      <c r="DH36" s="573"/>
      <c r="DI36" s="573"/>
      <c r="DJ36" s="573"/>
      <c r="DK36" s="573"/>
      <c r="DL36" s="573"/>
      <c r="DM36" s="573"/>
      <c r="DN36" s="573"/>
      <c r="DO36" s="573"/>
      <c r="DP36" s="573"/>
      <c r="DQ36" s="573"/>
      <c r="DR36" s="573"/>
      <c r="DS36" s="573"/>
      <c r="DT36" s="573"/>
      <c r="DU36" s="573"/>
      <c r="DV36" s="573"/>
      <c r="DW36" s="573"/>
      <c r="DX36" s="573"/>
      <c r="DY36" s="573"/>
      <c r="DZ36" s="573"/>
      <c r="EA36" s="573"/>
      <c r="EB36" s="573"/>
      <c r="EC36" s="573"/>
      <c r="ED36" s="573"/>
      <c r="EE36" s="573"/>
      <c r="EF36" s="573"/>
      <c r="EG36" s="573"/>
      <c r="EH36" s="573"/>
      <c r="EI36" s="573"/>
      <c r="EJ36" s="573"/>
      <c r="EK36" s="573"/>
      <c r="EL36" s="573"/>
      <c r="EM36" s="573"/>
      <c r="EN36" s="573"/>
      <c r="EO36" s="573"/>
      <c r="EP36" s="573"/>
      <c r="EQ36" s="573"/>
      <c r="ER36" s="573"/>
      <c r="ES36" s="573"/>
      <c r="ET36" s="573"/>
      <c r="EU36" s="573"/>
      <c r="EV36" s="573"/>
      <c r="EW36" s="573"/>
      <c r="EX36" s="573"/>
      <c r="EY36" s="573"/>
      <c r="EZ36" s="573"/>
      <c r="FA36" s="573"/>
      <c r="FB36" s="573"/>
      <c r="FC36" s="573"/>
      <c r="FD36" s="573"/>
      <c r="FE36" s="573"/>
      <c r="FF36" s="573"/>
      <c r="FG36" s="573"/>
      <c r="FH36" s="573"/>
      <c r="FI36" s="573"/>
      <c r="FJ36" s="573"/>
      <c r="FK36" s="573"/>
      <c r="FL36" s="573"/>
      <c r="FM36" s="573"/>
      <c r="FN36" s="573"/>
      <c r="FO36" s="573"/>
      <c r="FP36" s="573"/>
      <c r="FQ36" s="573"/>
      <c r="FR36" s="573"/>
      <c r="FS36" s="573"/>
      <c r="FT36" s="573"/>
      <c r="FU36" s="573"/>
      <c r="FV36" s="573"/>
      <c r="FW36" s="573"/>
      <c r="FX36" s="573"/>
      <c r="FY36" s="573"/>
      <c r="FZ36" s="573"/>
      <c r="GA36" s="573"/>
      <c r="GB36" s="573"/>
      <c r="GC36" s="573"/>
      <c r="GD36" s="573"/>
      <c r="GE36" s="573"/>
      <c r="GF36" s="573"/>
      <c r="GG36" s="573"/>
      <c r="GH36" s="573"/>
      <c r="GI36" s="573"/>
      <c r="GJ36" s="573"/>
      <c r="GK36" s="573"/>
      <c r="GL36" s="573"/>
      <c r="GM36" s="573"/>
      <c r="GN36" s="573"/>
      <c r="GO36" s="573"/>
      <c r="GP36" s="573"/>
      <c r="GQ36" s="573"/>
      <c r="GR36" s="573"/>
      <c r="GS36" s="573"/>
      <c r="GT36" s="573"/>
      <c r="GU36" s="573"/>
      <c r="GV36" s="573"/>
      <c r="GW36" s="573"/>
      <c r="GX36" s="573"/>
      <c r="GY36" s="573"/>
      <c r="GZ36" s="573"/>
      <c r="HA36" s="573"/>
      <c r="HB36" s="573"/>
      <c r="HC36" s="573"/>
      <c r="HD36" s="573"/>
      <c r="HE36" s="573"/>
      <c r="HF36" s="573"/>
      <c r="HG36" s="573"/>
      <c r="HH36" s="573"/>
      <c r="HI36" s="573"/>
      <c r="HJ36" s="573"/>
      <c r="HK36" s="573"/>
      <c r="HL36" s="573"/>
      <c r="HM36" s="573"/>
      <c r="HN36" s="573"/>
      <c r="HO36" s="573"/>
      <c r="HP36" s="573"/>
      <c r="HQ36" s="573"/>
      <c r="HR36" s="573"/>
      <c r="HS36" s="573"/>
      <c r="HT36" s="573"/>
      <c r="HU36" s="573"/>
      <c r="HV36" s="573"/>
      <c r="HW36" s="573"/>
      <c r="HX36" s="573"/>
      <c r="HY36" s="573"/>
      <c r="HZ36" s="573"/>
      <c r="IA36" s="573"/>
      <c r="IB36" s="573"/>
      <c r="IC36" s="573"/>
      <c r="ID36" s="573"/>
      <c r="IE36" s="573"/>
      <c r="IF36" s="573"/>
      <c r="IG36" s="573"/>
      <c r="IH36" s="573"/>
      <c r="II36" s="573"/>
      <c r="IJ36" s="573"/>
      <c r="IK36" s="573"/>
      <c r="IL36" s="573"/>
      <c r="IM36" s="573"/>
      <c r="IN36" s="573"/>
      <c r="IO36" s="573"/>
      <c r="IP36" s="573"/>
      <c r="IQ36" s="573"/>
      <c r="IR36" s="573"/>
      <c r="IS36" s="573"/>
      <c r="IT36" s="573"/>
      <c r="IU36" s="573"/>
      <c r="IV36" s="573"/>
      <c r="IW36" s="573"/>
    </row>
    <row r="37" customFormat="false" ht="15" hidden="false" customHeight="false" outlineLevel="0" collapsed="false">
      <c r="A37" s="558" t="s">
        <v>428</v>
      </c>
      <c r="B37" s="572"/>
      <c r="C37" s="581"/>
      <c r="D37" s="574"/>
      <c r="E37" s="580"/>
      <c r="F37" s="574"/>
      <c r="G37" s="574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573"/>
      <c r="AG37" s="573"/>
      <c r="AH37" s="573"/>
      <c r="AI37" s="573"/>
      <c r="AJ37" s="573"/>
      <c r="AK37" s="573"/>
      <c r="AL37" s="573"/>
      <c r="AM37" s="573"/>
      <c r="AN37" s="573"/>
      <c r="AO37" s="573"/>
      <c r="AP37" s="573"/>
      <c r="AQ37" s="573"/>
      <c r="AR37" s="573"/>
      <c r="AS37" s="573"/>
      <c r="AT37" s="573"/>
      <c r="AU37" s="573"/>
      <c r="AV37" s="573"/>
      <c r="AW37" s="573"/>
      <c r="AX37" s="573"/>
      <c r="AY37" s="573"/>
      <c r="AZ37" s="573"/>
      <c r="BA37" s="573"/>
      <c r="BB37" s="573"/>
      <c r="BC37" s="573"/>
      <c r="BD37" s="573"/>
      <c r="BE37" s="573"/>
      <c r="BF37" s="573"/>
      <c r="BG37" s="573"/>
      <c r="BH37" s="573"/>
      <c r="BI37" s="573"/>
      <c r="BJ37" s="573"/>
      <c r="BK37" s="573"/>
      <c r="BL37" s="573"/>
      <c r="BM37" s="573"/>
      <c r="BN37" s="573"/>
      <c r="BO37" s="573"/>
      <c r="BP37" s="573"/>
      <c r="BQ37" s="573"/>
      <c r="BR37" s="573"/>
      <c r="BS37" s="573"/>
      <c r="BT37" s="573"/>
      <c r="BU37" s="573"/>
      <c r="BV37" s="573"/>
      <c r="BW37" s="573"/>
      <c r="BX37" s="573"/>
      <c r="BY37" s="573"/>
      <c r="BZ37" s="573"/>
      <c r="CA37" s="573"/>
      <c r="CB37" s="573"/>
      <c r="CC37" s="573"/>
      <c r="CD37" s="573"/>
      <c r="CE37" s="573"/>
      <c r="CF37" s="573"/>
      <c r="CG37" s="573"/>
      <c r="CH37" s="573"/>
      <c r="CI37" s="573"/>
      <c r="CJ37" s="573"/>
      <c r="CK37" s="573"/>
      <c r="CL37" s="573"/>
      <c r="CM37" s="573"/>
      <c r="CN37" s="573"/>
      <c r="CO37" s="573"/>
      <c r="CP37" s="573"/>
      <c r="CQ37" s="573"/>
      <c r="CR37" s="573"/>
      <c r="CS37" s="573"/>
      <c r="CT37" s="573"/>
      <c r="CU37" s="573"/>
      <c r="CV37" s="573"/>
      <c r="CW37" s="573"/>
      <c r="CX37" s="573"/>
      <c r="CY37" s="573"/>
      <c r="CZ37" s="573"/>
      <c r="DA37" s="573"/>
      <c r="DB37" s="573"/>
      <c r="DC37" s="573"/>
      <c r="DD37" s="573"/>
      <c r="DE37" s="573"/>
      <c r="DF37" s="573"/>
      <c r="DG37" s="573"/>
      <c r="DH37" s="573"/>
      <c r="DI37" s="573"/>
      <c r="DJ37" s="573"/>
      <c r="DK37" s="573"/>
      <c r="DL37" s="573"/>
      <c r="DM37" s="573"/>
      <c r="DN37" s="573"/>
      <c r="DO37" s="573"/>
      <c r="DP37" s="573"/>
      <c r="DQ37" s="573"/>
      <c r="DR37" s="573"/>
      <c r="DS37" s="573"/>
      <c r="DT37" s="573"/>
      <c r="DU37" s="573"/>
      <c r="DV37" s="573"/>
      <c r="DW37" s="573"/>
      <c r="DX37" s="573"/>
      <c r="DY37" s="573"/>
      <c r="DZ37" s="573"/>
      <c r="EA37" s="573"/>
      <c r="EB37" s="573"/>
      <c r="EC37" s="573"/>
      <c r="ED37" s="573"/>
      <c r="EE37" s="573"/>
      <c r="EF37" s="573"/>
      <c r="EG37" s="573"/>
      <c r="EH37" s="573"/>
      <c r="EI37" s="573"/>
      <c r="EJ37" s="573"/>
      <c r="EK37" s="573"/>
      <c r="EL37" s="573"/>
      <c r="EM37" s="573"/>
      <c r="EN37" s="573"/>
      <c r="EO37" s="573"/>
      <c r="EP37" s="573"/>
      <c r="EQ37" s="573"/>
      <c r="ER37" s="573"/>
      <c r="ES37" s="573"/>
      <c r="ET37" s="573"/>
      <c r="EU37" s="573"/>
      <c r="EV37" s="573"/>
      <c r="EW37" s="573"/>
      <c r="EX37" s="573"/>
      <c r="EY37" s="573"/>
      <c r="EZ37" s="573"/>
      <c r="FA37" s="573"/>
      <c r="FB37" s="573"/>
      <c r="FC37" s="573"/>
      <c r="FD37" s="573"/>
      <c r="FE37" s="573"/>
      <c r="FF37" s="573"/>
      <c r="FG37" s="573"/>
      <c r="FH37" s="573"/>
      <c r="FI37" s="573"/>
      <c r="FJ37" s="573"/>
      <c r="FK37" s="573"/>
      <c r="FL37" s="573"/>
      <c r="FM37" s="573"/>
      <c r="FN37" s="573"/>
      <c r="FO37" s="573"/>
      <c r="FP37" s="573"/>
      <c r="FQ37" s="573"/>
      <c r="FR37" s="573"/>
      <c r="FS37" s="573"/>
      <c r="FT37" s="573"/>
      <c r="FU37" s="573"/>
      <c r="FV37" s="573"/>
      <c r="FW37" s="573"/>
      <c r="FX37" s="573"/>
      <c r="FY37" s="573"/>
      <c r="FZ37" s="573"/>
      <c r="GA37" s="573"/>
      <c r="GB37" s="573"/>
      <c r="GC37" s="573"/>
      <c r="GD37" s="573"/>
      <c r="GE37" s="573"/>
      <c r="GF37" s="573"/>
      <c r="GG37" s="573"/>
      <c r="GH37" s="573"/>
      <c r="GI37" s="573"/>
      <c r="GJ37" s="573"/>
      <c r="GK37" s="573"/>
      <c r="GL37" s="573"/>
      <c r="GM37" s="573"/>
      <c r="GN37" s="573"/>
      <c r="GO37" s="573"/>
      <c r="GP37" s="573"/>
      <c r="GQ37" s="573"/>
      <c r="GR37" s="573"/>
      <c r="GS37" s="573"/>
      <c r="GT37" s="573"/>
      <c r="GU37" s="573"/>
      <c r="GV37" s="573"/>
      <c r="GW37" s="573"/>
      <c r="GX37" s="573"/>
      <c r="GY37" s="573"/>
      <c r="GZ37" s="573"/>
      <c r="HA37" s="573"/>
      <c r="HB37" s="573"/>
      <c r="HC37" s="573"/>
      <c r="HD37" s="573"/>
      <c r="HE37" s="573"/>
      <c r="HF37" s="573"/>
      <c r="HG37" s="573"/>
      <c r="HH37" s="573"/>
      <c r="HI37" s="573"/>
      <c r="HJ37" s="573"/>
      <c r="HK37" s="573"/>
      <c r="HL37" s="573"/>
      <c r="HM37" s="573"/>
      <c r="HN37" s="573"/>
      <c r="HO37" s="573"/>
      <c r="HP37" s="573"/>
      <c r="HQ37" s="573"/>
      <c r="HR37" s="573"/>
      <c r="HS37" s="573"/>
      <c r="HT37" s="573"/>
      <c r="HU37" s="573"/>
      <c r="HV37" s="573"/>
      <c r="HW37" s="573"/>
      <c r="HX37" s="573"/>
      <c r="HY37" s="573"/>
      <c r="HZ37" s="573"/>
      <c r="IA37" s="573"/>
      <c r="IB37" s="573"/>
      <c r="IC37" s="573"/>
      <c r="ID37" s="573"/>
      <c r="IE37" s="573"/>
      <c r="IF37" s="573"/>
      <c r="IG37" s="573"/>
      <c r="IH37" s="573"/>
      <c r="II37" s="573"/>
      <c r="IJ37" s="573"/>
      <c r="IK37" s="573"/>
      <c r="IL37" s="573"/>
      <c r="IM37" s="573"/>
      <c r="IN37" s="573"/>
      <c r="IO37" s="573"/>
      <c r="IP37" s="573"/>
      <c r="IQ37" s="573"/>
      <c r="IR37" s="573"/>
      <c r="IS37" s="573"/>
      <c r="IT37" s="573"/>
      <c r="IU37" s="573"/>
      <c r="IV37" s="573"/>
      <c r="IW37" s="573"/>
    </row>
    <row r="38" customFormat="false" ht="15" hidden="false" customHeight="false" outlineLevel="0" collapsed="false">
      <c r="A38" s="558"/>
      <c r="B38" s="572"/>
      <c r="C38" s="581"/>
      <c r="D38" s="574"/>
      <c r="E38" s="580"/>
      <c r="F38" s="574"/>
      <c r="G38" s="574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573"/>
      <c r="S38" s="573"/>
      <c r="T38" s="573"/>
      <c r="U38" s="573"/>
      <c r="V38" s="573"/>
      <c r="W38" s="573"/>
      <c r="X38" s="573"/>
      <c r="Y38" s="573"/>
      <c r="Z38" s="573"/>
      <c r="AA38" s="573"/>
      <c r="AB38" s="573"/>
      <c r="AC38" s="573"/>
      <c r="AD38" s="573"/>
      <c r="AE38" s="573"/>
      <c r="AF38" s="573"/>
      <c r="AG38" s="573"/>
      <c r="AH38" s="573"/>
      <c r="AI38" s="573"/>
      <c r="AJ38" s="573"/>
      <c r="AK38" s="573"/>
      <c r="AL38" s="573"/>
      <c r="AM38" s="573"/>
      <c r="AN38" s="573"/>
      <c r="AO38" s="573"/>
      <c r="AP38" s="573"/>
      <c r="AQ38" s="573"/>
      <c r="AR38" s="573"/>
      <c r="AS38" s="573"/>
      <c r="AT38" s="573"/>
      <c r="AU38" s="573"/>
      <c r="AV38" s="573"/>
      <c r="AW38" s="573"/>
      <c r="AX38" s="573"/>
      <c r="AY38" s="573"/>
      <c r="AZ38" s="573"/>
      <c r="BA38" s="573"/>
      <c r="BB38" s="573"/>
      <c r="BC38" s="573"/>
      <c r="BD38" s="573"/>
      <c r="BE38" s="573"/>
      <c r="BF38" s="573"/>
      <c r="BG38" s="573"/>
      <c r="BH38" s="573"/>
      <c r="BI38" s="573"/>
      <c r="BJ38" s="573"/>
      <c r="BK38" s="573"/>
      <c r="BL38" s="573"/>
      <c r="BM38" s="573"/>
      <c r="BN38" s="573"/>
      <c r="BO38" s="573"/>
      <c r="BP38" s="573"/>
      <c r="BQ38" s="573"/>
      <c r="BR38" s="573"/>
      <c r="BS38" s="573"/>
      <c r="BT38" s="573"/>
      <c r="BU38" s="573"/>
      <c r="BV38" s="573"/>
      <c r="BW38" s="573"/>
      <c r="BX38" s="573"/>
      <c r="BY38" s="573"/>
      <c r="BZ38" s="573"/>
      <c r="CA38" s="573"/>
      <c r="CB38" s="573"/>
      <c r="CC38" s="573"/>
      <c r="CD38" s="573"/>
      <c r="CE38" s="573"/>
      <c r="CF38" s="573"/>
      <c r="CG38" s="573"/>
      <c r="CH38" s="573"/>
      <c r="CI38" s="573"/>
      <c r="CJ38" s="573"/>
      <c r="CK38" s="573"/>
      <c r="CL38" s="573"/>
      <c r="CM38" s="573"/>
      <c r="CN38" s="573"/>
      <c r="CO38" s="573"/>
      <c r="CP38" s="573"/>
      <c r="CQ38" s="573"/>
      <c r="CR38" s="573"/>
      <c r="CS38" s="573"/>
      <c r="CT38" s="573"/>
      <c r="CU38" s="573"/>
      <c r="CV38" s="573"/>
      <c r="CW38" s="573"/>
      <c r="CX38" s="573"/>
      <c r="CY38" s="573"/>
      <c r="CZ38" s="573"/>
      <c r="DA38" s="573"/>
      <c r="DB38" s="573"/>
      <c r="DC38" s="573"/>
      <c r="DD38" s="573"/>
      <c r="DE38" s="573"/>
      <c r="DF38" s="573"/>
      <c r="DG38" s="573"/>
      <c r="DH38" s="573"/>
      <c r="DI38" s="573"/>
      <c r="DJ38" s="573"/>
      <c r="DK38" s="573"/>
      <c r="DL38" s="573"/>
      <c r="DM38" s="573"/>
      <c r="DN38" s="573"/>
      <c r="DO38" s="573"/>
      <c r="DP38" s="573"/>
      <c r="DQ38" s="573"/>
      <c r="DR38" s="573"/>
      <c r="DS38" s="573"/>
      <c r="DT38" s="573"/>
      <c r="DU38" s="573"/>
      <c r="DV38" s="573"/>
      <c r="DW38" s="573"/>
      <c r="DX38" s="573"/>
      <c r="DY38" s="573"/>
      <c r="DZ38" s="573"/>
      <c r="EA38" s="573"/>
      <c r="EB38" s="573"/>
      <c r="EC38" s="573"/>
      <c r="ED38" s="573"/>
      <c r="EE38" s="573"/>
      <c r="EF38" s="573"/>
      <c r="EG38" s="573"/>
      <c r="EH38" s="573"/>
      <c r="EI38" s="573"/>
      <c r="EJ38" s="573"/>
      <c r="EK38" s="573"/>
      <c r="EL38" s="573"/>
      <c r="EM38" s="573"/>
      <c r="EN38" s="573"/>
      <c r="EO38" s="573"/>
      <c r="EP38" s="573"/>
      <c r="EQ38" s="573"/>
      <c r="ER38" s="573"/>
      <c r="ES38" s="573"/>
      <c r="ET38" s="573"/>
      <c r="EU38" s="573"/>
      <c r="EV38" s="573"/>
      <c r="EW38" s="573"/>
      <c r="EX38" s="573"/>
      <c r="EY38" s="573"/>
      <c r="EZ38" s="573"/>
      <c r="FA38" s="573"/>
      <c r="FB38" s="573"/>
      <c r="FC38" s="573"/>
      <c r="FD38" s="573"/>
      <c r="FE38" s="573"/>
      <c r="FF38" s="573"/>
      <c r="FG38" s="573"/>
      <c r="FH38" s="573"/>
      <c r="FI38" s="573"/>
      <c r="FJ38" s="573"/>
      <c r="FK38" s="573"/>
      <c r="FL38" s="573"/>
      <c r="FM38" s="573"/>
      <c r="FN38" s="573"/>
      <c r="FO38" s="573"/>
      <c r="FP38" s="573"/>
      <c r="FQ38" s="573"/>
      <c r="FR38" s="573"/>
      <c r="FS38" s="573"/>
      <c r="FT38" s="573"/>
      <c r="FU38" s="573"/>
      <c r="FV38" s="573"/>
      <c r="FW38" s="573"/>
      <c r="FX38" s="573"/>
      <c r="FY38" s="573"/>
      <c r="FZ38" s="573"/>
      <c r="GA38" s="573"/>
      <c r="GB38" s="573"/>
      <c r="GC38" s="573"/>
      <c r="GD38" s="573"/>
      <c r="GE38" s="573"/>
      <c r="GF38" s="573"/>
      <c r="GG38" s="573"/>
      <c r="GH38" s="573"/>
      <c r="GI38" s="573"/>
      <c r="GJ38" s="573"/>
      <c r="GK38" s="573"/>
      <c r="GL38" s="573"/>
      <c r="GM38" s="573"/>
      <c r="GN38" s="573"/>
      <c r="GO38" s="573"/>
      <c r="GP38" s="573"/>
      <c r="GQ38" s="573"/>
      <c r="GR38" s="573"/>
      <c r="GS38" s="573"/>
      <c r="GT38" s="573"/>
      <c r="GU38" s="573"/>
      <c r="GV38" s="573"/>
      <c r="GW38" s="573"/>
      <c r="GX38" s="573"/>
      <c r="GY38" s="573"/>
      <c r="GZ38" s="573"/>
      <c r="HA38" s="573"/>
      <c r="HB38" s="573"/>
      <c r="HC38" s="573"/>
      <c r="HD38" s="573"/>
      <c r="HE38" s="573"/>
      <c r="HF38" s="573"/>
      <c r="HG38" s="573"/>
      <c r="HH38" s="573"/>
      <c r="HI38" s="573"/>
      <c r="HJ38" s="573"/>
      <c r="HK38" s="573"/>
      <c r="HL38" s="573"/>
      <c r="HM38" s="573"/>
      <c r="HN38" s="573"/>
      <c r="HO38" s="573"/>
      <c r="HP38" s="573"/>
      <c r="HQ38" s="573"/>
      <c r="HR38" s="573"/>
      <c r="HS38" s="573"/>
      <c r="HT38" s="573"/>
      <c r="HU38" s="573"/>
      <c r="HV38" s="573"/>
      <c r="HW38" s="573"/>
      <c r="HX38" s="573"/>
      <c r="HY38" s="573"/>
      <c r="HZ38" s="573"/>
      <c r="IA38" s="573"/>
      <c r="IB38" s="573"/>
      <c r="IC38" s="573"/>
      <c r="ID38" s="573"/>
      <c r="IE38" s="573"/>
      <c r="IF38" s="573"/>
      <c r="IG38" s="573"/>
      <c r="IH38" s="573"/>
      <c r="II38" s="573"/>
      <c r="IJ38" s="573"/>
      <c r="IK38" s="573"/>
      <c r="IL38" s="573"/>
      <c r="IM38" s="573"/>
      <c r="IN38" s="573"/>
      <c r="IO38" s="573"/>
      <c r="IP38" s="573"/>
      <c r="IQ38" s="573"/>
      <c r="IR38" s="573"/>
      <c r="IS38" s="573"/>
      <c r="IT38" s="573"/>
      <c r="IU38" s="573"/>
      <c r="IV38" s="573"/>
      <c r="IW38" s="573"/>
    </row>
    <row r="39" customFormat="false" ht="15" hidden="false" customHeight="false" outlineLevel="0" collapsed="false">
      <c r="A39" s="582" t="s">
        <v>241</v>
      </c>
      <c r="B39" s="572"/>
      <c r="C39" s="581"/>
      <c r="D39" s="574"/>
      <c r="E39" s="580"/>
      <c r="F39" s="574"/>
      <c r="G39" s="574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573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573"/>
      <c r="AE39" s="573"/>
      <c r="AF39" s="573"/>
      <c r="AG39" s="573"/>
      <c r="AH39" s="573"/>
      <c r="AI39" s="573"/>
      <c r="AJ39" s="573"/>
      <c r="AK39" s="573"/>
      <c r="AL39" s="573"/>
      <c r="AM39" s="573"/>
      <c r="AN39" s="573"/>
      <c r="AO39" s="573"/>
      <c r="AP39" s="573"/>
      <c r="AQ39" s="573"/>
      <c r="AR39" s="573"/>
      <c r="AS39" s="573"/>
      <c r="AT39" s="573"/>
      <c r="AU39" s="573"/>
      <c r="AV39" s="573"/>
      <c r="AW39" s="573"/>
      <c r="AX39" s="573"/>
      <c r="AY39" s="573"/>
      <c r="AZ39" s="573"/>
      <c r="BA39" s="573"/>
      <c r="BB39" s="573"/>
      <c r="BC39" s="573"/>
      <c r="BD39" s="573"/>
      <c r="BE39" s="573"/>
      <c r="BF39" s="573"/>
      <c r="BG39" s="573"/>
      <c r="BH39" s="573"/>
      <c r="BI39" s="573"/>
      <c r="BJ39" s="573"/>
      <c r="BK39" s="573"/>
      <c r="BL39" s="573"/>
      <c r="BM39" s="573"/>
      <c r="BN39" s="573"/>
      <c r="BO39" s="573"/>
      <c r="BP39" s="573"/>
      <c r="BQ39" s="573"/>
      <c r="BR39" s="573"/>
      <c r="BS39" s="573"/>
      <c r="BT39" s="573"/>
      <c r="BU39" s="573"/>
      <c r="BV39" s="573"/>
      <c r="BW39" s="573"/>
      <c r="BX39" s="573"/>
      <c r="BY39" s="573"/>
      <c r="BZ39" s="573"/>
      <c r="CA39" s="573"/>
      <c r="CB39" s="573"/>
      <c r="CC39" s="573"/>
      <c r="CD39" s="573"/>
      <c r="CE39" s="573"/>
      <c r="CF39" s="573"/>
      <c r="CG39" s="573"/>
      <c r="CH39" s="573"/>
      <c r="CI39" s="573"/>
      <c r="CJ39" s="573"/>
      <c r="CK39" s="573"/>
      <c r="CL39" s="573"/>
      <c r="CM39" s="573"/>
      <c r="CN39" s="573"/>
      <c r="CO39" s="573"/>
      <c r="CP39" s="573"/>
      <c r="CQ39" s="573"/>
      <c r="CR39" s="573"/>
      <c r="CS39" s="573"/>
      <c r="CT39" s="573"/>
      <c r="CU39" s="573"/>
      <c r="CV39" s="573"/>
      <c r="CW39" s="573"/>
      <c r="CX39" s="573"/>
      <c r="CY39" s="573"/>
      <c r="CZ39" s="573"/>
      <c r="DA39" s="573"/>
      <c r="DB39" s="573"/>
      <c r="DC39" s="573"/>
      <c r="DD39" s="573"/>
      <c r="DE39" s="573"/>
      <c r="DF39" s="573"/>
      <c r="DG39" s="573"/>
      <c r="DH39" s="573"/>
      <c r="DI39" s="573"/>
      <c r="DJ39" s="573"/>
      <c r="DK39" s="573"/>
      <c r="DL39" s="573"/>
      <c r="DM39" s="573"/>
      <c r="DN39" s="573"/>
      <c r="DO39" s="573"/>
      <c r="DP39" s="573"/>
      <c r="DQ39" s="573"/>
      <c r="DR39" s="573"/>
      <c r="DS39" s="573"/>
      <c r="DT39" s="573"/>
      <c r="DU39" s="573"/>
      <c r="DV39" s="573"/>
      <c r="DW39" s="573"/>
      <c r="DX39" s="573"/>
      <c r="DY39" s="573"/>
      <c r="DZ39" s="573"/>
      <c r="EA39" s="573"/>
      <c r="EB39" s="573"/>
      <c r="EC39" s="573"/>
      <c r="ED39" s="573"/>
      <c r="EE39" s="573"/>
      <c r="EF39" s="573"/>
      <c r="EG39" s="573"/>
      <c r="EH39" s="573"/>
      <c r="EI39" s="573"/>
      <c r="EJ39" s="573"/>
      <c r="EK39" s="573"/>
      <c r="EL39" s="573"/>
      <c r="EM39" s="573"/>
      <c r="EN39" s="573"/>
      <c r="EO39" s="573"/>
      <c r="EP39" s="573"/>
      <c r="EQ39" s="573"/>
      <c r="ER39" s="573"/>
      <c r="ES39" s="573"/>
      <c r="ET39" s="573"/>
      <c r="EU39" s="573"/>
      <c r="EV39" s="573"/>
      <c r="EW39" s="573"/>
      <c r="EX39" s="573"/>
      <c r="EY39" s="573"/>
      <c r="EZ39" s="573"/>
      <c r="FA39" s="573"/>
      <c r="FB39" s="573"/>
      <c r="FC39" s="573"/>
      <c r="FD39" s="573"/>
      <c r="FE39" s="573"/>
      <c r="FF39" s="573"/>
      <c r="FG39" s="573"/>
      <c r="FH39" s="573"/>
      <c r="FI39" s="573"/>
      <c r="FJ39" s="573"/>
      <c r="FK39" s="573"/>
      <c r="FL39" s="573"/>
      <c r="FM39" s="573"/>
      <c r="FN39" s="573"/>
      <c r="FO39" s="573"/>
      <c r="FP39" s="573"/>
      <c r="FQ39" s="573"/>
      <c r="FR39" s="573"/>
      <c r="FS39" s="573"/>
      <c r="FT39" s="573"/>
      <c r="FU39" s="573"/>
      <c r="FV39" s="573"/>
      <c r="FW39" s="573"/>
      <c r="FX39" s="573"/>
      <c r="FY39" s="573"/>
      <c r="FZ39" s="573"/>
      <c r="GA39" s="573"/>
      <c r="GB39" s="573"/>
      <c r="GC39" s="573"/>
      <c r="GD39" s="573"/>
      <c r="GE39" s="573"/>
      <c r="GF39" s="573"/>
      <c r="GG39" s="573"/>
      <c r="GH39" s="573"/>
      <c r="GI39" s="573"/>
      <c r="GJ39" s="573"/>
      <c r="GK39" s="573"/>
      <c r="GL39" s="573"/>
      <c r="GM39" s="573"/>
      <c r="GN39" s="573"/>
      <c r="GO39" s="573"/>
      <c r="GP39" s="573"/>
      <c r="GQ39" s="573"/>
      <c r="GR39" s="573"/>
      <c r="GS39" s="573"/>
      <c r="GT39" s="573"/>
      <c r="GU39" s="573"/>
      <c r="GV39" s="573"/>
      <c r="GW39" s="573"/>
      <c r="GX39" s="573"/>
      <c r="GY39" s="573"/>
      <c r="GZ39" s="573"/>
      <c r="HA39" s="573"/>
      <c r="HB39" s="573"/>
      <c r="HC39" s="573"/>
      <c r="HD39" s="573"/>
      <c r="HE39" s="573"/>
      <c r="HF39" s="573"/>
      <c r="HG39" s="573"/>
      <c r="HH39" s="573"/>
      <c r="HI39" s="573"/>
      <c r="HJ39" s="573"/>
      <c r="HK39" s="573"/>
      <c r="HL39" s="573"/>
      <c r="HM39" s="573"/>
      <c r="HN39" s="573"/>
      <c r="HO39" s="573"/>
      <c r="HP39" s="573"/>
      <c r="HQ39" s="573"/>
      <c r="HR39" s="573"/>
      <c r="HS39" s="573"/>
      <c r="HT39" s="573"/>
      <c r="HU39" s="573"/>
      <c r="HV39" s="573"/>
      <c r="HW39" s="573"/>
      <c r="HX39" s="573"/>
      <c r="HY39" s="573"/>
      <c r="HZ39" s="573"/>
      <c r="IA39" s="573"/>
      <c r="IB39" s="573"/>
      <c r="IC39" s="573"/>
      <c r="ID39" s="573"/>
      <c r="IE39" s="573"/>
      <c r="IF39" s="573"/>
      <c r="IG39" s="573"/>
      <c r="IH39" s="573"/>
      <c r="II39" s="573"/>
      <c r="IJ39" s="573"/>
      <c r="IK39" s="573"/>
      <c r="IL39" s="573"/>
      <c r="IM39" s="573"/>
      <c r="IN39" s="573"/>
      <c r="IO39" s="573"/>
      <c r="IP39" s="573"/>
      <c r="IQ39" s="573"/>
      <c r="IR39" s="573"/>
      <c r="IS39" s="573"/>
      <c r="IT39" s="573"/>
      <c r="IU39" s="573"/>
      <c r="IV39" s="573"/>
      <c r="IW39" s="573"/>
    </row>
    <row r="40" customFormat="false" ht="14.25" hidden="false" customHeight="false" outlineLevel="0" collapsed="false">
      <c r="A40" s="558" t="s">
        <v>429</v>
      </c>
      <c r="B40" s="572"/>
      <c r="C40" s="573"/>
      <c r="D40" s="574"/>
      <c r="E40" s="575"/>
      <c r="F40" s="574"/>
      <c r="G40" s="574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573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573"/>
      <c r="AE40" s="573"/>
      <c r="AF40" s="573"/>
      <c r="AG40" s="573"/>
      <c r="AH40" s="573"/>
      <c r="AI40" s="573"/>
      <c r="AJ40" s="573"/>
      <c r="AK40" s="573"/>
      <c r="AL40" s="573"/>
      <c r="AM40" s="573"/>
      <c r="AN40" s="573"/>
      <c r="AO40" s="573"/>
      <c r="AP40" s="573"/>
      <c r="AQ40" s="573"/>
      <c r="AR40" s="573"/>
      <c r="AS40" s="573"/>
      <c r="AT40" s="573"/>
      <c r="AU40" s="573"/>
      <c r="AV40" s="573"/>
      <c r="AW40" s="573"/>
      <c r="AX40" s="573"/>
      <c r="AY40" s="573"/>
      <c r="AZ40" s="573"/>
      <c r="BA40" s="573"/>
      <c r="BB40" s="573"/>
      <c r="BC40" s="573"/>
      <c r="BD40" s="573"/>
      <c r="BE40" s="573"/>
      <c r="BF40" s="573"/>
      <c r="BG40" s="573"/>
      <c r="BH40" s="573"/>
      <c r="BI40" s="573"/>
      <c r="BJ40" s="573"/>
      <c r="BK40" s="573"/>
      <c r="BL40" s="573"/>
      <c r="BM40" s="573"/>
      <c r="BN40" s="573"/>
      <c r="BO40" s="573"/>
      <c r="BP40" s="573"/>
      <c r="BQ40" s="573"/>
      <c r="BR40" s="573"/>
      <c r="BS40" s="573"/>
      <c r="BT40" s="573"/>
      <c r="BU40" s="573"/>
      <c r="BV40" s="573"/>
      <c r="BW40" s="573"/>
      <c r="BX40" s="573"/>
      <c r="BY40" s="573"/>
      <c r="BZ40" s="573"/>
      <c r="CA40" s="573"/>
      <c r="CB40" s="573"/>
      <c r="CC40" s="573"/>
      <c r="CD40" s="573"/>
      <c r="CE40" s="573"/>
      <c r="CF40" s="573"/>
      <c r="CG40" s="573"/>
      <c r="CH40" s="573"/>
      <c r="CI40" s="573"/>
      <c r="CJ40" s="573"/>
      <c r="CK40" s="573"/>
      <c r="CL40" s="573"/>
      <c r="CM40" s="573"/>
      <c r="CN40" s="573"/>
      <c r="CO40" s="573"/>
      <c r="CP40" s="573"/>
      <c r="CQ40" s="573"/>
      <c r="CR40" s="573"/>
      <c r="CS40" s="573"/>
      <c r="CT40" s="573"/>
      <c r="CU40" s="573"/>
      <c r="CV40" s="573"/>
      <c r="CW40" s="573"/>
      <c r="CX40" s="573"/>
      <c r="CY40" s="573"/>
      <c r="CZ40" s="573"/>
      <c r="DA40" s="573"/>
      <c r="DB40" s="573"/>
      <c r="DC40" s="573"/>
      <c r="DD40" s="573"/>
      <c r="DE40" s="573"/>
      <c r="DF40" s="573"/>
      <c r="DG40" s="573"/>
      <c r="DH40" s="573"/>
      <c r="DI40" s="573"/>
      <c r="DJ40" s="573"/>
      <c r="DK40" s="573"/>
      <c r="DL40" s="573"/>
      <c r="DM40" s="573"/>
      <c r="DN40" s="573"/>
      <c r="DO40" s="573"/>
      <c r="DP40" s="573"/>
      <c r="DQ40" s="573"/>
      <c r="DR40" s="573"/>
      <c r="DS40" s="573"/>
      <c r="DT40" s="573"/>
      <c r="DU40" s="573"/>
      <c r="DV40" s="573"/>
      <c r="DW40" s="573"/>
      <c r="DX40" s="573"/>
      <c r="DY40" s="573"/>
      <c r="DZ40" s="573"/>
      <c r="EA40" s="573"/>
      <c r="EB40" s="573"/>
      <c r="EC40" s="573"/>
      <c r="ED40" s="573"/>
      <c r="EE40" s="573"/>
      <c r="EF40" s="573"/>
      <c r="EG40" s="573"/>
      <c r="EH40" s="573"/>
      <c r="EI40" s="573"/>
      <c r="EJ40" s="573"/>
      <c r="EK40" s="573"/>
      <c r="EL40" s="573"/>
      <c r="EM40" s="573"/>
      <c r="EN40" s="573"/>
      <c r="EO40" s="573"/>
      <c r="EP40" s="573"/>
      <c r="EQ40" s="573"/>
      <c r="ER40" s="573"/>
      <c r="ES40" s="573"/>
      <c r="ET40" s="573"/>
      <c r="EU40" s="573"/>
      <c r="EV40" s="573"/>
      <c r="EW40" s="573"/>
      <c r="EX40" s="573"/>
      <c r="EY40" s="573"/>
      <c r="EZ40" s="573"/>
      <c r="FA40" s="573"/>
      <c r="FB40" s="573"/>
      <c r="FC40" s="573"/>
      <c r="FD40" s="573"/>
      <c r="FE40" s="573"/>
      <c r="FF40" s="573"/>
      <c r="FG40" s="573"/>
      <c r="FH40" s="573"/>
      <c r="FI40" s="573"/>
      <c r="FJ40" s="573"/>
      <c r="FK40" s="573"/>
      <c r="FL40" s="573"/>
      <c r="FM40" s="573"/>
      <c r="FN40" s="573"/>
      <c r="FO40" s="573"/>
      <c r="FP40" s="573"/>
      <c r="FQ40" s="573"/>
      <c r="FR40" s="573"/>
      <c r="FS40" s="573"/>
      <c r="FT40" s="573"/>
      <c r="FU40" s="573"/>
      <c r="FV40" s="573"/>
      <c r="FW40" s="573"/>
      <c r="FX40" s="573"/>
      <c r="FY40" s="573"/>
      <c r="FZ40" s="573"/>
      <c r="GA40" s="573"/>
      <c r="GB40" s="573"/>
      <c r="GC40" s="573"/>
      <c r="GD40" s="573"/>
      <c r="GE40" s="573"/>
      <c r="GF40" s="573"/>
      <c r="GG40" s="573"/>
      <c r="GH40" s="573"/>
      <c r="GI40" s="573"/>
      <c r="GJ40" s="573"/>
      <c r="GK40" s="573"/>
      <c r="GL40" s="573"/>
      <c r="GM40" s="573"/>
      <c r="GN40" s="573"/>
      <c r="GO40" s="573"/>
      <c r="GP40" s="573"/>
      <c r="GQ40" s="573"/>
      <c r="GR40" s="573"/>
      <c r="GS40" s="573"/>
      <c r="GT40" s="573"/>
      <c r="GU40" s="573"/>
      <c r="GV40" s="573"/>
      <c r="GW40" s="573"/>
      <c r="GX40" s="573"/>
      <c r="GY40" s="573"/>
      <c r="GZ40" s="573"/>
      <c r="HA40" s="573"/>
      <c r="HB40" s="573"/>
      <c r="HC40" s="573"/>
      <c r="HD40" s="573"/>
      <c r="HE40" s="573"/>
      <c r="HF40" s="573"/>
      <c r="HG40" s="573"/>
      <c r="HH40" s="573"/>
      <c r="HI40" s="573"/>
      <c r="HJ40" s="573"/>
      <c r="HK40" s="573"/>
      <c r="HL40" s="573"/>
      <c r="HM40" s="573"/>
      <c r="HN40" s="573"/>
      <c r="HO40" s="573"/>
      <c r="HP40" s="573"/>
      <c r="HQ40" s="573"/>
      <c r="HR40" s="573"/>
      <c r="HS40" s="573"/>
      <c r="HT40" s="573"/>
      <c r="HU40" s="573"/>
      <c r="HV40" s="573"/>
      <c r="HW40" s="573"/>
      <c r="HX40" s="573"/>
      <c r="HY40" s="573"/>
      <c r="HZ40" s="573"/>
      <c r="IA40" s="573"/>
      <c r="IB40" s="573"/>
      <c r="IC40" s="573"/>
      <c r="ID40" s="573"/>
      <c r="IE40" s="573"/>
      <c r="IF40" s="573"/>
      <c r="IG40" s="573"/>
      <c r="IH40" s="573"/>
      <c r="II40" s="573"/>
      <c r="IJ40" s="573"/>
      <c r="IK40" s="573"/>
      <c r="IL40" s="573"/>
      <c r="IM40" s="573"/>
      <c r="IN40" s="573"/>
      <c r="IO40" s="573"/>
      <c r="IP40" s="573"/>
      <c r="IQ40" s="573"/>
      <c r="IR40" s="573"/>
      <c r="IS40" s="573"/>
      <c r="IT40" s="573"/>
      <c r="IU40" s="573"/>
      <c r="IV40" s="573"/>
      <c r="IW40" s="573"/>
    </row>
    <row r="41" customFormat="false" ht="14.25" hidden="false" customHeight="false" outlineLevel="0" collapsed="false">
      <c r="A41" s="558" t="s">
        <v>430</v>
      </c>
      <c r="B41" s="572"/>
      <c r="C41" s="573"/>
      <c r="D41" s="574"/>
      <c r="E41" s="575"/>
      <c r="F41" s="574"/>
      <c r="G41" s="574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573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573"/>
      <c r="AE41" s="573"/>
      <c r="AF41" s="573"/>
      <c r="AG41" s="573"/>
      <c r="AH41" s="573"/>
      <c r="AI41" s="573"/>
      <c r="AJ41" s="573"/>
      <c r="AK41" s="573"/>
      <c r="AL41" s="573"/>
      <c r="AM41" s="573"/>
      <c r="AN41" s="573"/>
      <c r="AO41" s="573"/>
      <c r="AP41" s="573"/>
      <c r="AQ41" s="573"/>
      <c r="AR41" s="573"/>
      <c r="AS41" s="573"/>
      <c r="AT41" s="573"/>
      <c r="AU41" s="573"/>
      <c r="AV41" s="573"/>
      <c r="AW41" s="573"/>
      <c r="AX41" s="573"/>
      <c r="AY41" s="573"/>
      <c r="AZ41" s="573"/>
      <c r="BA41" s="573"/>
      <c r="BB41" s="573"/>
      <c r="BC41" s="573"/>
      <c r="BD41" s="573"/>
      <c r="BE41" s="573"/>
      <c r="BF41" s="573"/>
      <c r="BG41" s="573"/>
      <c r="BH41" s="573"/>
      <c r="BI41" s="573"/>
      <c r="BJ41" s="573"/>
      <c r="BK41" s="573"/>
      <c r="BL41" s="573"/>
      <c r="BM41" s="573"/>
      <c r="BN41" s="573"/>
      <c r="BO41" s="573"/>
      <c r="BP41" s="573"/>
      <c r="BQ41" s="573"/>
      <c r="BR41" s="573"/>
      <c r="BS41" s="573"/>
      <c r="BT41" s="573"/>
      <c r="BU41" s="573"/>
      <c r="BV41" s="573"/>
      <c r="BW41" s="573"/>
      <c r="BX41" s="573"/>
      <c r="BY41" s="573"/>
      <c r="BZ41" s="573"/>
      <c r="CA41" s="573"/>
      <c r="CB41" s="573"/>
      <c r="CC41" s="573"/>
      <c r="CD41" s="573"/>
      <c r="CE41" s="573"/>
      <c r="CF41" s="573"/>
      <c r="CG41" s="573"/>
      <c r="CH41" s="573"/>
      <c r="CI41" s="573"/>
      <c r="CJ41" s="573"/>
      <c r="CK41" s="573"/>
      <c r="CL41" s="573"/>
      <c r="CM41" s="573"/>
      <c r="CN41" s="573"/>
      <c r="CO41" s="573"/>
      <c r="CP41" s="573"/>
      <c r="CQ41" s="573"/>
      <c r="CR41" s="573"/>
      <c r="CS41" s="573"/>
      <c r="CT41" s="573"/>
      <c r="CU41" s="573"/>
      <c r="CV41" s="573"/>
      <c r="CW41" s="573"/>
      <c r="CX41" s="573"/>
      <c r="CY41" s="573"/>
      <c r="CZ41" s="573"/>
      <c r="DA41" s="573"/>
      <c r="DB41" s="573"/>
      <c r="DC41" s="573"/>
      <c r="DD41" s="573"/>
      <c r="DE41" s="573"/>
      <c r="DF41" s="573"/>
      <c r="DG41" s="573"/>
      <c r="DH41" s="573"/>
      <c r="DI41" s="573"/>
      <c r="DJ41" s="573"/>
      <c r="DK41" s="573"/>
      <c r="DL41" s="573"/>
      <c r="DM41" s="573"/>
      <c r="DN41" s="573"/>
      <c r="DO41" s="573"/>
      <c r="DP41" s="573"/>
      <c r="DQ41" s="573"/>
      <c r="DR41" s="573"/>
      <c r="DS41" s="573"/>
      <c r="DT41" s="573"/>
      <c r="DU41" s="573"/>
      <c r="DV41" s="573"/>
      <c r="DW41" s="573"/>
      <c r="DX41" s="573"/>
      <c r="DY41" s="573"/>
      <c r="DZ41" s="573"/>
      <c r="EA41" s="573"/>
      <c r="EB41" s="573"/>
      <c r="EC41" s="573"/>
      <c r="ED41" s="573"/>
      <c r="EE41" s="573"/>
      <c r="EF41" s="573"/>
      <c r="EG41" s="573"/>
      <c r="EH41" s="573"/>
      <c r="EI41" s="573"/>
      <c r="EJ41" s="573"/>
      <c r="EK41" s="573"/>
      <c r="EL41" s="573"/>
      <c r="EM41" s="573"/>
      <c r="EN41" s="573"/>
      <c r="EO41" s="573"/>
      <c r="EP41" s="573"/>
      <c r="EQ41" s="573"/>
      <c r="ER41" s="573"/>
      <c r="ES41" s="573"/>
      <c r="ET41" s="573"/>
      <c r="EU41" s="573"/>
      <c r="EV41" s="573"/>
      <c r="EW41" s="573"/>
      <c r="EX41" s="573"/>
      <c r="EY41" s="573"/>
      <c r="EZ41" s="573"/>
      <c r="FA41" s="573"/>
      <c r="FB41" s="573"/>
      <c r="FC41" s="573"/>
      <c r="FD41" s="573"/>
      <c r="FE41" s="573"/>
      <c r="FF41" s="573"/>
      <c r="FG41" s="573"/>
      <c r="FH41" s="573"/>
      <c r="FI41" s="573"/>
      <c r="FJ41" s="573"/>
      <c r="FK41" s="573"/>
      <c r="FL41" s="573"/>
      <c r="FM41" s="573"/>
      <c r="FN41" s="573"/>
      <c r="FO41" s="573"/>
      <c r="FP41" s="573"/>
      <c r="FQ41" s="573"/>
      <c r="FR41" s="573"/>
      <c r="FS41" s="573"/>
      <c r="FT41" s="573"/>
      <c r="FU41" s="573"/>
      <c r="FV41" s="573"/>
      <c r="FW41" s="573"/>
      <c r="FX41" s="573"/>
      <c r="FY41" s="573"/>
      <c r="FZ41" s="573"/>
      <c r="GA41" s="573"/>
      <c r="GB41" s="573"/>
      <c r="GC41" s="573"/>
      <c r="GD41" s="573"/>
      <c r="GE41" s="573"/>
      <c r="GF41" s="573"/>
      <c r="GG41" s="573"/>
      <c r="GH41" s="573"/>
      <c r="GI41" s="573"/>
      <c r="GJ41" s="573"/>
      <c r="GK41" s="573"/>
      <c r="GL41" s="573"/>
      <c r="GM41" s="573"/>
      <c r="GN41" s="573"/>
      <c r="GO41" s="573"/>
      <c r="GP41" s="573"/>
      <c r="GQ41" s="573"/>
      <c r="GR41" s="573"/>
      <c r="GS41" s="573"/>
      <c r="GT41" s="573"/>
      <c r="GU41" s="573"/>
      <c r="GV41" s="573"/>
      <c r="GW41" s="573"/>
      <c r="GX41" s="573"/>
      <c r="GY41" s="573"/>
      <c r="GZ41" s="573"/>
      <c r="HA41" s="573"/>
      <c r="HB41" s="573"/>
      <c r="HC41" s="573"/>
      <c r="HD41" s="573"/>
      <c r="HE41" s="573"/>
      <c r="HF41" s="573"/>
      <c r="HG41" s="573"/>
      <c r="HH41" s="573"/>
      <c r="HI41" s="573"/>
      <c r="HJ41" s="573"/>
      <c r="HK41" s="573"/>
      <c r="HL41" s="573"/>
      <c r="HM41" s="573"/>
      <c r="HN41" s="573"/>
      <c r="HO41" s="573"/>
      <c r="HP41" s="573"/>
      <c r="HQ41" s="573"/>
      <c r="HR41" s="573"/>
      <c r="HS41" s="573"/>
      <c r="HT41" s="573"/>
      <c r="HU41" s="573"/>
      <c r="HV41" s="573"/>
      <c r="HW41" s="573"/>
      <c r="HX41" s="573"/>
      <c r="HY41" s="573"/>
      <c r="HZ41" s="573"/>
      <c r="IA41" s="573"/>
      <c r="IB41" s="573"/>
      <c r="IC41" s="573"/>
      <c r="ID41" s="573"/>
      <c r="IE41" s="573"/>
      <c r="IF41" s="573"/>
      <c r="IG41" s="573"/>
      <c r="IH41" s="573"/>
      <c r="II41" s="573"/>
      <c r="IJ41" s="573"/>
      <c r="IK41" s="573"/>
      <c r="IL41" s="573"/>
      <c r="IM41" s="573"/>
      <c r="IN41" s="573"/>
      <c r="IO41" s="573"/>
      <c r="IP41" s="573"/>
      <c r="IQ41" s="573"/>
      <c r="IR41" s="573"/>
      <c r="IS41" s="573"/>
      <c r="IT41" s="573"/>
      <c r="IU41" s="573"/>
      <c r="IV41" s="573"/>
      <c r="IW41" s="573"/>
    </row>
    <row r="42" customFormat="false" ht="14.25" hidden="false" customHeight="false" outlineLevel="0" collapsed="false">
      <c r="A42" s="558" t="s">
        <v>431</v>
      </c>
      <c r="B42" s="572"/>
      <c r="C42" s="573"/>
      <c r="D42" s="574"/>
      <c r="E42" s="575"/>
      <c r="F42" s="574"/>
      <c r="G42" s="574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573"/>
      <c r="S42" s="573"/>
      <c r="T42" s="573"/>
      <c r="U42" s="573"/>
      <c r="V42" s="573"/>
      <c r="W42" s="573"/>
      <c r="X42" s="573"/>
      <c r="Y42" s="573"/>
      <c r="Z42" s="573"/>
      <c r="AA42" s="573"/>
      <c r="AB42" s="573"/>
      <c r="AC42" s="573"/>
      <c r="AD42" s="573"/>
      <c r="AE42" s="573"/>
      <c r="AF42" s="573"/>
      <c r="AG42" s="573"/>
      <c r="AH42" s="573"/>
      <c r="AI42" s="573"/>
      <c r="AJ42" s="573"/>
      <c r="AK42" s="573"/>
      <c r="AL42" s="573"/>
      <c r="AM42" s="573"/>
      <c r="AN42" s="573"/>
      <c r="AO42" s="573"/>
      <c r="AP42" s="573"/>
      <c r="AQ42" s="573"/>
      <c r="AR42" s="573"/>
      <c r="AS42" s="573"/>
      <c r="AT42" s="573"/>
      <c r="AU42" s="573"/>
      <c r="AV42" s="573"/>
      <c r="AW42" s="573"/>
      <c r="AX42" s="573"/>
      <c r="AY42" s="573"/>
      <c r="AZ42" s="573"/>
      <c r="BA42" s="573"/>
      <c r="BB42" s="573"/>
      <c r="BC42" s="573"/>
      <c r="BD42" s="573"/>
      <c r="BE42" s="573"/>
      <c r="BF42" s="573"/>
      <c r="BG42" s="573"/>
      <c r="BH42" s="573"/>
      <c r="BI42" s="573"/>
      <c r="BJ42" s="573"/>
      <c r="BK42" s="573"/>
      <c r="BL42" s="573"/>
      <c r="BM42" s="573"/>
      <c r="BN42" s="573"/>
      <c r="BO42" s="573"/>
      <c r="BP42" s="573"/>
      <c r="BQ42" s="573"/>
      <c r="BR42" s="573"/>
      <c r="BS42" s="573"/>
      <c r="BT42" s="573"/>
      <c r="BU42" s="573"/>
      <c r="BV42" s="573"/>
      <c r="BW42" s="573"/>
      <c r="BX42" s="573"/>
      <c r="BY42" s="573"/>
      <c r="BZ42" s="573"/>
      <c r="CA42" s="573"/>
      <c r="CB42" s="573"/>
      <c r="CC42" s="573"/>
      <c r="CD42" s="573"/>
      <c r="CE42" s="573"/>
      <c r="CF42" s="573"/>
      <c r="CG42" s="573"/>
      <c r="CH42" s="573"/>
      <c r="CI42" s="573"/>
      <c r="CJ42" s="573"/>
      <c r="CK42" s="573"/>
      <c r="CL42" s="573"/>
      <c r="CM42" s="573"/>
      <c r="CN42" s="573"/>
      <c r="CO42" s="573"/>
      <c r="CP42" s="573"/>
      <c r="CQ42" s="573"/>
      <c r="CR42" s="573"/>
      <c r="CS42" s="573"/>
      <c r="CT42" s="573"/>
      <c r="CU42" s="573"/>
      <c r="CV42" s="573"/>
      <c r="CW42" s="573"/>
      <c r="CX42" s="573"/>
      <c r="CY42" s="573"/>
      <c r="CZ42" s="573"/>
      <c r="DA42" s="573"/>
      <c r="DB42" s="573"/>
      <c r="DC42" s="573"/>
      <c r="DD42" s="573"/>
      <c r="DE42" s="573"/>
      <c r="DF42" s="573"/>
      <c r="DG42" s="573"/>
      <c r="DH42" s="573"/>
      <c r="DI42" s="573"/>
      <c r="DJ42" s="573"/>
      <c r="DK42" s="573"/>
      <c r="DL42" s="573"/>
      <c r="DM42" s="573"/>
      <c r="DN42" s="573"/>
      <c r="DO42" s="573"/>
      <c r="DP42" s="573"/>
      <c r="DQ42" s="573"/>
      <c r="DR42" s="573"/>
      <c r="DS42" s="573"/>
      <c r="DT42" s="573"/>
      <c r="DU42" s="573"/>
      <c r="DV42" s="573"/>
      <c r="DW42" s="573"/>
      <c r="DX42" s="573"/>
      <c r="DY42" s="573"/>
      <c r="DZ42" s="573"/>
      <c r="EA42" s="573"/>
      <c r="EB42" s="573"/>
      <c r="EC42" s="573"/>
      <c r="ED42" s="573"/>
      <c r="EE42" s="573"/>
      <c r="EF42" s="573"/>
      <c r="EG42" s="573"/>
      <c r="EH42" s="573"/>
      <c r="EI42" s="573"/>
      <c r="EJ42" s="573"/>
      <c r="EK42" s="573"/>
      <c r="EL42" s="573"/>
      <c r="EM42" s="573"/>
      <c r="EN42" s="573"/>
      <c r="EO42" s="573"/>
      <c r="EP42" s="573"/>
      <c r="EQ42" s="573"/>
      <c r="ER42" s="573"/>
      <c r="ES42" s="573"/>
      <c r="ET42" s="573"/>
      <c r="EU42" s="573"/>
      <c r="EV42" s="573"/>
      <c r="EW42" s="573"/>
      <c r="EX42" s="573"/>
      <c r="EY42" s="573"/>
      <c r="EZ42" s="573"/>
      <c r="FA42" s="573"/>
      <c r="FB42" s="573"/>
      <c r="FC42" s="573"/>
      <c r="FD42" s="573"/>
      <c r="FE42" s="573"/>
      <c r="FF42" s="573"/>
      <c r="FG42" s="573"/>
      <c r="FH42" s="573"/>
      <c r="FI42" s="573"/>
      <c r="FJ42" s="573"/>
      <c r="FK42" s="573"/>
      <c r="FL42" s="573"/>
      <c r="FM42" s="573"/>
      <c r="FN42" s="573"/>
      <c r="FO42" s="573"/>
      <c r="FP42" s="573"/>
      <c r="FQ42" s="573"/>
      <c r="FR42" s="573"/>
      <c r="FS42" s="573"/>
      <c r="FT42" s="573"/>
      <c r="FU42" s="573"/>
      <c r="FV42" s="573"/>
      <c r="FW42" s="573"/>
      <c r="FX42" s="573"/>
      <c r="FY42" s="573"/>
      <c r="FZ42" s="573"/>
      <c r="GA42" s="573"/>
      <c r="GB42" s="573"/>
      <c r="GC42" s="573"/>
      <c r="GD42" s="573"/>
      <c r="GE42" s="573"/>
      <c r="GF42" s="573"/>
      <c r="GG42" s="573"/>
      <c r="GH42" s="573"/>
      <c r="GI42" s="573"/>
      <c r="GJ42" s="573"/>
      <c r="GK42" s="573"/>
      <c r="GL42" s="573"/>
      <c r="GM42" s="573"/>
      <c r="GN42" s="573"/>
      <c r="GO42" s="573"/>
      <c r="GP42" s="573"/>
      <c r="GQ42" s="573"/>
      <c r="GR42" s="573"/>
      <c r="GS42" s="573"/>
      <c r="GT42" s="573"/>
      <c r="GU42" s="573"/>
      <c r="GV42" s="573"/>
      <c r="GW42" s="573"/>
      <c r="GX42" s="573"/>
      <c r="GY42" s="573"/>
      <c r="GZ42" s="573"/>
      <c r="HA42" s="573"/>
      <c r="HB42" s="573"/>
      <c r="HC42" s="573"/>
      <c r="HD42" s="573"/>
      <c r="HE42" s="573"/>
      <c r="HF42" s="573"/>
      <c r="HG42" s="573"/>
      <c r="HH42" s="573"/>
      <c r="HI42" s="573"/>
      <c r="HJ42" s="573"/>
      <c r="HK42" s="573"/>
      <c r="HL42" s="573"/>
      <c r="HM42" s="573"/>
      <c r="HN42" s="573"/>
      <c r="HO42" s="573"/>
      <c r="HP42" s="573"/>
      <c r="HQ42" s="573"/>
      <c r="HR42" s="573"/>
      <c r="HS42" s="573"/>
      <c r="HT42" s="573"/>
      <c r="HU42" s="573"/>
      <c r="HV42" s="573"/>
      <c r="HW42" s="573"/>
      <c r="HX42" s="573"/>
      <c r="HY42" s="573"/>
      <c r="HZ42" s="573"/>
      <c r="IA42" s="573"/>
      <c r="IB42" s="573"/>
      <c r="IC42" s="573"/>
      <c r="ID42" s="573"/>
      <c r="IE42" s="573"/>
      <c r="IF42" s="573"/>
      <c r="IG42" s="573"/>
      <c r="IH42" s="573"/>
      <c r="II42" s="573"/>
      <c r="IJ42" s="573"/>
      <c r="IK42" s="573"/>
      <c r="IL42" s="573"/>
      <c r="IM42" s="573"/>
      <c r="IN42" s="573"/>
      <c r="IO42" s="573"/>
      <c r="IP42" s="573"/>
      <c r="IQ42" s="573"/>
      <c r="IR42" s="573"/>
      <c r="IS42" s="573"/>
      <c r="IT42" s="573"/>
      <c r="IU42" s="573"/>
      <c r="IV42" s="573"/>
      <c r="IW42" s="573"/>
    </row>
    <row r="43" customFormat="false" ht="14.25" hidden="false" customHeight="false" outlineLevel="0" collapsed="false">
      <c r="A43" s="558" t="s">
        <v>432</v>
      </c>
      <c r="B43" s="572"/>
      <c r="C43" s="575"/>
      <c r="D43" s="574"/>
      <c r="E43" s="580"/>
      <c r="F43" s="574"/>
      <c r="G43" s="574"/>
      <c r="H43" s="573"/>
      <c r="I43" s="573"/>
      <c r="J43" s="573"/>
      <c r="K43" s="573"/>
      <c r="L43" s="573"/>
      <c r="M43" s="573"/>
      <c r="N43" s="573"/>
      <c r="O43" s="573"/>
      <c r="P43" s="573"/>
      <c r="Q43" s="573"/>
      <c r="R43" s="573"/>
      <c r="S43" s="573"/>
      <c r="T43" s="573"/>
      <c r="U43" s="573"/>
      <c r="V43" s="573"/>
      <c r="W43" s="573"/>
      <c r="X43" s="573"/>
      <c r="Y43" s="573"/>
      <c r="Z43" s="573"/>
      <c r="AA43" s="573"/>
      <c r="AB43" s="573"/>
      <c r="AC43" s="573"/>
      <c r="AD43" s="573"/>
      <c r="AE43" s="573"/>
      <c r="AF43" s="573"/>
      <c r="AG43" s="573"/>
      <c r="AH43" s="573"/>
      <c r="AI43" s="573"/>
      <c r="AJ43" s="573"/>
      <c r="AK43" s="573"/>
      <c r="AL43" s="573"/>
      <c r="AM43" s="573"/>
      <c r="AN43" s="573"/>
      <c r="AO43" s="573"/>
      <c r="AP43" s="573"/>
      <c r="AQ43" s="573"/>
      <c r="AR43" s="573"/>
      <c r="AS43" s="573"/>
      <c r="AT43" s="573"/>
      <c r="AU43" s="573"/>
      <c r="AV43" s="573"/>
      <c r="AW43" s="573"/>
      <c r="AX43" s="573"/>
      <c r="AY43" s="573"/>
      <c r="AZ43" s="573"/>
      <c r="BA43" s="573"/>
      <c r="BB43" s="573"/>
      <c r="BC43" s="573"/>
      <c r="BD43" s="573"/>
      <c r="BE43" s="573"/>
      <c r="BF43" s="573"/>
      <c r="BG43" s="573"/>
      <c r="BH43" s="573"/>
      <c r="BI43" s="573"/>
      <c r="BJ43" s="573"/>
      <c r="BK43" s="573"/>
      <c r="BL43" s="573"/>
      <c r="BM43" s="573"/>
      <c r="BN43" s="573"/>
      <c r="BO43" s="573"/>
      <c r="BP43" s="573"/>
      <c r="BQ43" s="573"/>
      <c r="BR43" s="573"/>
      <c r="BS43" s="573"/>
      <c r="BT43" s="573"/>
      <c r="BU43" s="573"/>
      <c r="BV43" s="573"/>
      <c r="BW43" s="573"/>
      <c r="BX43" s="573"/>
      <c r="BY43" s="573"/>
      <c r="BZ43" s="573"/>
      <c r="CA43" s="573"/>
      <c r="CB43" s="573"/>
      <c r="CC43" s="573"/>
      <c r="CD43" s="573"/>
      <c r="CE43" s="573"/>
      <c r="CF43" s="573"/>
      <c r="CG43" s="573"/>
      <c r="CH43" s="573"/>
      <c r="CI43" s="573"/>
      <c r="CJ43" s="573"/>
      <c r="CK43" s="573"/>
      <c r="CL43" s="573"/>
      <c r="CM43" s="573"/>
      <c r="CN43" s="573"/>
      <c r="CO43" s="573"/>
      <c r="CP43" s="573"/>
      <c r="CQ43" s="573"/>
      <c r="CR43" s="573"/>
      <c r="CS43" s="573"/>
      <c r="CT43" s="573"/>
      <c r="CU43" s="573"/>
      <c r="CV43" s="573"/>
      <c r="CW43" s="573"/>
      <c r="CX43" s="573"/>
      <c r="CY43" s="573"/>
      <c r="CZ43" s="573"/>
      <c r="DA43" s="573"/>
      <c r="DB43" s="573"/>
      <c r="DC43" s="573"/>
      <c r="DD43" s="573"/>
      <c r="DE43" s="573"/>
      <c r="DF43" s="573"/>
      <c r="DG43" s="573"/>
      <c r="DH43" s="573"/>
      <c r="DI43" s="573"/>
      <c r="DJ43" s="573"/>
      <c r="DK43" s="573"/>
      <c r="DL43" s="573"/>
      <c r="DM43" s="573"/>
      <c r="DN43" s="573"/>
      <c r="DO43" s="573"/>
      <c r="DP43" s="573"/>
      <c r="DQ43" s="573"/>
      <c r="DR43" s="573"/>
      <c r="DS43" s="573"/>
      <c r="DT43" s="573"/>
      <c r="DU43" s="573"/>
      <c r="DV43" s="573"/>
      <c r="DW43" s="573"/>
      <c r="DX43" s="573"/>
      <c r="DY43" s="573"/>
      <c r="DZ43" s="573"/>
      <c r="EA43" s="573"/>
      <c r="EB43" s="573"/>
      <c r="EC43" s="573"/>
      <c r="ED43" s="573"/>
      <c r="EE43" s="573"/>
      <c r="EF43" s="573"/>
      <c r="EG43" s="573"/>
      <c r="EH43" s="573"/>
      <c r="EI43" s="573"/>
      <c r="EJ43" s="573"/>
      <c r="EK43" s="573"/>
      <c r="EL43" s="573"/>
      <c r="EM43" s="573"/>
      <c r="EN43" s="573"/>
      <c r="EO43" s="573"/>
      <c r="EP43" s="573"/>
      <c r="EQ43" s="573"/>
      <c r="ER43" s="573"/>
      <c r="ES43" s="573"/>
      <c r="ET43" s="573"/>
      <c r="EU43" s="573"/>
      <c r="EV43" s="573"/>
      <c r="EW43" s="573"/>
      <c r="EX43" s="573"/>
      <c r="EY43" s="573"/>
      <c r="EZ43" s="573"/>
      <c r="FA43" s="573"/>
      <c r="FB43" s="573"/>
      <c r="FC43" s="573"/>
      <c r="FD43" s="573"/>
      <c r="FE43" s="573"/>
      <c r="FF43" s="573"/>
      <c r="FG43" s="573"/>
      <c r="FH43" s="573"/>
      <c r="FI43" s="573"/>
      <c r="FJ43" s="573"/>
      <c r="FK43" s="573"/>
      <c r="FL43" s="573"/>
      <c r="FM43" s="573"/>
      <c r="FN43" s="573"/>
      <c r="FO43" s="573"/>
      <c r="FP43" s="573"/>
      <c r="FQ43" s="573"/>
      <c r="FR43" s="573"/>
      <c r="FS43" s="573"/>
      <c r="FT43" s="573"/>
      <c r="FU43" s="573"/>
      <c r="FV43" s="573"/>
      <c r="FW43" s="573"/>
      <c r="FX43" s="573"/>
      <c r="FY43" s="573"/>
      <c r="FZ43" s="573"/>
      <c r="GA43" s="573"/>
      <c r="GB43" s="573"/>
      <c r="GC43" s="573"/>
      <c r="GD43" s="573"/>
      <c r="GE43" s="573"/>
      <c r="GF43" s="573"/>
      <c r="GG43" s="573"/>
      <c r="GH43" s="573"/>
      <c r="GI43" s="573"/>
      <c r="GJ43" s="573"/>
      <c r="GK43" s="573"/>
      <c r="GL43" s="573"/>
      <c r="GM43" s="573"/>
      <c r="GN43" s="573"/>
      <c r="GO43" s="573"/>
      <c r="GP43" s="573"/>
      <c r="GQ43" s="573"/>
      <c r="GR43" s="573"/>
      <c r="GS43" s="573"/>
      <c r="GT43" s="573"/>
      <c r="GU43" s="573"/>
      <c r="GV43" s="573"/>
      <c r="GW43" s="573"/>
      <c r="GX43" s="573"/>
      <c r="GY43" s="573"/>
      <c r="GZ43" s="573"/>
      <c r="HA43" s="573"/>
      <c r="HB43" s="573"/>
      <c r="HC43" s="573"/>
      <c r="HD43" s="573"/>
      <c r="HE43" s="573"/>
      <c r="HF43" s="573"/>
      <c r="HG43" s="573"/>
      <c r="HH43" s="573"/>
      <c r="HI43" s="573"/>
      <c r="HJ43" s="573"/>
      <c r="HK43" s="573"/>
      <c r="HL43" s="573"/>
      <c r="HM43" s="573"/>
      <c r="HN43" s="573"/>
      <c r="HO43" s="573"/>
      <c r="HP43" s="573"/>
      <c r="HQ43" s="573"/>
      <c r="HR43" s="573"/>
      <c r="HS43" s="573"/>
      <c r="HT43" s="573"/>
      <c r="HU43" s="573"/>
      <c r="HV43" s="573"/>
      <c r="HW43" s="573"/>
      <c r="HX43" s="573"/>
      <c r="HY43" s="573"/>
      <c r="HZ43" s="573"/>
      <c r="IA43" s="573"/>
      <c r="IB43" s="573"/>
      <c r="IC43" s="573"/>
      <c r="ID43" s="573"/>
      <c r="IE43" s="573"/>
      <c r="IF43" s="573"/>
      <c r="IG43" s="573"/>
      <c r="IH43" s="573"/>
      <c r="II43" s="573"/>
      <c r="IJ43" s="573"/>
      <c r="IK43" s="573"/>
      <c r="IL43" s="573"/>
      <c r="IM43" s="573"/>
      <c r="IN43" s="573"/>
      <c r="IO43" s="573"/>
      <c r="IP43" s="573"/>
      <c r="IQ43" s="573"/>
      <c r="IR43" s="573"/>
      <c r="IS43" s="573"/>
      <c r="IT43" s="573"/>
      <c r="IU43" s="573"/>
      <c r="IV43" s="573"/>
      <c r="IW43" s="573"/>
    </row>
    <row r="44" customFormat="false" ht="14.25" hidden="false" customHeight="false" outlineLevel="0" collapsed="false">
      <c r="A44" s="558" t="s">
        <v>433</v>
      </c>
      <c r="B44" s="572"/>
      <c r="C44" s="575"/>
      <c r="D44" s="574"/>
      <c r="E44" s="580"/>
      <c r="F44" s="574"/>
      <c r="G44" s="574"/>
      <c r="H44" s="573"/>
      <c r="I44" s="573"/>
      <c r="J44" s="573"/>
      <c r="K44" s="573"/>
      <c r="L44" s="573"/>
      <c r="M44" s="573"/>
      <c r="N44" s="573"/>
      <c r="O44" s="573"/>
      <c r="P44" s="573"/>
      <c r="Q44" s="573"/>
      <c r="R44" s="573"/>
      <c r="S44" s="573"/>
      <c r="T44" s="573"/>
      <c r="U44" s="573"/>
      <c r="V44" s="573"/>
      <c r="W44" s="573"/>
      <c r="X44" s="573"/>
      <c r="Y44" s="573"/>
      <c r="Z44" s="573"/>
      <c r="AA44" s="573"/>
      <c r="AB44" s="573"/>
      <c r="AC44" s="573"/>
      <c r="AD44" s="573"/>
      <c r="AE44" s="573"/>
      <c r="AF44" s="573"/>
      <c r="AG44" s="573"/>
      <c r="AH44" s="573"/>
      <c r="AI44" s="573"/>
      <c r="AJ44" s="573"/>
      <c r="AK44" s="573"/>
      <c r="AL44" s="573"/>
      <c r="AM44" s="573"/>
      <c r="AN44" s="573"/>
      <c r="AO44" s="573"/>
      <c r="AP44" s="573"/>
      <c r="AQ44" s="573"/>
      <c r="AR44" s="573"/>
      <c r="AS44" s="573"/>
      <c r="AT44" s="573"/>
      <c r="AU44" s="573"/>
      <c r="AV44" s="573"/>
      <c r="AW44" s="573"/>
      <c r="AX44" s="573"/>
      <c r="AY44" s="573"/>
      <c r="AZ44" s="573"/>
      <c r="BA44" s="573"/>
      <c r="BB44" s="573"/>
      <c r="BC44" s="573"/>
      <c r="BD44" s="573"/>
      <c r="BE44" s="573"/>
      <c r="BF44" s="573"/>
      <c r="BG44" s="573"/>
      <c r="BH44" s="573"/>
      <c r="BI44" s="573"/>
      <c r="BJ44" s="573"/>
      <c r="BK44" s="573"/>
      <c r="BL44" s="573"/>
      <c r="BM44" s="573"/>
      <c r="BN44" s="573"/>
      <c r="BO44" s="573"/>
      <c r="BP44" s="573"/>
      <c r="BQ44" s="573"/>
      <c r="BR44" s="573"/>
      <c r="BS44" s="573"/>
      <c r="BT44" s="573"/>
      <c r="BU44" s="573"/>
      <c r="BV44" s="573"/>
      <c r="BW44" s="573"/>
      <c r="BX44" s="573"/>
      <c r="BY44" s="573"/>
      <c r="BZ44" s="573"/>
      <c r="CA44" s="573"/>
      <c r="CB44" s="573"/>
      <c r="CC44" s="573"/>
      <c r="CD44" s="573"/>
      <c r="CE44" s="573"/>
      <c r="CF44" s="573"/>
      <c r="CG44" s="573"/>
      <c r="CH44" s="573"/>
      <c r="CI44" s="573"/>
      <c r="CJ44" s="573"/>
      <c r="CK44" s="573"/>
      <c r="CL44" s="573"/>
      <c r="CM44" s="573"/>
      <c r="CN44" s="573"/>
      <c r="CO44" s="573"/>
      <c r="CP44" s="573"/>
      <c r="CQ44" s="573"/>
      <c r="CR44" s="573"/>
      <c r="CS44" s="573"/>
      <c r="CT44" s="573"/>
      <c r="CU44" s="573"/>
      <c r="CV44" s="573"/>
      <c r="CW44" s="573"/>
      <c r="CX44" s="573"/>
      <c r="CY44" s="573"/>
      <c r="CZ44" s="573"/>
      <c r="DA44" s="573"/>
      <c r="DB44" s="573"/>
      <c r="DC44" s="573"/>
      <c r="DD44" s="573"/>
      <c r="DE44" s="573"/>
      <c r="DF44" s="573"/>
      <c r="DG44" s="573"/>
      <c r="DH44" s="573"/>
      <c r="DI44" s="573"/>
      <c r="DJ44" s="573"/>
      <c r="DK44" s="573"/>
      <c r="DL44" s="573"/>
      <c r="DM44" s="573"/>
      <c r="DN44" s="573"/>
      <c r="DO44" s="573"/>
      <c r="DP44" s="573"/>
      <c r="DQ44" s="573"/>
      <c r="DR44" s="573"/>
      <c r="DS44" s="573"/>
      <c r="DT44" s="573"/>
      <c r="DU44" s="573"/>
      <c r="DV44" s="573"/>
      <c r="DW44" s="573"/>
      <c r="DX44" s="573"/>
      <c r="DY44" s="573"/>
      <c r="DZ44" s="573"/>
      <c r="EA44" s="573"/>
      <c r="EB44" s="573"/>
      <c r="EC44" s="573"/>
      <c r="ED44" s="573"/>
      <c r="EE44" s="573"/>
      <c r="EF44" s="573"/>
      <c r="EG44" s="573"/>
      <c r="EH44" s="573"/>
      <c r="EI44" s="573"/>
      <c r="EJ44" s="573"/>
      <c r="EK44" s="573"/>
      <c r="EL44" s="573"/>
      <c r="EM44" s="573"/>
      <c r="EN44" s="573"/>
      <c r="EO44" s="573"/>
      <c r="EP44" s="573"/>
      <c r="EQ44" s="573"/>
      <c r="ER44" s="573"/>
      <c r="ES44" s="573"/>
      <c r="ET44" s="573"/>
      <c r="EU44" s="573"/>
      <c r="EV44" s="573"/>
      <c r="EW44" s="573"/>
      <c r="EX44" s="573"/>
      <c r="EY44" s="573"/>
      <c r="EZ44" s="573"/>
      <c r="FA44" s="573"/>
      <c r="FB44" s="573"/>
      <c r="FC44" s="573"/>
      <c r="FD44" s="573"/>
      <c r="FE44" s="573"/>
      <c r="FF44" s="573"/>
      <c r="FG44" s="573"/>
      <c r="FH44" s="573"/>
      <c r="FI44" s="573"/>
      <c r="FJ44" s="573"/>
      <c r="FK44" s="573"/>
      <c r="FL44" s="573"/>
      <c r="FM44" s="573"/>
      <c r="FN44" s="573"/>
      <c r="FO44" s="573"/>
      <c r="FP44" s="573"/>
      <c r="FQ44" s="573"/>
      <c r="FR44" s="573"/>
      <c r="FS44" s="573"/>
      <c r="FT44" s="573"/>
      <c r="FU44" s="573"/>
      <c r="FV44" s="573"/>
      <c r="FW44" s="573"/>
      <c r="FX44" s="573"/>
      <c r="FY44" s="573"/>
      <c r="FZ44" s="573"/>
      <c r="GA44" s="573"/>
      <c r="GB44" s="573"/>
      <c r="GC44" s="573"/>
      <c r="GD44" s="573"/>
      <c r="GE44" s="573"/>
      <c r="GF44" s="573"/>
      <c r="GG44" s="573"/>
      <c r="GH44" s="573"/>
      <c r="GI44" s="573"/>
      <c r="GJ44" s="573"/>
      <c r="GK44" s="573"/>
      <c r="GL44" s="573"/>
      <c r="GM44" s="573"/>
      <c r="GN44" s="573"/>
      <c r="GO44" s="573"/>
      <c r="GP44" s="573"/>
      <c r="GQ44" s="573"/>
      <c r="GR44" s="573"/>
      <c r="GS44" s="573"/>
      <c r="GT44" s="573"/>
      <c r="GU44" s="573"/>
      <c r="GV44" s="573"/>
      <c r="GW44" s="573"/>
      <c r="GX44" s="573"/>
      <c r="GY44" s="573"/>
      <c r="GZ44" s="573"/>
      <c r="HA44" s="573"/>
      <c r="HB44" s="573"/>
      <c r="HC44" s="573"/>
      <c r="HD44" s="573"/>
      <c r="HE44" s="573"/>
      <c r="HF44" s="573"/>
      <c r="HG44" s="573"/>
      <c r="HH44" s="573"/>
      <c r="HI44" s="573"/>
      <c r="HJ44" s="573"/>
      <c r="HK44" s="573"/>
      <c r="HL44" s="573"/>
      <c r="HM44" s="573"/>
      <c r="HN44" s="573"/>
      <c r="HO44" s="573"/>
      <c r="HP44" s="573"/>
      <c r="HQ44" s="573"/>
      <c r="HR44" s="573"/>
      <c r="HS44" s="573"/>
      <c r="HT44" s="573"/>
      <c r="HU44" s="573"/>
      <c r="HV44" s="573"/>
      <c r="HW44" s="573"/>
      <c r="HX44" s="573"/>
      <c r="HY44" s="573"/>
      <c r="HZ44" s="573"/>
      <c r="IA44" s="573"/>
      <c r="IB44" s="573"/>
      <c r="IC44" s="573"/>
      <c r="ID44" s="573"/>
      <c r="IE44" s="573"/>
      <c r="IF44" s="573"/>
      <c r="IG44" s="573"/>
      <c r="IH44" s="573"/>
      <c r="II44" s="573"/>
      <c r="IJ44" s="573"/>
      <c r="IK44" s="573"/>
      <c r="IL44" s="573"/>
      <c r="IM44" s="573"/>
      <c r="IN44" s="573"/>
      <c r="IO44" s="573"/>
      <c r="IP44" s="573"/>
      <c r="IQ44" s="573"/>
      <c r="IR44" s="573"/>
      <c r="IS44" s="573"/>
      <c r="IT44" s="573"/>
      <c r="IU44" s="573"/>
      <c r="IV44" s="573"/>
      <c r="IW44" s="573"/>
    </row>
    <row r="45" customFormat="false" ht="14.25" hidden="false" customHeight="false" outlineLevel="0" collapsed="false">
      <c r="A45" s="558" t="s">
        <v>434</v>
      </c>
      <c r="B45" s="572"/>
      <c r="C45" s="575"/>
      <c r="D45" s="574"/>
      <c r="E45" s="575"/>
      <c r="F45" s="574"/>
      <c r="G45" s="574"/>
      <c r="H45" s="573"/>
      <c r="I45" s="573"/>
      <c r="J45" s="573"/>
      <c r="K45" s="573"/>
      <c r="L45" s="573"/>
      <c r="M45" s="573"/>
      <c r="N45" s="573"/>
      <c r="O45" s="573"/>
      <c r="P45" s="573"/>
      <c r="Q45" s="573"/>
      <c r="R45" s="573"/>
      <c r="S45" s="573"/>
      <c r="T45" s="573"/>
      <c r="U45" s="573"/>
      <c r="V45" s="573"/>
      <c r="W45" s="573"/>
      <c r="X45" s="573"/>
      <c r="Y45" s="573"/>
      <c r="Z45" s="573"/>
      <c r="AA45" s="573"/>
      <c r="AB45" s="573"/>
      <c r="AC45" s="573"/>
      <c r="AD45" s="573"/>
      <c r="AE45" s="573"/>
      <c r="AF45" s="573"/>
      <c r="AG45" s="573"/>
      <c r="AH45" s="573"/>
      <c r="AI45" s="573"/>
      <c r="AJ45" s="573"/>
      <c r="AK45" s="573"/>
      <c r="AL45" s="573"/>
      <c r="AM45" s="573"/>
      <c r="AN45" s="573"/>
      <c r="AO45" s="573"/>
      <c r="AP45" s="573"/>
      <c r="AQ45" s="573"/>
      <c r="AR45" s="573"/>
      <c r="AS45" s="573"/>
      <c r="AT45" s="573"/>
      <c r="AU45" s="573"/>
      <c r="AV45" s="573"/>
      <c r="AW45" s="573"/>
      <c r="AX45" s="573"/>
      <c r="AY45" s="573"/>
      <c r="AZ45" s="573"/>
      <c r="BA45" s="573"/>
      <c r="BB45" s="573"/>
      <c r="BC45" s="573"/>
      <c r="BD45" s="573"/>
      <c r="BE45" s="573"/>
      <c r="BF45" s="573"/>
      <c r="BG45" s="573"/>
      <c r="BH45" s="573"/>
      <c r="BI45" s="573"/>
      <c r="BJ45" s="573"/>
      <c r="BK45" s="573"/>
      <c r="BL45" s="573"/>
      <c r="BM45" s="573"/>
      <c r="BN45" s="573"/>
      <c r="BO45" s="573"/>
      <c r="BP45" s="573"/>
      <c r="BQ45" s="573"/>
      <c r="BR45" s="573"/>
      <c r="BS45" s="573"/>
      <c r="BT45" s="573"/>
      <c r="BU45" s="573"/>
      <c r="BV45" s="573"/>
      <c r="BW45" s="573"/>
      <c r="BX45" s="573"/>
      <c r="BY45" s="573"/>
      <c r="BZ45" s="573"/>
      <c r="CA45" s="573"/>
      <c r="CB45" s="573"/>
      <c r="CC45" s="573"/>
      <c r="CD45" s="573"/>
      <c r="CE45" s="573"/>
      <c r="CF45" s="573"/>
      <c r="CG45" s="573"/>
      <c r="CH45" s="573"/>
      <c r="CI45" s="573"/>
      <c r="CJ45" s="573"/>
      <c r="CK45" s="573"/>
      <c r="CL45" s="573"/>
      <c r="CM45" s="573"/>
      <c r="CN45" s="573"/>
      <c r="CO45" s="573"/>
      <c r="CP45" s="573"/>
      <c r="CQ45" s="573"/>
      <c r="CR45" s="573"/>
      <c r="CS45" s="573"/>
      <c r="CT45" s="573"/>
      <c r="CU45" s="573"/>
      <c r="CV45" s="573"/>
      <c r="CW45" s="573"/>
      <c r="CX45" s="573"/>
      <c r="CY45" s="573"/>
      <c r="CZ45" s="573"/>
      <c r="DA45" s="573"/>
      <c r="DB45" s="573"/>
      <c r="DC45" s="573"/>
      <c r="DD45" s="573"/>
      <c r="DE45" s="573"/>
      <c r="DF45" s="573"/>
      <c r="DG45" s="573"/>
      <c r="DH45" s="573"/>
      <c r="DI45" s="573"/>
      <c r="DJ45" s="573"/>
      <c r="DK45" s="573"/>
      <c r="DL45" s="573"/>
      <c r="DM45" s="573"/>
      <c r="DN45" s="573"/>
      <c r="DO45" s="573"/>
      <c r="DP45" s="573"/>
      <c r="DQ45" s="573"/>
      <c r="DR45" s="573"/>
      <c r="DS45" s="573"/>
      <c r="DT45" s="573"/>
      <c r="DU45" s="573"/>
      <c r="DV45" s="573"/>
      <c r="DW45" s="573"/>
      <c r="DX45" s="573"/>
      <c r="DY45" s="573"/>
      <c r="DZ45" s="573"/>
      <c r="EA45" s="573"/>
      <c r="EB45" s="573"/>
      <c r="EC45" s="573"/>
      <c r="ED45" s="573"/>
      <c r="EE45" s="573"/>
      <c r="EF45" s="573"/>
      <c r="EG45" s="573"/>
      <c r="EH45" s="573"/>
      <c r="EI45" s="573"/>
      <c r="EJ45" s="573"/>
      <c r="EK45" s="573"/>
      <c r="EL45" s="573"/>
      <c r="EM45" s="573"/>
      <c r="EN45" s="573"/>
      <c r="EO45" s="573"/>
      <c r="EP45" s="573"/>
      <c r="EQ45" s="573"/>
      <c r="ER45" s="573"/>
      <c r="ES45" s="573"/>
      <c r="ET45" s="573"/>
      <c r="EU45" s="573"/>
      <c r="EV45" s="573"/>
      <c r="EW45" s="573"/>
      <c r="EX45" s="573"/>
      <c r="EY45" s="573"/>
      <c r="EZ45" s="573"/>
      <c r="FA45" s="573"/>
      <c r="FB45" s="573"/>
      <c r="FC45" s="573"/>
      <c r="FD45" s="573"/>
      <c r="FE45" s="573"/>
      <c r="FF45" s="573"/>
      <c r="FG45" s="573"/>
      <c r="FH45" s="573"/>
      <c r="FI45" s="573"/>
      <c r="FJ45" s="573"/>
      <c r="FK45" s="573"/>
      <c r="FL45" s="573"/>
      <c r="FM45" s="573"/>
      <c r="FN45" s="573"/>
      <c r="FO45" s="573"/>
      <c r="FP45" s="573"/>
      <c r="FQ45" s="573"/>
      <c r="FR45" s="573"/>
      <c r="FS45" s="573"/>
      <c r="FT45" s="573"/>
      <c r="FU45" s="573"/>
      <c r="FV45" s="573"/>
      <c r="FW45" s="573"/>
      <c r="FX45" s="573"/>
      <c r="FY45" s="573"/>
      <c r="FZ45" s="573"/>
      <c r="GA45" s="573"/>
      <c r="GB45" s="573"/>
      <c r="GC45" s="573"/>
      <c r="GD45" s="573"/>
      <c r="GE45" s="573"/>
      <c r="GF45" s="573"/>
      <c r="GG45" s="573"/>
      <c r="GH45" s="573"/>
      <c r="GI45" s="573"/>
      <c r="GJ45" s="573"/>
      <c r="GK45" s="573"/>
      <c r="GL45" s="573"/>
      <c r="GM45" s="573"/>
      <c r="GN45" s="573"/>
      <c r="GO45" s="573"/>
      <c r="GP45" s="573"/>
      <c r="GQ45" s="573"/>
      <c r="GR45" s="573"/>
      <c r="GS45" s="573"/>
      <c r="GT45" s="573"/>
      <c r="GU45" s="573"/>
      <c r="GV45" s="573"/>
      <c r="GW45" s="573"/>
      <c r="GX45" s="573"/>
      <c r="GY45" s="573"/>
      <c r="GZ45" s="573"/>
      <c r="HA45" s="573"/>
      <c r="HB45" s="573"/>
      <c r="HC45" s="573"/>
      <c r="HD45" s="573"/>
      <c r="HE45" s="573"/>
      <c r="HF45" s="573"/>
      <c r="HG45" s="573"/>
      <c r="HH45" s="573"/>
      <c r="HI45" s="573"/>
      <c r="HJ45" s="573"/>
      <c r="HK45" s="573"/>
      <c r="HL45" s="573"/>
      <c r="HM45" s="573"/>
      <c r="HN45" s="573"/>
      <c r="HO45" s="573"/>
      <c r="HP45" s="573"/>
      <c r="HQ45" s="573"/>
      <c r="HR45" s="573"/>
      <c r="HS45" s="573"/>
      <c r="HT45" s="573"/>
      <c r="HU45" s="573"/>
      <c r="HV45" s="573"/>
      <c r="HW45" s="573"/>
      <c r="HX45" s="573"/>
      <c r="HY45" s="573"/>
      <c r="HZ45" s="573"/>
      <c r="IA45" s="573"/>
      <c r="IB45" s="573"/>
      <c r="IC45" s="573"/>
      <c r="ID45" s="573"/>
      <c r="IE45" s="573"/>
      <c r="IF45" s="573"/>
      <c r="IG45" s="573"/>
      <c r="IH45" s="573"/>
      <c r="II45" s="573"/>
      <c r="IJ45" s="573"/>
      <c r="IK45" s="573"/>
      <c r="IL45" s="573"/>
      <c r="IM45" s="573"/>
      <c r="IN45" s="573"/>
      <c r="IO45" s="573"/>
      <c r="IP45" s="573"/>
      <c r="IQ45" s="573"/>
      <c r="IR45" s="573"/>
      <c r="IS45" s="573"/>
      <c r="IT45" s="573"/>
      <c r="IU45" s="573"/>
      <c r="IV45" s="573"/>
      <c r="IW45" s="573"/>
    </row>
    <row r="46" customFormat="false" ht="15" hidden="false" customHeight="false" outlineLevel="0" collapsed="false">
      <c r="A46" s="558"/>
      <c r="B46" s="572"/>
      <c r="C46" s="581"/>
      <c r="D46" s="574"/>
      <c r="E46" s="580"/>
      <c r="F46" s="574"/>
      <c r="G46" s="574"/>
      <c r="H46" s="573"/>
      <c r="I46" s="573"/>
      <c r="J46" s="573"/>
      <c r="K46" s="573"/>
      <c r="L46" s="573"/>
      <c r="M46" s="573"/>
      <c r="N46" s="573"/>
      <c r="O46" s="573"/>
      <c r="P46" s="573"/>
      <c r="Q46" s="573"/>
      <c r="R46" s="573"/>
      <c r="S46" s="573"/>
      <c r="T46" s="573"/>
      <c r="U46" s="573"/>
      <c r="V46" s="573"/>
      <c r="W46" s="573"/>
      <c r="X46" s="573"/>
      <c r="Y46" s="573"/>
      <c r="Z46" s="573"/>
      <c r="AA46" s="573"/>
      <c r="AB46" s="573"/>
      <c r="AC46" s="573"/>
      <c r="AD46" s="573"/>
      <c r="AE46" s="573"/>
      <c r="AF46" s="573"/>
      <c r="AG46" s="573"/>
      <c r="AH46" s="573"/>
      <c r="AI46" s="573"/>
      <c r="AJ46" s="573"/>
      <c r="AK46" s="573"/>
      <c r="AL46" s="573"/>
      <c r="AM46" s="573"/>
      <c r="AN46" s="573"/>
      <c r="AO46" s="573"/>
      <c r="AP46" s="573"/>
      <c r="AQ46" s="573"/>
      <c r="AR46" s="573"/>
      <c r="AS46" s="573"/>
      <c r="AT46" s="573"/>
      <c r="AU46" s="573"/>
      <c r="AV46" s="573"/>
      <c r="AW46" s="573"/>
      <c r="AX46" s="573"/>
      <c r="AY46" s="573"/>
      <c r="AZ46" s="573"/>
      <c r="BA46" s="573"/>
      <c r="BB46" s="573"/>
      <c r="BC46" s="573"/>
      <c r="BD46" s="573"/>
      <c r="BE46" s="573"/>
      <c r="BF46" s="573"/>
      <c r="BG46" s="573"/>
      <c r="BH46" s="573"/>
      <c r="BI46" s="573"/>
      <c r="BJ46" s="573"/>
      <c r="BK46" s="573"/>
      <c r="BL46" s="573"/>
      <c r="BM46" s="573"/>
      <c r="BN46" s="573"/>
      <c r="BO46" s="573"/>
      <c r="BP46" s="573"/>
      <c r="BQ46" s="573"/>
      <c r="BR46" s="573"/>
      <c r="BS46" s="573"/>
      <c r="BT46" s="573"/>
      <c r="BU46" s="573"/>
      <c r="BV46" s="573"/>
      <c r="BW46" s="573"/>
      <c r="BX46" s="573"/>
      <c r="BY46" s="573"/>
      <c r="BZ46" s="573"/>
      <c r="CA46" s="573"/>
      <c r="CB46" s="573"/>
      <c r="CC46" s="573"/>
      <c r="CD46" s="573"/>
      <c r="CE46" s="573"/>
      <c r="CF46" s="573"/>
      <c r="CG46" s="573"/>
      <c r="CH46" s="573"/>
      <c r="CI46" s="573"/>
      <c r="CJ46" s="573"/>
      <c r="CK46" s="573"/>
      <c r="CL46" s="573"/>
      <c r="CM46" s="573"/>
      <c r="CN46" s="573"/>
      <c r="CO46" s="573"/>
      <c r="CP46" s="573"/>
      <c r="CQ46" s="573"/>
      <c r="CR46" s="573"/>
      <c r="CS46" s="573"/>
      <c r="CT46" s="573"/>
      <c r="CU46" s="573"/>
      <c r="CV46" s="573"/>
      <c r="CW46" s="573"/>
      <c r="CX46" s="573"/>
      <c r="CY46" s="573"/>
      <c r="CZ46" s="573"/>
      <c r="DA46" s="573"/>
      <c r="DB46" s="573"/>
      <c r="DC46" s="573"/>
      <c r="DD46" s="573"/>
      <c r="DE46" s="573"/>
      <c r="DF46" s="573"/>
      <c r="DG46" s="573"/>
      <c r="DH46" s="573"/>
      <c r="DI46" s="573"/>
      <c r="DJ46" s="573"/>
      <c r="DK46" s="573"/>
      <c r="DL46" s="573"/>
      <c r="DM46" s="573"/>
      <c r="DN46" s="573"/>
      <c r="DO46" s="573"/>
      <c r="DP46" s="573"/>
      <c r="DQ46" s="573"/>
      <c r="DR46" s="573"/>
      <c r="DS46" s="573"/>
      <c r="DT46" s="573"/>
      <c r="DU46" s="573"/>
      <c r="DV46" s="573"/>
      <c r="DW46" s="573"/>
      <c r="DX46" s="573"/>
      <c r="DY46" s="573"/>
      <c r="DZ46" s="573"/>
      <c r="EA46" s="573"/>
      <c r="EB46" s="573"/>
      <c r="EC46" s="573"/>
      <c r="ED46" s="573"/>
      <c r="EE46" s="573"/>
      <c r="EF46" s="573"/>
      <c r="EG46" s="573"/>
      <c r="EH46" s="573"/>
      <c r="EI46" s="573"/>
      <c r="EJ46" s="573"/>
      <c r="EK46" s="573"/>
      <c r="EL46" s="573"/>
      <c r="EM46" s="573"/>
      <c r="EN46" s="573"/>
      <c r="EO46" s="573"/>
      <c r="EP46" s="573"/>
      <c r="EQ46" s="573"/>
      <c r="ER46" s="573"/>
      <c r="ES46" s="573"/>
      <c r="ET46" s="573"/>
      <c r="EU46" s="573"/>
      <c r="EV46" s="573"/>
      <c r="EW46" s="573"/>
      <c r="EX46" s="573"/>
      <c r="EY46" s="573"/>
      <c r="EZ46" s="573"/>
      <c r="FA46" s="573"/>
      <c r="FB46" s="573"/>
      <c r="FC46" s="573"/>
      <c r="FD46" s="573"/>
      <c r="FE46" s="573"/>
      <c r="FF46" s="573"/>
      <c r="FG46" s="573"/>
      <c r="FH46" s="573"/>
      <c r="FI46" s="573"/>
      <c r="FJ46" s="573"/>
      <c r="FK46" s="573"/>
      <c r="FL46" s="573"/>
      <c r="FM46" s="573"/>
      <c r="FN46" s="573"/>
      <c r="FO46" s="573"/>
      <c r="FP46" s="573"/>
      <c r="FQ46" s="573"/>
      <c r="FR46" s="573"/>
      <c r="FS46" s="573"/>
      <c r="FT46" s="573"/>
      <c r="FU46" s="573"/>
      <c r="FV46" s="573"/>
      <c r="FW46" s="573"/>
      <c r="FX46" s="573"/>
      <c r="FY46" s="573"/>
      <c r="FZ46" s="573"/>
      <c r="GA46" s="573"/>
      <c r="GB46" s="573"/>
      <c r="GC46" s="573"/>
      <c r="GD46" s="573"/>
      <c r="GE46" s="573"/>
      <c r="GF46" s="573"/>
      <c r="GG46" s="573"/>
      <c r="GH46" s="573"/>
      <c r="GI46" s="573"/>
      <c r="GJ46" s="573"/>
      <c r="GK46" s="573"/>
      <c r="GL46" s="573"/>
      <c r="GM46" s="573"/>
      <c r="GN46" s="573"/>
      <c r="GO46" s="573"/>
      <c r="GP46" s="573"/>
      <c r="GQ46" s="573"/>
      <c r="GR46" s="573"/>
      <c r="GS46" s="573"/>
      <c r="GT46" s="573"/>
      <c r="GU46" s="573"/>
      <c r="GV46" s="573"/>
      <c r="GW46" s="573"/>
      <c r="GX46" s="573"/>
      <c r="GY46" s="573"/>
      <c r="GZ46" s="573"/>
      <c r="HA46" s="573"/>
      <c r="HB46" s="573"/>
      <c r="HC46" s="573"/>
      <c r="HD46" s="573"/>
      <c r="HE46" s="573"/>
      <c r="HF46" s="573"/>
      <c r="HG46" s="573"/>
      <c r="HH46" s="573"/>
      <c r="HI46" s="573"/>
      <c r="HJ46" s="573"/>
      <c r="HK46" s="573"/>
      <c r="HL46" s="573"/>
      <c r="HM46" s="573"/>
      <c r="HN46" s="573"/>
      <c r="HO46" s="573"/>
      <c r="HP46" s="573"/>
      <c r="HQ46" s="573"/>
      <c r="HR46" s="573"/>
      <c r="HS46" s="573"/>
      <c r="HT46" s="573"/>
      <c r="HU46" s="573"/>
      <c r="HV46" s="573"/>
      <c r="HW46" s="573"/>
      <c r="HX46" s="573"/>
      <c r="HY46" s="573"/>
      <c r="HZ46" s="573"/>
      <c r="IA46" s="573"/>
      <c r="IB46" s="573"/>
      <c r="IC46" s="573"/>
      <c r="ID46" s="573"/>
      <c r="IE46" s="573"/>
      <c r="IF46" s="573"/>
      <c r="IG46" s="573"/>
      <c r="IH46" s="573"/>
      <c r="II46" s="573"/>
      <c r="IJ46" s="573"/>
      <c r="IK46" s="573"/>
      <c r="IL46" s="573"/>
      <c r="IM46" s="573"/>
      <c r="IN46" s="573"/>
      <c r="IO46" s="573"/>
      <c r="IP46" s="573"/>
      <c r="IQ46" s="573"/>
      <c r="IR46" s="573"/>
      <c r="IS46" s="573"/>
      <c r="IT46" s="573"/>
      <c r="IU46" s="573"/>
      <c r="IV46" s="573"/>
      <c r="IW46" s="573"/>
    </row>
    <row r="47" customFormat="false" ht="15" hidden="false" customHeight="false" outlineLevel="0" collapsed="false">
      <c r="A47" s="582" t="s">
        <v>435</v>
      </c>
      <c r="B47" s="572"/>
      <c r="C47" s="581"/>
      <c r="D47" s="574"/>
      <c r="E47" s="580"/>
      <c r="F47" s="574"/>
      <c r="G47" s="574"/>
      <c r="H47" s="573"/>
      <c r="I47" s="573"/>
      <c r="J47" s="573"/>
      <c r="K47" s="573"/>
      <c r="L47" s="573"/>
      <c r="M47" s="573"/>
      <c r="N47" s="573"/>
      <c r="O47" s="573"/>
      <c r="P47" s="573"/>
      <c r="Q47" s="573"/>
      <c r="R47" s="573"/>
      <c r="S47" s="573"/>
      <c r="T47" s="573"/>
      <c r="U47" s="573"/>
      <c r="V47" s="573"/>
      <c r="W47" s="573"/>
      <c r="X47" s="573"/>
      <c r="Y47" s="573"/>
      <c r="Z47" s="573"/>
      <c r="AA47" s="573"/>
      <c r="AB47" s="573"/>
      <c r="AC47" s="573"/>
      <c r="AD47" s="573"/>
      <c r="AE47" s="573"/>
      <c r="AF47" s="573"/>
      <c r="AG47" s="573"/>
      <c r="AH47" s="573"/>
      <c r="AI47" s="573"/>
      <c r="AJ47" s="573"/>
      <c r="AK47" s="573"/>
      <c r="AL47" s="573"/>
      <c r="AM47" s="573"/>
      <c r="AN47" s="573"/>
      <c r="AO47" s="573"/>
      <c r="AP47" s="573"/>
      <c r="AQ47" s="573"/>
      <c r="AR47" s="573"/>
      <c r="AS47" s="573"/>
      <c r="AT47" s="573"/>
      <c r="AU47" s="573"/>
      <c r="AV47" s="573"/>
      <c r="AW47" s="573"/>
      <c r="AX47" s="573"/>
      <c r="AY47" s="573"/>
      <c r="AZ47" s="573"/>
      <c r="BA47" s="573"/>
      <c r="BB47" s="573"/>
      <c r="BC47" s="573"/>
      <c r="BD47" s="573"/>
      <c r="BE47" s="573"/>
      <c r="BF47" s="573"/>
      <c r="BG47" s="573"/>
      <c r="BH47" s="573"/>
      <c r="BI47" s="573"/>
      <c r="BJ47" s="573"/>
      <c r="BK47" s="573"/>
      <c r="BL47" s="573"/>
      <c r="BM47" s="573"/>
      <c r="BN47" s="573"/>
      <c r="BO47" s="573"/>
      <c r="BP47" s="573"/>
      <c r="BQ47" s="573"/>
      <c r="BR47" s="573"/>
      <c r="BS47" s="573"/>
      <c r="BT47" s="573"/>
      <c r="BU47" s="573"/>
      <c r="BV47" s="573"/>
      <c r="BW47" s="573"/>
      <c r="BX47" s="573"/>
      <c r="BY47" s="573"/>
      <c r="BZ47" s="573"/>
      <c r="CA47" s="573"/>
      <c r="CB47" s="573"/>
      <c r="CC47" s="573"/>
      <c r="CD47" s="573"/>
      <c r="CE47" s="573"/>
      <c r="CF47" s="573"/>
      <c r="CG47" s="573"/>
      <c r="CH47" s="573"/>
      <c r="CI47" s="573"/>
      <c r="CJ47" s="573"/>
      <c r="CK47" s="573"/>
      <c r="CL47" s="573"/>
      <c r="CM47" s="573"/>
      <c r="CN47" s="573"/>
      <c r="CO47" s="573"/>
      <c r="CP47" s="573"/>
      <c r="CQ47" s="573"/>
      <c r="CR47" s="573"/>
      <c r="CS47" s="573"/>
      <c r="CT47" s="573"/>
      <c r="CU47" s="573"/>
      <c r="CV47" s="573"/>
      <c r="CW47" s="573"/>
      <c r="CX47" s="573"/>
      <c r="CY47" s="573"/>
      <c r="CZ47" s="573"/>
      <c r="DA47" s="573"/>
      <c r="DB47" s="573"/>
      <c r="DC47" s="573"/>
      <c r="DD47" s="573"/>
      <c r="DE47" s="573"/>
      <c r="DF47" s="573"/>
      <c r="DG47" s="573"/>
      <c r="DH47" s="573"/>
      <c r="DI47" s="573"/>
      <c r="DJ47" s="573"/>
      <c r="DK47" s="573"/>
      <c r="DL47" s="573"/>
      <c r="DM47" s="573"/>
      <c r="DN47" s="573"/>
      <c r="DO47" s="573"/>
      <c r="DP47" s="573"/>
      <c r="DQ47" s="573"/>
      <c r="DR47" s="573"/>
      <c r="DS47" s="573"/>
      <c r="DT47" s="573"/>
      <c r="DU47" s="573"/>
      <c r="DV47" s="573"/>
      <c r="DW47" s="573"/>
      <c r="DX47" s="573"/>
      <c r="DY47" s="573"/>
      <c r="DZ47" s="573"/>
      <c r="EA47" s="573"/>
      <c r="EB47" s="573"/>
      <c r="EC47" s="573"/>
      <c r="ED47" s="573"/>
      <c r="EE47" s="573"/>
      <c r="EF47" s="573"/>
      <c r="EG47" s="573"/>
      <c r="EH47" s="573"/>
      <c r="EI47" s="573"/>
      <c r="EJ47" s="573"/>
      <c r="EK47" s="573"/>
      <c r="EL47" s="573"/>
      <c r="EM47" s="573"/>
      <c r="EN47" s="573"/>
      <c r="EO47" s="573"/>
      <c r="EP47" s="573"/>
      <c r="EQ47" s="573"/>
      <c r="ER47" s="573"/>
      <c r="ES47" s="573"/>
      <c r="ET47" s="573"/>
      <c r="EU47" s="573"/>
      <c r="EV47" s="573"/>
      <c r="EW47" s="573"/>
      <c r="EX47" s="573"/>
      <c r="EY47" s="573"/>
      <c r="EZ47" s="573"/>
      <c r="FA47" s="573"/>
      <c r="FB47" s="573"/>
      <c r="FC47" s="573"/>
      <c r="FD47" s="573"/>
      <c r="FE47" s="573"/>
      <c r="FF47" s="573"/>
      <c r="FG47" s="573"/>
      <c r="FH47" s="573"/>
      <c r="FI47" s="573"/>
      <c r="FJ47" s="573"/>
      <c r="FK47" s="573"/>
      <c r="FL47" s="573"/>
      <c r="FM47" s="573"/>
      <c r="FN47" s="573"/>
      <c r="FO47" s="573"/>
      <c r="FP47" s="573"/>
      <c r="FQ47" s="573"/>
      <c r="FR47" s="573"/>
      <c r="FS47" s="573"/>
      <c r="FT47" s="573"/>
      <c r="FU47" s="573"/>
      <c r="FV47" s="573"/>
      <c r="FW47" s="573"/>
      <c r="FX47" s="573"/>
      <c r="FY47" s="573"/>
      <c r="FZ47" s="573"/>
      <c r="GA47" s="573"/>
      <c r="GB47" s="573"/>
      <c r="GC47" s="573"/>
      <c r="GD47" s="573"/>
      <c r="GE47" s="573"/>
      <c r="GF47" s="573"/>
      <c r="GG47" s="573"/>
      <c r="GH47" s="573"/>
      <c r="GI47" s="573"/>
      <c r="GJ47" s="573"/>
      <c r="GK47" s="573"/>
      <c r="GL47" s="573"/>
      <c r="GM47" s="573"/>
      <c r="GN47" s="573"/>
      <c r="GO47" s="573"/>
      <c r="GP47" s="573"/>
      <c r="GQ47" s="573"/>
      <c r="GR47" s="573"/>
      <c r="GS47" s="573"/>
      <c r="GT47" s="573"/>
      <c r="GU47" s="573"/>
      <c r="GV47" s="573"/>
      <c r="GW47" s="573"/>
      <c r="GX47" s="573"/>
      <c r="GY47" s="573"/>
      <c r="GZ47" s="573"/>
      <c r="HA47" s="573"/>
      <c r="HB47" s="573"/>
      <c r="HC47" s="573"/>
      <c r="HD47" s="573"/>
      <c r="HE47" s="573"/>
      <c r="HF47" s="573"/>
      <c r="HG47" s="573"/>
      <c r="HH47" s="573"/>
      <c r="HI47" s="573"/>
      <c r="HJ47" s="573"/>
      <c r="HK47" s="573"/>
      <c r="HL47" s="573"/>
      <c r="HM47" s="573"/>
      <c r="HN47" s="573"/>
      <c r="HO47" s="573"/>
      <c r="HP47" s="573"/>
      <c r="HQ47" s="573"/>
      <c r="HR47" s="573"/>
      <c r="HS47" s="573"/>
      <c r="HT47" s="573"/>
      <c r="HU47" s="573"/>
      <c r="HV47" s="573"/>
      <c r="HW47" s="573"/>
      <c r="HX47" s="573"/>
      <c r="HY47" s="573"/>
      <c r="HZ47" s="573"/>
      <c r="IA47" s="573"/>
      <c r="IB47" s="573"/>
      <c r="IC47" s="573"/>
      <c r="ID47" s="573"/>
      <c r="IE47" s="573"/>
      <c r="IF47" s="573"/>
      <c r="IG47" s="573"/>
      <c r="IH47" s="573"/>
      <c r="II47" s="573"/>
      <c r="IJ47" s="573"/>
      <c r="IK47" s="573"/>
      <c r="IL47" s="573"/>
      <c r="IM47" s="573"/>
      <c r="IN47" s="573"/>
      <c r="IO47" s="573"/>
      <c r="IP47" s="573"/>
      <c r="IQ47" s="573"/>
      <c r="IR47" s="573"/>
      <c r="IS47" s="573"/>
      <c r="IT47" s="573"/>
      <c r="IU47" s="573"/>
      <c r="IV47" s="573"/>
      <c r="IW47" s="573"/>
    </row>
    <row r="48" customFormat="false" ht="15" hidden="false" customHeight="false" outlineLevel="0" collapsed="false">
      <c r="A48" s="558" t="s">
        <v>436</v>
      </c>
      <c r="B48" s="572"/>
      <c r="C48" s="581"/>
      <c r="D48" s="574"/>
      <c r="E48" s="580"/>
      <c r="F48" s="574"/>
      <c r="G48" s="574"/>
      <c r="H48" s="573"/>
      <c r="I48" s="573"/>
      <c r="J48" s="573"/>
      <c r="K48" s="573"/>
      <c r="L48" s="573"/>
      <c r="M48" s="573"/>
      <c r="N48" s="573"/>
      <c r="O48" s="573"/>
      <c r="P48" s="573"/>
      <c r="Q48" s="573"/>
      <c r="R48" s="573"/>
      <c r="S48" s="573"/>
      <c r="T48" s="573"/>
      <c r="U48" s="573"/>
      <c r="V48" s="573"/>
      <c r="W48" s="573"/>
      <c r="X48" s="573"/>
      <c r="Y48" s="573"/>
      <c r="Z48" s="573"/>
      <c r="AA48" s="573"/>
      <c r="AB48" s="573"/>
      <c r="AC48" s="573"/>
      <c r="AD48" s="573"/>
      <c r="AE48" s="573"/>
      <c r="AF48" s="573"/>
      <c r="AG48" s="573"/>
      <c r="AH48" s="573"/>
      <c r="AI48" s="573"/>
      <c r="AJ48" s="573"/>
      <c r="AK48" s="573"/>
      <c r="AL48" s="573"/>
      <c r="AM48" s="573"/>
      <c r="AN48" s="573"/>
      <c r="AO48" s="573"/>
      <c r="AP48" s="573"/>
      <c r="AQ48" s="573"/>
      <c r="AR48" s="573"/>
      <c r="AS48" s="573"/>
      <c r="AT48" s="573"/>
      <c r="AU48" s="573"/>
      <c r="AV48" s="573"/>
      <c r="AW48" s="573"/>
      <c r="AX48" s="573"/>
      <c r="AY48" s="573"/>
      <c r="AZ48" s="573"/>
      <c r="BA48" s="573"/>
      <c r="BB48" s="573"/>
      <c r="BC48" s="573"/>
      <c r="BD48" s="573"/>
      <c r="BE48" s="573"/>
      <c r="BF48" s="573"/>
      <c r="BG48" s="573"/>
      <c r="BH48" s="573"/>
      <c r="BI48" s="573"/>
      <c r="BJ48" s="573"/>
      <c r="BK48" s="573"/>
      <c r="BL48" s="573"/>
      <c r="BM48" s="573"/>
      <c r="BN48" s="573"/>
      <c r="BO48" s="573"/>
      <c r="BP48" s="573"/>
      <c r="BQ48" s="573"/>
      <c r="BR48" s="573"/>
      <c r="BS48" s="573"/>
      <c r="BT48" s="573"/>
      <c r="BU48" s="573"/>
      <c r="BV48" s="573"/>
      <c r="BW48" s="573"/>
      <c r="BX48" s="573"/>
      <c r="BY48" s="573"/>
      <c r="BZ48" s="573"/>
      <c r="CA48" s="573"/>
      <c r="CB48" s="573"/>
      <c r="CC48" s="573"/>
      <c r="CD48" s="573"/>
      <c r="CE48" s="573"/>
      <c r="CF48" s="573"/>
      <c r="CG48" s="573"/>
      <c r="CH48" s="573"/>
      <c r="CI48" s="573"/>
      <c r="CJ48" s="573"/>
      <c r="CK48" s="573"/>
      <c r="CL48" s="573"/>
      <c r="CM48" s="573"/>
      <c r="CN48" s="573"/>
      <c r="CO48" s="573"/>
      <c r="CP48" s="573"/>
      <c r="CQ48" s="573"/>
      <c r="CR48" s="573"/>
      <c r="CS48" s="573"/>
      <c r="CT48" s="573"/>
      <c r="CU48" s="573"/>
      <c r="CV48" s="573"/>
      <c r="CW48" s="573"/>
      <c r="CX48" s="573"/>
      <c r="CY48" s="573"/>
      <c r="CZ48" s="573"/>
      <c r="DA48" s="573"/>
      <c r="DB48" s="573"/>
      <c r="DC48" s="573"/>
      <c r="DD48" s="573"/>
      <c r="DE48" s="573"/>
      <c r="DF48" s="573"/>
      <c r="DG48" s="573"/>
      <c r="DH48" s="573"/>
      <c r="DI48" s="573"/>
      <c r="DJ48" s="573"/>
      <c r="DK48" s="573"/>
      <c r="DL48" s="573"/>
      <c r="DM48" s="573"/>
      <c r="DN48" s="573"/>
      <c r="DO48" s="573"/>
      <c r="DP48" s="573"/>
      <c r="DQ48" s="573"/>
      <c r="DR48" s="573"/>
      <c r="DS48" s="573"/>
      <c r="DT48" s="573"/>
      <c r="DU48" s="573"/>
      <c r="DV48" s="573"/>
      <c r="DW48" s="573"/>
      <c r="DX48" s="573"/>
      <c r="DY48" s="573"/>
      <c r="DZ48" s="573"/>
      <c r="EA48" s="573"/>
      <c r="EB48" s="573"/>
      <c r="EC48" s="573"/>
      <c r="ED48" s="573"/>
      <c r="EE48" s="573"/>
      <c r="EF48" s="573"/>
      <c r="EG48" s="573"/>
      <c r="EH48" s="573"/>
      <c r="EI48" s="573"/>
      <c r="EJ48" s="573"/>
      <c r="EK48" s="573"/>
      <c r="EL48" s="573"/>
      <c r="EM48" s="573"/>
      <c r="EN48" s="573"/>
      <c r="EO48" s="573"/>
      <c r="EP48" s="573"/>
      <c r="EQ48" s="573"/>
      <c r="ER48" s="573"/>
      <c r="ES48" s="573"/>
      <c r="ET48" s="573"/>
      <c r="EU48" s="573"/>
      <c r="EV48" s="573"/>
      <c r="EW48" s="573"/>
      <c r="EX48" s="573"/>
      <c r="EY48" s="573"/>
      <c r="EZ48" s="573"/>
      <c r="FA48" s="573"/>
      <c r="FB48" s="573"/>
      <c r="FC48" s="573"/>
      <c r="FD48" s="573"/>
      <c r="FE48" s="573"/>
      <c r="FF48" s="573"/>
      <c r="FG48" s="573"/>
      <c r="FH48" s="573"/>
      <c r="FI48" s="573"/>
      <c r="FJ48" s="573"/>
      <c r="FK48" s="573"/>
      <c r="FL48" s="573"/>
      <c r="FM48" s="573"/>
      <c r="FN48" s="573"/>
      <c r="FO48" s="573"/>
      <c r="FP48" s="573"/>
      <c r="FQ48" s="573"/>
      <c r="FR48" s="573"/>
      <c r="FS48" s="573"/>
      <c r="FT48" s="573"/>
      <c r="FU48" s="573"/>
      <c r="FV48" s="573"/>
      <c r="FW48" s="573"/>
      <c r="FX48" s="573"/>
      <c r="FY48" s="573"/>
      <c r="FZ48" s="573"/>
      <c r="GA48" s="573"/>
      <c r="GB48" s="573"/>
      <c r="GC48" s="573"/>
      <c r="GD48" s="573"/>
      <c r="GE48" s="573"/>
      <c r="GF48" s="573"/>
      <c r="GG48" s="573"/>
      <c r="GH48" s="573"/>
      <c r="GI48" s="573"/>
      <c r="GJ48" s="573"/>
      <c r="GK48" s="573"/>
      <c r="GL48" s="573"/>
      <c r="GM48" s="573"/>
      <c r="GN48" s="573"/>
      <c r="GO48" s="573"/>
      <c r="GP48" s="573"/>
      <c r="GQ48" s="573"/>
      <c r="GR48" s="573"/>
      <c r="GS48" s="573"/>
      <c r="GT48" s="573"/>
      <c r="GU48" s="573"/>
      <c r="GV48" s="573"/>
      <c r="GW48" s="573"/>
      <c r="GX48" s="573"/>
      <c r="GY48" s="573"/>
      <c r="GZ48" s="573"/>
      <c r="HA48" s="573"/>
      <c r="HB48" s="573"/>
      <c r="HC48" s="573"/>
      <c r="HD48" s="573"/>
      <c r="HE48" s="573"/>
      <c r="HF48" s="573"/>
      <c r="HG48" s="573"/>
      <c r="HH48" s="573"/>
      <c r="HI48" s="573"/>
      <c r="HJ48" s="573"/>
      <c r="HK48" s="573"/>
      <c r="HL48" s="573"/>
      <c r="HM48" s="573"/>
      <c r="HN48" s="573"/>
      <c r="HO48" s="573"/>
      <c r="HP48" s="573"/>
      <c r="HQ48" s="573"/>
      <c r="HR48" s="573"/>
      <c r="HS48" s="573"/>
      <c r="HT48" s="573"/>
      <c r="HU48" s="573"/>
      <c r="HV48" s="573"/>
      <c r="HW48" s="573"/>
      <c r="HX48" s="573"/>
      <c r="HY48" s="573"/>
      <c r="HZ48" s="573"/>
      <c r="IA48" s="573"/>
      <c r="IB48" s="573"/>
      <c r="IC48" s="573"/>
      <c r="ID48" s="573"/>
      <c r="IE48" s="573"/>
      <c r="IF48" s="573"/>
      <c r="IG48" s="573"/>
      <c r="IH48" s="573"/>
      <c r="II48" s="573"/>
      <c r="IJ48" s="573"/>
      <c r="IK48" s="573"/>
      <c r="IL48" s="573"/>
      <c r="IM48" s="573"/>
      <c r="IN48" s="573"/>
      <c r="IO48" s="573"/>
      <c r="IP48" s="573"/>
      <c r="IQ48" s="573"/>
      <c r="IR48" s="573"/>
      <c r="IS48" s="573"/>
      <c r="IT48" s="573"/>
      <c r="IU48" s="573"/>
      <c r="IV48" s="573"/>
      <c r="IW48" s="573"/>
    </row>
    <row r="49" customFormat="false" ht="15" hidden="false" customHeight="false" outlineLevel="0" collapsed="false">
      <c r="A49" s="558" t="s">
        <v>437</v>
      </c>
      <c r="B49" s="572"/>
      <c r="C49" s="581"/>
      <c r="D49" s="574"/>
      <c r="E49" s="580"/>
      <c r="F49" s="574"/>
      <c r="G49" s="574"/>
      <c r="H49" s="573"/>
      <c r="I49" s="573"/>
      <c r="J49" s="573"/>
      <c r="K49" s="573"/>
      <c r="L49" s="573"/>
      <c r="M49" s="573"/>
      <c r="N49" s="573"/>
      <c r="O49" s="573"/>
      <c r="P49" s="573"/>
      <c r="Q49" s="573"/>
      <c r="R49" s="573"/>
      <c r="S49" s="573"/>
      <c r="T49" s="573"/>
      <c r="U49" s="573"/>
      <c r="V49" s="573"/>
      <c r="W49" s="573"/>
      <c r="X49" s="573"/>
      <c r="Y49" s="573"/>
      <c r="Z49" s="573"/>
      <c r="AA49" s="573"/>
      <c r="AB49" s="573"/>
      <c r="AC49" s="573"/>
      <c r="AD49" s="573"/>
      <c r="AE49" s="573"/>
      <c r="AF49" s="573"/>
      <c r="AG49" s="573"/>
      <c r="AH49" s="573"/>
      <c r="AI49" s="573"/>
      <c r="AJ49" s="573"/>
      <c r="AK49" s="573"/>
      <c r="AL49" s="573"/>
      <c r="AM49" s="573"/>
      <c r="AN49" s="573"/>
      <c r="AO49" s="573"/>
      <c r="AP49" s="573"/>
      <c r="AQ49" s="573"/>
      <c r="AR49" s="573"/>
      <c r="AS49" s="573"/>
      <c r="AT49" s="573"/>
      <c r="AU49" s="573"/>
      <c r="AV49" s="573"/>
      <c r="AW49" s="573"/>
      <c r="AX49" s="573"/>
      <c r="AY49" s="573"/>
      <c r="AZ49" s="573"/>
      <c r="BA49" s="573"/>
      <c r="BB49" s="573"/>
      <c r="BC49" s="573"/>
      <c r="BD49" s="573"/>
      <c r="BE49" s="573"/>
      <c r="BF49" s="573"/>
      <c r="BG49" s="573"/>
      <c r="BH49" s="573"/>
      <c r="BI49" s="573"/>
      <c r="BJ49" s="573"/>
      <c r="BK49" s="573"/>
      <c r="BL49" s="573"/>
      <c r="BM49" s="573"/>
      <c r="BN49" s="573"/>
      <c r="BO49" s="573"/>
      <c r="BP49" s="573"/>
      <c r="BQ49" s="573"/>
      <c r="BR49" s="573"/>
      <c r="BS49" s="573"/>
      <c r="BT49" s="573"/>
      <c r="BU49" s="573"/>
      <c r="BV49" s="573"/>
      <c r="BW49" s="573"/>
      <c r="BX49" s="573"/>
      <c r="BY49" s="573"/>
      <c r="BZ49" s="573"/>
      <c r="CA49" s="573"/>
      <c r="CB49" s="573"/>
      <c r="CC49" s="573"/>
      <c r="CD49" s="573"/>
      <c r="CE49" s="573"/>
      <c r="CF49" s="573"/>
      <c r="CG49" s="573"/>
      <c r="CH49" s="573"/>
      <c r="CI49" s="573"/>
      <c r="CJ49" s="573"/>
      <c r="CK49" s="573"/>
      <c r="CL49" s="573"/>
      <c r="CM49" s="573"/>
      <c r="CN49" s="573"/>
      <c r="CO49" s="573"/>
      <c r="CP49" s="573"/>
      <c r="CQ49" s="573"/>
      <c r="CR49" s="573"/>
      <c r="CS49" s="573"/>
      <c r="CT49" s="573"/>
      <c r="CU49" s="573"/>
      <c r="CV49" s="573"/>
      <c r="CW49" s="573"/>
      <c r="CX49" s="573"/>
      <c r="CY49" s="573"/>
      <c r="CZ49" s="573"/>
      <c r="DA49" s="573"/>
      <c r="DB49" s="573"/>
      <c r="DC49" s="573"/>
      <c r="DD49" s="573"/>
      <c r="DE49" s="573"/>
      <c r="DF49" s="573"/>
      <c r="DG49" s="573"/>
      <c r="DH49" s="573"/>
      <c r="DI49" s="573"/>
      <c r="DJ49" s="573"/>
      <c r="DK49" s="573"/>
      <c r="DL49" s="573"/>
      <c r="DM49" s="573"/>
      <c r="DN49" s="573"/>
      <c r="DO49" s="573"/>
      <c r="DP49" s="573"/>
      <c r="DQ49" s="573"/>
      <c r="DR49" s="573"/>
      <c r="DS49" s="573"/>
      <c r="DT49" s="573"/>
      <c r="DU49" s="573"/>
      <c r="DV49" s="573"/>
      <c r="DW49" s="573"/>
      <c r="DX49" s="573"/>
      <c r="DY49" s="573"/>
      <c r="DZ49" s="573"/>
      <c r="EA49" s="573"/>
      <c r="EB49" s="573"/>
      <c r="EC49" s="573"/>
      <c r="ED49" s="573"/>
      <c r="EE49" s="573"/>
      <c r="EF49" s="573"/>
      <c r="EG49" s="573"/>
      <c r="EH49" s="573"/>
      <c r="EI49" s="573"/>
      <c r="EJ49" s="573"/>
      <c r="EK49" s="573"/>
      <c r="EL49" s="573"/>
      <c r="EM49" s="573"/>
      <c r="EN49" s="573"/>
      <c r="EO49" s="573"/>
      <c r="EP49" s="573"/>
      <c r="EQ49" s="573"/>
      <c r="ER49" s="573"/>
      <c r="ES49" s="573"/>
      <c r="ET49" s="573"/>
      <c r="EU49" s="573"/>
      <c r="EV49" s="573"/>
      <c r="EW49" s="573"/>
      <c r="EX49" s="573"/>
      <c r="EY49" s="573"/>
      <c r="EZ49" s="573"/>
      <c r="FA49" s="573"/>
      <c r="FB49" s="573"/>
      <c r="FC49" s="573"/>
      <c r="FD49" s="573"/>
      <c r="FE49" s="573"/>
      <c r="FF49" s="573"/>
      <c r="FG49" s="573"/>
      <c r="FH49" s="573"/>
      <c r="FI49" s="573"/>
      <c r="FJ49" s="573"/>
      <c r="FK49" s="573"/>
      <c r="FL49" s="573"/>
      <c r="FM49" s="573"/>
      <c r="FN49" s="573"/>
      <c r="FO49" s="573"/>
      <c r="FP49" s="573"/>
      <c r="FQ49" s="573"/>
      <c r="FR49" s="573"/>
      <c r="FS49" s="573"/>
      <c r="FT49" s="573"/>
      <c r="FU49" s="573"/>
      <c r="FV49" s="573"/>
      <c r="FW49" s="573"/>
      <c r="FX49" s="573"/>
      <c r="FY49" s="573"/>
      <c r="FZ49" s="573"/>
      <c r="GA49" s="573"/>
      <c r="GB49" s="573"/>
      <c r="GC49" s="573"/>
      <c r="GD49" s="573"/>
      <c r="GE49" s="573"/>
      <c r="GF49" s="573"/>
      <c r="GG49" s="573"/>
      <c r="GH49" s="573"/>
      <c r="GI49" s="573"/>
      <c r="GJ49" s="573"/>
      <c r="GK49" s="573"/>
      <c r="GL49" s="573"/>
      <c r="GM49" s="573"/>
      <c r="GN49" s="573"/>
      <c r="GO49" s="573"/>
      <c r="GP49" s="573"/>
      <c r="GQ49" s="573"/>
      <c r="GR49" s="573"/>
      <c r="GS49" s="573"/>
      <c r="GT49" s="573"/>
      <c r="GU49" s="573"/>
      <c r="GV49" s="573"/>
      <c r="GW49" s="573"/>
      <c r="GX49" s="573"/>
      <c r="GY49" s="573"/>
      <c r="GZ49" s="573"/>
      <c r="HA49" s="573"/>
      <c r="HB49" s="573"/>
      <c r="HC49" s="573"/>
      <c r="HD49" s="573"/>
      <c r="HE49" s="573"/>
      <c r="HF49" s="573"/>
      <c r="HG49" s="573"/>
      <c r="HH49" s="573"/>
      <c r="HI49" s="573"/>
      <c r="HJ49" s="573"/>
      <c r="HK49" s="573"/>
      <c r="HL49" s="573"/>
      <c r="HM49" s="573"/>
      <c r="HN49" s="573"/>
      <c r="HO49" s="573"/>
      <c r="HP49" s="573"/>
      <c r="HQ49" s="573"/>
      <c r="HR49" s="573"/>
      <c r="HS49" s="573"/>
      <c r="HT49" s="573"/>
      <c r="HU49" s="573"/>
      <c r="HV49" s="573"/>
      <c r="HW49" s="573"/>
      <c r="HX49" s="573"/>
      <c r="HY49" s="573"/>
      <c r="HZ49" s="573"/>
      <c r="IA49" s="573"/>
      <c r="IB49" s="573"/>
      <c r="IC49" s="573"/>
      <c r="ID49" s="573"/>
      <c r="IE49" s="573"/>
      <c r="IF49" s="573"/>
      <c r="IG49" s="573"/>
      <c r="IH49" s="573"/>
      <c r="II49" s="573"/>
      <c r="IJ49" s="573"/>
      <c r="IK49" s="573"/>
      <c r="IL49" s="573"/>
      <c r="IM49" s="573"/>
      <c r="IN49" s="573"/>
      <c r="IO49" s="573"/>
      <c r="IP49" s="573"/>
      <c r="IQ49" s="573"/>
      <c r="IR49" s="573"/>
      <c r="IS49" s="573"/>
      <c r="IT49" s="573"/>
      <c r="IU49" s="573"/>
      <c r="IV49" s="573"/>
      <c r="IW49" s="573"/>
    </row>
    <row r="50" customFormat="false" ht="15" hidden="false" customHeight="false" outlineLevel="0" collapsed="false">
      <c r="A50" s="558" t="s">
        <v>438</v>
      </c>
      <c r="B50" s="572"/>
      <c r="C50" s="581"/>
      <c r="D50" s="574"/>
      <c r="E50" s="580"/>
      <c r="F50" s="574"/>
      <c r="G50" s="574"/>
      <c r="H50" s="573"/>
      <c r="I50" s="573"/>
      <c r="J50" s="573"/>
      <c r="K50" s="573"/>
      <c r="L50" s="573"/>
      <c r="M50" s="573"/>
      <c r="N50" s="573"/>
      <c r="O50" s="573"/>
      <c r="P50" s="573"/>
      <c r="Q50" s="573"/>
      <c r="R50" s="573"/>
      <c r="S50" s="573"/>
      <c r="T50" s="573"/>
      <c r="U50" s="573"/>
      <c r="V50" s="573"/>
      <c r="W50" s="573"/>
      <c r="X50" s="573"/>
      <c r="Y50" s="573"/>
      <c r="Z50" s="573"/>
      <c r="AA50" s="573"/>
      <c r="AB50" s="573"/>
      <c r="AC50" s="573"/>
      <c r="AD50" s="573"/>
      <c r="AE50" s="573"/>
      <c r="AF50" s="573"/>
      <c r="AG50" s="573"/>
      <c r="AH50" s="573"/>
      <c r="AI50" s="573"/>
      <c r="AJ50" s="573"/>
      <c r="AK50" s="573"/>
      <c r="AL50" s="573"/>
      <c r="AM50" s="573"/>
      <c r="AN50" s="573"/>
      <c r="AO50" s="573"/>
      <c r="AP50" s="573"/>
      <c r="AQ50" s="573"/>
      <c r="AR50" s="573"/>
      <c r="AS50" s="573"/>
      <c r="AT50" s="573"/>
      <c r="AU50" s="573"/>
      <c r="AV50" s="573"/>
      <c r="AW50" s="573"/>
      <c r="AX50" s="573"/>
      <c r="AY50" s="573"/>
      <c r="AZ50" s="573"/>
      <c r="BA50" s="573"/>
      <c r="BB50" s="573"/>
      <c r="BC50" s="573"/>
      <c r="BD50" s="573"/>
      <c r="BE50" s="573"/>
      <c r="BF50" s="573"/>
      <c r="BG50" s="573"/>
      <c r="BH50" s="573"/>
      <c r="BI50" s="573"/>
      <c r="BJ50" s="573"/>
      <c r="BK50" s="573"/>
      <c r="BL50" s="573"/>
      <c r="BM50" s="573"/>
      <c r="BN50" s="573"/>
      <c r="BO50" s="573"/>
      <c r="BP50" s="573"/>
      <c r="BQ50" s="573"/>
      <c r="BR50" s="573"/>
      <c r="BS50" s="573"/>
      <c r="BT50" s="573"/>
      <c r="BU50" s="573"/>
      <c r="BV50" s="573"/>
      <c r="BW50" s="573"/>
      <c r="BX50" s="573"/>
      <c r="BY50" s="573"/>
      <c r="BZ50" s="573"/>
      <c r="CA50" s="573"/>
      <c r="CB50" s="573"/>
      <c r="CC50" s="573"/>
      <c r="CD50" s="573"/>
      <c r="CE50" s="573"/>
      <c r="CF50" s="573"/>
      <c r="CG50" s="573"/>
      <c r="CH50" s="573"/>
      <c r="CI50" s="573"/>
      <c r="CJ50" s="573"/>
      <c r="CK50" s="573"/>
      <c r="CL50" s="573"/>
      <c r="CM50" s="573"/>
      <c r="CN50" s="573"/>
      <c r="CO50" s="573"/>
      <c r="CP50" s="573"/>
      <c r="CQ50" s="573"/>
      <c r="CR50" s="573"/>
      <c r="CS50" s="573"/>
      <c r="CT50" s="573"/>
      <c r="CU50" s="573"/>
      <c r="CV50" s="573"/>
      <c r="CW50" s="573"/>
      <c r="CX50" s="573"/>
      <c r="CY50" s="573"/>
      <c r="CZ50" s="573"/>
      <c r="DA50" s="573"/>
      <c r="DB50" s="573"/>
      <c r="DC50" s="573"/>
      <c r="DD50" s="573"/>
      <c r="DE50" s="573"/>
      <c r="DF50" s="573"/>
      <c r="DG50" s="573"/>
      <c r="DH50" s="573"/>
      <c r="DI50" s="573"/>
      <c r="DJ50" s="573"/>
      <c r="DK50" s="573"/>
      <c r="DL50" s="573"/>
      <c r="DM50" s="573"/>
      <c r="DN50" s="573"/>
      <c r="DO50" s="573"/>
      <c r="DP50" s="573"/>
      <c r="DQ50" s="573"/>
      <c r="DR50" s="573"/>
      <c r="DS50" s="573"/>
      <c r="DT50" s="573"/>
      <c r="DU50" s="573"/>
      <c r="DV50" s="573"/>
      <c r="DW50" s="573"/>
      <c r="DX50" s="573"/>
      <c r="DY50" s="573"/>
      <c r="DZ50" s="573"/>
      <c r="EA50" s="573"/>
      <c r="EB50" s="573"/>
      <c r="EC50" s="573"/>
      <c r="ED50" s="573"/>
      <c r="EE50" s="573"/>
      <c r="EF50" s="573"/>
      <c r="EG50" s="573"/>
      <c r="EH50" s="573"/>
      <c r="EI50" s="573"/>
      <c r="EJ50" s="573"/>
      <c r="EK50" s="573"/>
      <c r="EL50" s="573"/>
      <c r="EM50" s="573"/>
      <c r="EN50" s="573"/>
      <c r="EO50" s="573"/>
      <c r="EP50" s="573"/>
      <c r="EQ50" s="573"/>
      <c r="ER50" s="573"/>
      <c r="ES50" s="573"/>
      <c r="ET50" s="573"/>
      <c r="EU50" s="573"/>
      <c r="EV50" s="573"/>
      <c r="EW50" s="573"/>
      <c r="EX50" s="573"/>
      <c r="EY50" s="573"/>
      <c r="EZ50" s="573"/>
      <c r="FA50" s="573"/>
      <c r="FB50" s="573"/>
      <c r="FC50" s="573"/>
      <c r="FD50" s="573"/>
      <c r="FE50" s="573"/>
      <c r="FF50" s="573"/>
      <c r="FG50" s="573"/>
      <c r="FH50" s="573"/>
      <c r="FI50" s="573"/>
      <c r="FJ50" s="573"/>
      <c r="FK50" s="573"/>
      <c r="FL50" s="573"/>
      <c r="FM50" s="573"/>
      <c r="FN50" s="573"/>
      <c r="FO50" s="573"/>
      <c r="FP50" s="573"/>
      <c r="FQ50" s="573"/>
      <c r="FR50" s="573"/>
      <c r="FS50" s="573"/>
      <c r="FT50" s="573"/>
      <c r="FU50" s="573"/>
      <c r="FV50" s="573"/>
      <c r="FW50" s="573"/>
      <c r="FX50" s="573"/>
      <c r="FY50" s="573"/>
      <c r="FZ50" s="573"/>
      <c r="GA50" s="573"/>
      <c r="GB50" s="573"/>
      <c r="GC50" s="573"/>
      <c r="GD50" s="573"/>
      <c r="GE50" s="573"/>
      <c r="GF50" s="573"/>
      <c r="GG50" s="573"/>
      <c r="GH50" s="573"/>
      <c r="GI50" s="573"/>
      <c r="GJ50" s="573"/>
      <c r="GK50" s="573"/>
      <c r="GL50" s="573"/>
      <c r="GM50" s="573"/>
      <c r="GN50" s="573"/>
      <c r="GO50" s="573"/>
      <c r="GP50" s="573"/>
      <c r="GQ50" s="573"/>
      <c r="GR50" s="573"/>
      <c r="GS50" s="573"/>
      <c r="GT50" s="573"/>
      <c r="GU50" s="573"/>
      <c r="GV50" s="573"/>
      <c r="GW50" s="573"/>
      <c r="GX50" s="573"/>
      <c r="GY50" s="573"/>
      <c r="GZ50" s="573"/>
      <c r="HA50" s="573"/>
      <c r="HB50" s="573"/>
      <c r="HC50" s="573"/>
      <c r="HD50" s="573"/>
      <c r="HE50" s="573"/>
      <c r="HF50" s="573"/>
      <c r="HG50" s="573"/>
      <c r="HH50" s="573"/>
      <c r="HI50" s="573"/>
      <c r="HJ50" s="573"/>
      <c r="HK50" s="573"/>
      <c r="HL50" s="573"/>
      <c r="HM50" s="573"/>
      <c r="HN50" s="573"/>
      <c r="HO50" s="573"/>
      <c r="HP50" s="573"/>
      <c r="HQ50" s="573"/>
      <c r="HR50" s="573"/>
      <c r="HS50" s="573"/>
      <c r="HT50" s="573"/>
      <c r="HU50" s="573"/>
      <c r="HV50" s="573"/>
      <c r="HW50" s="573"/>
      <c r="HX50" s="573"/>
      <c r="HY50" s="573"/>
      <c r="HZ50" s="573"/>
      <c r="IA50" s="573"/>
      <c r="IB50" s="573"/>
      <c r="IC50" s="573"/>
      <c r="ID50" s="573"/>
      <c r="IE50" s="573"/>
      <c r="IF50" s="573"/>
      <c r="IG50" s="573"/>
      <c r="IH50" s="573"/>
      <c r="II50" s="573"/>
      <c r="IJ50" s="573"/>
      <c r="IK50" s="573"/>
      <c r="IL50" s="573"/>
      <c r="IM50" s="573"/>
      <c r="IN50" s="573"/>
      <c r="IO50" s="573"/>
      <c r="IP50" s="573"/>
      <c r="IQ50" s="573"/>
      <c r="IR50" s="573"/>
      <c r="IS50" s="573"/>
      <c r="IT50" s="573"/>
      <c r="IU50" s="573"/>
      <c r="IV50" s="573"/>
      <c r="IW50" s="573"/>
    </row>
    <row r="51" customFormat="false" ht="15" hidden="false" customHeight="false" outlineLevel="0" collapsed="false">
      <c r="A51" s="558" t="s">
        <v>439</v>
      </c>
      <c r="B51" s="572"/>
      <c r="C51" s="581"/>
      <c r="D51" s="574"/>
      <c r="E51" s="580"/>
      <c r="F51" s="574"/>
      <c r="G51" s="574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  <c r="W51" s="573"/>
      <c r="X51" s="573"/>
      <c r="Y51" s="573"/>
      <c r="Z51" s="573"/>
      <c r="AA51" s="573"/>
      <c r="AB51" s="573"/>
      <c r="AC51" s="573"/>
      <c r="AD51" s="573"/>
      <c r="AE51" s="573"/>
      <c r="AF51" s="573"/>
      <c r="AG51" s="573"/>
      <c r="AH51" s="573"/>
      <c r="AI51" s="573"/>
      <c r="AJ51" s="573"/>
      <c r="AK51" s="573"/>
      <c r="AL51" s="573"/>
      <c r="AM51" s="573"/>
      <c r="AN51" s="573"/>
      <c r="AO51" s="573"/>
      <c r="AP51" s="573"/>
      <c r="AQ51" s="573"/>
      <c r="AR51" s="573"/>
      <c r="AS51" s="573"/>
      <c r="AT51" s="573"/>
      <c r="AU51" s="573"/>
      <c r="AV51" s="573"/>
      <c r="AW51" s="573"/>
      <c r="AX51" s="573"/>
      <c r="AY51" s="573"/>
      <c r="AZ51" s="573"/>
      <c r="BA51" s="573"/>
      <c r="BB51" s="573"/>
      <c r="BC51" s="573"/>
      <c r="BD51" s="573"/>
      <c r="BE51" s="573"/>
      <c r="BF51" s="573"/>
      <c r="BG51" s="573"/>
      <c r="BH51" s="573"/>
      <c r="BI51" s="573"/>
      <c r="BJ51" s="573"/>
      <c r="BK51" s="573"/>
      <c r="BL51" s="573"/>
      <c r="BM51" s="573"/>
      <c r="BN51" s="573"/>
      <c r="BO51" s="573"/>
      <c r="BP51" s="573"/>
      <c r="BQ51" s="573"/>
      <c r="BR51" s="573"/>
      <c r="BS51" s="573"/>
      <c r="BT51" s="573"/>
      <c r="BU51" s="573"/>
      <c r="BV51" s="573"/>
      <c r="BW51" s="573"/>
      <c r="BX51" s="573"/>
      <c r="BY51" s="573"/>
      <c r="BZ51" s="573"/>
      <c r="CA51" s="573"/>
      <c r="CB51" s="573"/>
      <c r="CC51" s="573"/>
      <c r="CD51" s="573"/>
      <c r="CE51" s="573"/>
      <c r="CF51" s="573"/>
      <c r="CG51" s="573"/>
      <c r="CH51" s="573"/>
      <c r="CI51" s="573"/>
      <c r="CJ51" s="573"/>
      <c r="CK51" s="573"/>
      <c r="CL51" s="573"/>
      <c r="CM51" s="573"/>
      <c r="CN51" s="573"/>
      <c r="CO51" s="573"/>
      <c r="CP51" s="573"/>
      <c r="CQ51" s="573"/>
      <c r="CR51" s="573"/>
      <c r="CS51" s="573"/>
      <c r="CT51" s="573"/>
      <c r="CU51" s="573"/>
      <c r="CV51" s="573"/>
      <c r="CW51" s="573"/>
      <c r="CX51" s="573"/>
      <c r="CY51" s="573"/>
      <c r="CZ51" s="573"/>
      <c r="DA51" s="573"/>
      <c r="DB51" s="573"/>
      <c r="DC51" s="573"/>
      <c r="DD51" s="573"/>
      <c r="DE51" s="573"/>
      <c r="DF51" s="573"/>
      <c r="DG51" s="573"/>
      <c r="DH51" s="573"/>
      <c r="DI51" s="573"/>
      <c r="DJ51" s="573"/>
      <c r="DK51" s="573"/>
      <c r="DL51" s="573"/>
      <c r="DM51" s="573"/>
      <c r="DN51" s="573"/>
      <c r="DO51" s="573"/>
      <c r="DP51" s="573"/>
      <c r="DQ51" s="573"/>
      <c r="DR51" s="573"/>
      <c r="DS51" s="573"/>
      <c r="DT51" s="573"/>
      <c r="DU51" s="573"/>
      <c r="DV51" s="573"/>
      <c r="DW51" s="573"/>
      <c r="DX51" s="573"/>
      <c r="DY51" s="573"/>
      <c r="DZ51" s="573"/>
      <c r="EA51" s="573"/>
      <c r="EB51" s="573"/>
      <c r="EC51" s="573"/>
      <c r="ED51" s="573"/>
      <c r="EE51" s="573"/>
      <c r="EF51" s="573"/>
      <c r="EG51" s="573"/>
      <c r="EH51" s="573"/>
      <c r="EI51" s="573"/>
      <c r="EJ51" s="573"/>
      <c r="EK51" s="573"/>
      <c r="EL51" s="573"/>
      <c r="EM51" s="573"/>
      <c r="EN51" s="573"/>
      <c r="EO51" s="573"/>
      <c r="EP51" s="573"/>
      <c r="EQ51" s="573"/>
      <c r="ER51" s="573"/>
      <c r="ES51" s="573"/>
      <c r="ET51" s="573"/>
      <c r="EU51" s="573"/>
      <c r="EV51" s="573"/>
      <c r="EW51" s="573"/>
      <c r="EX51" s="573"/>
      <c r="EY51" s="573"/>
      <c r="EZ51" s="573"/>
      <c r="FA51" s="573"/>
      <c r="FB51" s="573"/>
      <c r="FC51" s="573"/>
      <c r="FD51" s="573"/>
      <c r="FE51" s="573"/>
      <c r="FF51" s="573"/>
      <c r="FG51" s="573"/>
      <c r="FH51" s="573"/>
      <c r="FI51" s="573"/>
      <c r="FJ51" s="573"/>
      <c r="FK51" s="573"/>
      <c r="FL51" s="573"/>
      <c r="FM51" s="573"/>
      <c r="FN51" s="573"/>
      <c r="FO51" s="573"/>
      <c r="FP51" s="573"/>
      <c r="FQ51" s="573"/>
      <c r="FR51" s="573"/>
      <c r="FS51" s="573"/>
      <c r="FT51" s="573"/>
      <c r="FU51" s="573"/>
      <c r="FV51" s="573"/>
      <c r="FW51" s="573"/>
      <c r="FX51" s="573"/>
      <c r="FY51" s="573"/>
      <c r="FZ51" s="573"/>
      <c r="GA51" s="573"/>
      <c r="GB51" s="573"/>
      <c r="GC51" s="573"/>
      <c r="GD51" s="573"/>
      <c r="GE51" s="573"/>
      <c r="GF51" s="573"/>
      <c r="GG51" s="573"/>
      <c r="GH51" s="573"/>
      <c r="GI51" s="573"/>
      <c r="GJ51" s="573"/>
      <c r="GK51" s="573"/>
      <c r="GL51" s="573"/>
      <c r="GM51" s="573"/>
      <c r="GN51" s="573"/>
      <c r="GO51" s="573"/>
      <c r="GP51" s="573"/>
      <c r="GQ51" s="573"/>
      <c r="GR51" s="573"/>
      <c r="GS51" s="573"/>
      <c r="GT51" s="573"/>
      <c r="GU51" s="573"/>
      <c r="GV51" s="573"/>
      <c r="GW51" s="573"/>
      <c r="GX51" s="573"/>
      <c r="GY51" s="573"/>
      <c r="GZ51" s="573"/>
      <c r="HA51" s="573"/>
      <c r="HB51" s="573"/>
      <c r="HC51" s="573"/>
      <c r="HD51" s="573"/>
      <c r="HE51" s="573"/>
      <c r="HF51" s="573"/>
      <c r="HG51" s="573"/>
      <c r="HH51" s="573"/>
      <c r="HI51" s="573"/>
      <c r="HJ51" s="573"/>
      <c r="HK51" s="573"/>
      <c r="HL51" s="573"/>
      <c r="HM51" s="573"/>
      <c r="HN51" s="573"/>
      <c r="HO51" s="573"/>
      <c r="HP51" s="573"/>
      <c r="HQ51" s="573"/>
      <c r="HR51" s="573"/>
      <c r="HS51" s="573"/>
      <c r="HT51" s="573"/>
      <c r="HU51" s="573"/>
      <c r="HV51" s="573"/>
      <c r="HW51" s="573"/>
      <c r="HX51" s="573"/>
      <c r="HY51" s="573"/>
      <c r="HZ51" s="573"/>
      <c r="IA51" s="573"/>
      <c r="IB51" s="573"/>
      <c r="IC51" s="573"/>
      <c r="ID51" s="573"/>
      <c r="IE51" s="573"/>
      <c r="IF51" s="573"/>
      <c r="IG51" s="573"/>
      <c r="IH51" s="573"/>
      <c r="II51" s="573"/>
      <c r="IJ51" s="573"/>
      <c r="IK51" s="573"/>
      <c r="IL51" s="573"/>
      <c r="IM51" s="573"/>
      <c r="IN51" s="573"/>
      <c r="IO51" s="573"/>
      <c r="IP51" s="573"/>
      <c r="IQ51" s="573"/>
      <c r="IR51" s="573"/>
      <c r="IS51" s="573"/>
      <c r="IT51" s="573"/>
      <c r="IU51" s="573"/>
      <c r="IV51" s="573"/>
      <c r="IW51" s="573"/>
    </row>
    <row r="52" customFormat="false" ht="15" hidden="false" customHeight="false" outlineLevel="0" collapsed="false">
      <c r="A52" s="558"/>
      <c r="B52" s="572"/>
      <c r="C52" s="581"/>
      <c r="D52" s="574"/>
      <c r="E52" s="580"/>
      <c r="F52" s="574"/>
      <c r="G52" s="574"/>
      <c r="H52" s="573"/>
      <c r="I52" s="573"/>
      <c r="J52" s="573"/>
      <c r="K52" s="573"/>
      <c r="L52" s="573"/>
      <c r="M52" s="573"/>
      <c r="N52" s="573"/>
      <c r="O52" s="573"/>
      <c r="P52" s="573"/>
      <c r="Q52" s="573"/>
      <c r="R52" s="573"/>
      <c r="S52" s="573"/>
      <c r="T52" s="573"/>
      <c r="U52" s="573"/>
      <c r="V52" s="573"/>
      <c r="W52" s="573"/>
      <c r="X52" s="573"/>
      <c r="Y52" s="573"/>
      <c r="Z52" s="573"/>
      <c r="AA52" s="573"/>
      <c r="AB52" s="573"/>
      <c r="AC52" s="573"/>
      <c r="AD52" s="573"/>
      <c r="AE52" s="573"/>
      <c r="AF52" s="573"/>
      <c r="AG52" s="573"/>
      <c r="AH52" s="573"/>
      <c r="AI52" s="573"/>
      <c r="AJ52" s="573"/>
      <c r="AK52" s="573"/>
      <c r="AL52" s="573"/>
      <c r="AM52" s="573"/>
      <c r="AN52" s="573"/>
      <c r="AO52" s="573"/>
      <c r="AP52" s="573"/>
      <c r="AQ52" s="573"/>
      <c r="AR52" s="573"/>
      <c r="AS52" s="573"/>
      <c r="AT52" s="573"/>
      <c r="AU52" s="573"/>
      <c r="AV52" s="573"/>
      <c r="AW52" s="573"/>
      <c r="AX52" s="573"/>
      <c r="AY52" s="573"/>
      <c r="AZ52" s="573"/>
      <c r="BA52" s="573"/>
      <c r="BB52" s="573"/>
      <c r="BC52" s="573"/>
      <c r="BD52" s="573"/>
      <c r="BE52" s="573"/>
      <c r="BF52" s="573"/>
      <c r="BG52" s="573"/>
      <c r="BH52" s="573"/>
      <c r="BI52" s="573"/>
      <c r="BJ52" s="573"/>
      <c r="BK52" s="573"/>
      <c r="BL52" s="573"/>
      <c r="BM52" s="573"/>
      <c r="BN52" s="573"/>
      <c r="BO52" s="573"/>
      <c r="BP52" s="573"/>
      <c r="BQ52" s="573"/>
      <c r="BR52" s="573"/>
      <c r="BS52" s="573"/>
      <c r="BT52" s="573"/>
      <c r="BU52" s="573"/>
      <c r="BV52" s="573"/>
      <c r="BW52" s="573"/>
      <c r="BX52" s="573"/>
      <c r="BY52" s="573"/>
      <c r="BZ52" s="573"/>
      <c r="CA52" s="573"/>
      <c r="CB52" s="573"/>
      <c r="CC52" s="573"/>
      <c r="CD52" s="573"/>
      <c r="CE52" s="573"/>
      <c r="CF52" s="573"/>
      <c r="CG52" s="573"/>
      <c r="CH52" s="573"/>
      <c r="CI52" s="573"/>
      <c r="CJ52" s="573"/>
      <c r="CK52" s="573"/>
      <c r="CL52" s="573"/>
      <c r="CM52" s="573"/>
      <c r="CN52" s="573"/>
      <c r="CO52" s="573"/>
      <c r="CP52" s="573"/>
      <c r="CQ52" s="573"/>
      <c r="CR52" s="573"/>
      <c r="CS52" s="573"/>
      <c r="CT52" s="573"/>
      <c r="CU52" s="573"/>
      <c r="CV52" s="573"/>
      <c r="CW52" s="573"/>
      <c r="CX52" s="573"/>
      <c r="CY52" s="573"/>
      <c r="CZ52" s="573"/>
      <c r="DA52" s="573"/>
      <c r="DB52" s="573"/>
      <c r="DC52" s="573"/>
      <c r="DD52" s="573"/>
      <c r="DE52" s="573"/>
      <c r="DF52" s="573"/>
      <c r="DG52" s="573"/>
      <c r="DH52" s="573"/>
      <c r="DI52" s="573"/>
      <c r="DJ52" s="573"/>
      <c r="DK52" s="573"/>
      <c r="DL52" s="573"/>
      <c r="DM52" s="573"/>
      <c r="DN52" s="573"/>
      <c r="DO52" s="573"/>
      <c r="DP52" s="573"/>
      <c r="DQ52" s="573"/>
      <c r="DR52" s="573"/>
      <c r="DS52" s="573"/>
      <c r="DT52" s="573"/>
      <c r="DU52" s="573"/>
      <c r="DV52" s="573"/>
      <c r="DW52" s="573"/>
      <c r="DX52" s="573"/>
      <c r="DY52" s="573"/>
      <c r="DZ52" s="573"/>
      <c r="EA52" s="573"/>
      <c r="EB52" s="573"/>
      <c r="EC52" s="573"/>
      <c r="ED52" s="573"/>
      <c r="EE52" s="573"/>
      <c r="EF52" s="573"/>
      <c r="EG52" s="573"/>
      <c r="EH52" s="573"/>
      <c r="EI52" s="573"/>
      <c r="EJ52" s="573"/>
      <c r="EK52" s="573"/>
      <c r="EL52" s="573"/>
      <c r="EM52" s="573"/>
      <c r="EN52" s="573"/>
      <c r="EO52" s="573"/>
      <c r="EP52" s="573"/>
      <c r="EQ52" s="573"/>
      <c r="ER52" s="573"/>
      <c r="ES52" s="573"/>
      <c r="ET52" s="573"/>
      <c r="EU52" s="573"/>
      <c r="EV52" s="573"/>
      <c r="EW52" s="573"/>
      <c r="EX52" s="573"/>
      <c r="EY52" s="573"/>
      <c r="EZ52" s="573"/>
      <c r="FA52" s="573"/>
      <c r="FB52" s="573"/>
      <c r="FC52" s="573"/>
      <c r="FD52" s="573"/>
      <c r="FE52" s="573"/>
      <c r="FF52" s="573"/>
      <c r="FG52" s="573"/>
      <c r="FH52" s="573"/>
      <c r="FI52" s="573"/>
      <c r="FJ52" s="573"/>
      <c r="FK52" s="573"/>
      <c r="FL52" s="573"/>
      <c r="FM52" s="573"/>
      <c r="FN52" s="573"/>
      <c r="FO52" s="573"/>
      <c r="FP52" s="573"/>
      <c r="FQ52" s="573"/>
      <c r="FR52" s="573"/>
      <c r="FS52" s="573"/>
      <c r="FT52" s="573"/>
      <c r="FU52" s="573"/>
      <c r="FV52" s="573"/>
      <c r="FW52" s="573"/>
      <c r="FX52" s="573"/>
      <c r="FY52" s="573"/>
      <c r="FZ52" s="573"/>
      <c r="GA52" s="573"/>
      <c r="GB52" s="573"/>
      <c r="GC52" s="573"/>
      <c r="GD52" s="573"/>
      <c r="GE52" s="573"/>
      <c r="GF52" s="573"/>
      <c r="GG52" s="573"/>
      <c r="GH52" s="573"/>
      <c r="GI52" s="573"/>
      <c r="GJ52" s="573"/>
      <c r="GK52" s="573"/>
      <c r="GL52" s="573"/>
      <c r="GM52" s="573"/>
      <c r="GN52" s="573"/>
      <c r="GO52" s="573"/>
      <c r="GP52" s="573"/>
      <c r="GQ52" s="573"/>
      <c r="GR52" s="573"/>
      <c r="GS52" s="573"/>
      <c r="GT52" s="573"/>
      <c r="GU52" s="573"/>
      <c r="GV52" s="573"/>
      <c r="GW52" s="573"/>
      <c r="GX52" s="573"/>
      <c r="GY52" s="573"/>
      <c r="GZ52" s="573"/>
      <c r="HA52" s="573"/>
      <c r="HB52" s="573"/>
      <c r="HC52" s="573"/>
      <c r="HD52" s="573"/>
      <c r="HE52" s="573"/>
      <c r="HF52" s="573"/>
      <c r="HG52" s="573"/>
      <c r="HH52" s="573"/>
      <c r="HI52" s="573"/>
      <c r="HJ52" s="573"/>
      <c r="HK52" s="573"/>
      <c r="HL52" s="573"/>
      <c r="HM52" s="573"/>
      <c r="HN52" s="573"/>
      <c r="HO52" s="573"/>
      <c r="HP52" s="573"/>
      <c r="HQ52" s="573"/>
      <c r="HR52" s="573"/>
      <c r="HS52" s="573"/>
      <c r="HT52" s="573"/>
      <c r="HU52" s="573"/>
      <c r="HV52" s="573"/>
      <c r="HW52" s="573"/>
      <c r="HX52" s="573"/>
      <c r="HY52" s="573"/>
      <c r="HZ52" s="573"/>
      <c r="IA52" s="573"/>
      <c r="IB52" s="573"/>
      <c r="IC52" s="573"/>
      <c r="ID52" s="573"/>
      <c r="IE52" s="573"/>
      <c r="IF52" s="573"/>
      <c r="IG52" s="573"/>
      <c r="IH52" s="573"/>
      <c r="II52" s="573"/>
      <c r="IJ52" s="573"/>
      <c r="IK52" s="573"/>
      <c r="IL52" s="573"/>
      <c r="IM52" s="573"/>
      <c r="IN52" s="573"/>
      <c r="IO52" s="573"/>
      <c r="IP52" s="573"/>
      <c r="IQ52" s="573"/>
      <c r="IR52" s="573"/>
      <c r="IS52" s="573"/>
      <c r="IT52" s="573"/>
      <c r="IU52" s="573"/>
      <c r="IV52" s="573"/>
      <c r="IW52" s="573"/>
    </row>
    <row r="53" customFormat="false" ht="15" hidden="false" customHeight="false" outlineLevel="0" collapsed="false">
      <c r="A53" s="582" t="s">
        <v>440</v>
      </c>
      <c r="B53" s="572"/>
      <c r="C53" s="581"/>
      <c r="D53" s="574"/>
      <c r="E53" s="580"/>
      <c r="F53" s="574"/>
      <c r="G53" s="574"/>
      <c r="H53" s="573"/>
      <c r="I53" s="573"/>
      <c r="J53" s="573"/>
      <c r="K53" s="573"/>
      <c r="L53" s="573"/>
      <c r="M53" s="573"/>
      <c r="N53" s="573"/>
      <c r="O53" s="573"/>
      <c r="P53" s="573"/>
      <c r="Q53" s="573"/>
      <c r="R53" s="573"/>
      <c r="S53" s="573"/>
      <c r="T53" s="573"/>
      <c r="U53" s="573"/>
      <c r="V53" s="573"/>
      <c r="W53" s="573"/>
      <c r="X53" s="573"/>
      <c r="Y53" s="573"/>
      <c r="Z53" s="573"/>
      <c r="AA53" s="573"/>
      <c r="AB53" s="573"/>
      <c r="AC53" s="573"/>
      <c r="AD53" s="573"/>
      <c r="AE53" s="573"/>
      <c r="AF53" s="573"/>
      <c r="AG53" s="573"/>
      <c r="AH53" s="573"/>
      <c r="AI53" s="573"/>
      <c r="AJ53" s="573"/>
      <c r="AK53" s="573"/>
      <c r="AL53" s="573"/>
      <c r="AM53" s="573"/>
      <c r="AN53" s="573"/>
      <c r="AO53" s="573"/>
      <c r="AP53" s="573"/>
      <c r="AQ53" s="573"/>
      <c r="AR53" s="573"/>
      <c r="AS53" s="573"/>
      <c r="AT53" s="573"/>
      <c r="AU53" s="573"/>
      <c r="AV53" s="573"/>
      <c r="AW53" s="573"/>
      <c r="AX53" s="573"/>
      <c r="AY53" s="573"/>
      <c r="AZ53" s="573"/>
      <c r="BA53" s="573"/>
      <c r="BB53" s="573"/>
      <c r="BC53" s="573"/>
      <c r="BD53" s="573"/>
      <c r="BE53" s="573"/>
      <c r="BF53" s="573"/>
      <c r="BG53" s="573"/>
      <c r="BH53" s="573"/>
      <c r="BI53" s="573"/>
      <c r="BJ53" s="573"/>
      <c r="BK53" s="573"/>
      <c r="BL53" s="573"/>
      <c r="BM53" s="573"/>
      <c r="BN53" s="573"/>
      <c r="BO53" s="573"/>
      <c r="BP53" s="573"/>
      <c r="BQ53" s="573"/>
      <c r="BR53" s="573"/>
      <c r="BS53" s="573"/>
      <c r="BT53" s="573"/>
      <c r="BU53" s="573"/>
      <c r="BV53" s="573"/>
      <c r="BW53" s="573"/>
      <c r="BX53" s="573"/>
      <c r="BY53" s="573"/>
      <c r="BZ53" s="573"/>
      <c r="CA53" s="573"/>
      <c r="CB53" s="573"/>
      <c r="CC53" s="573"/>
      <c r="CD53" s="573"/>
      <c r="CE53" s="573"/>
      <c r="CF53" s="573"/>
      <c r="CG53" s="573"/>
      <c r="CH53" s="573"/>
      <c r="CI53" s="573"/>
      <c r="CJ53" s="573"/>
      <c r="CK53" s="573"/>
      <c r="CL53" s="573"/>
      <c r="CM53" s="573"/>
      <c r="CN53" s="573"/>
      <c r="CO53" s="573"/>
      <c r="CP53" s="573"/>
      <c r="CQ53" s="573"/>
      <c r="CR53" s="573"/>
      <c r="CS53" s="573"/>
      <c r="CT53" s="573"/>
      <c r="CU53" s="573"/>
      <c r="CV53" s="573"/>
      <c r="CW53" s="573"/>
      <c r="CX53" s="573"/>
      <c r="CY53" s="573"/>
      <c r="CZ53" s="573"/>
      <c r="DA53" s="573"/>
      <c r="DB53" s="573"/>
      <c r="DC53" s="573"/>
      <c r="DD53" s="573"/>
      <c r="DE53" s="573"/>
      <c r="DF53" s="573"/>
      <c r="DG53" s="573"/>
      <c r="DH53" s="573"/>
      <c r="DI53" s="573"/>
      <c r="DJ53" s="573"/>
      <c r="DK53" s="573"/>
      <c r="DL53" s="573"/>
      <c r="DM53" s="573"/>
      <c r="DN53" s="573"/>
      <c r="DO53" s="573"/>
      <c r="DP53" s="573"/>
      <c r="DQ53" s="573"/>
      <c r="DR53" s="573"/>
      <c r="DS53" s="573"/>
      <c r="DT53" s="573"/>
      <c r="DU53" s="573"/>
      <c r="DV53" s="573"/>
      <c r="DW53" s="573"/>
      <c r="DX53" s="573"/>
      <c r="DY53" s="573"/>
      <c r="DZ53" s="573"/>
      <c r="EA53" s="573"/>
      <c r="EB53" s="573"/>
      <c r="EC53" s="573"/>
      <c r="ED53" s="573"/>
      <c r="EE53" s="573"/>
      <c r="EF53" s="573"/>
      <c r="EG53" s="573"/>
      <c r="EH53" s="573"/>
      <c r="EI53" s="573"/>
      <c r="EJ53" s="573"/>
      <c r="EK53" s="573"/>
      <c r="EL53" s="573"/>
      <c r="EM53" s="573"/>
      <c r="EN53" s="573"/>
      <c r="EO53" s="573"/>
      <c r="EP53" s="573"/>
      <c r="EQ53" s="573"/>
      <c r="ER53" s="573"/>
      <c r="ES53" s="573"/>
      <c r="ET53" s="573"/>
      <c r="EU53" s="573"/>
      <c r="EV53" s="573"/>
      <c r="EW53" s="573"/>
      <c r="EX53" s="573"/>
      <c r="EY53" s="573"/>
      <c r="EZ53" s="573"/>
      <c r="FA53" s="573"/>
      <c r="FB53" s="573"/>
      <c r="FC53" s="573"/>
      <c r="FD53" s="573"/>
      <c r="FE53" s="573"/>
      <c r="FF53" s="573"/>
      <c r="FG53" s="573"/>
      <c r="FH53" s="573"/>
      <c r="FI53" s="573"/>
      <c r="FJ53" s="573"/>
      <c r="FK53" s="573"/>
      <c r="FL53" s="573"/>
      <c r="FM53" s="573"/>
      <c r="FN53" s="573"/>
      <c r="FO53" s="573"/>
      <c r="FP53" s="573"/>
      <c r="FQ53" s="573"/>
      <c r="FR53" s="573"/>
      <c r="FS53" s="573"/>
      <c r="FT53" s="573"/>
      <c r="FU53" s="573"/>
      <c r="FV53" s="573"/>
      <c r="FW53" s="573"/>
      <c r="FX53" s="573"/>
      <c r="FY53" s="573"/>
      <c r="FZ53" s="573"/>
      <c r="GA53" s="573"/>
      <c r="GB53" s="573"/>
      <c r="GC53" s="573"/>
      <c r="GD53" s="573"/>
      <c r="GE53" s="573"/>
      <c r="GF53" s="573"/>
      <c r="GG53" s="573"/>
      <c r="GH53" s="573"/>
      <c r="GI53" s="573"/>
      <c r="GJ53" s="573"/>
      <c r="GK53" s="573"/>
      <c r="GL53" s="573"/>
      <c r="GM53" s="573"/>
      <c r="GN53" s="573"/>
      <c r="GO53" s="573"/>
      <c r="GP53" s="573"/>
      <c r="GQ53" s="573"/>
      <c r="GR53" s="573"/>
      <c r="GS53" s="573"/>
      <c r="GT53" s="573"/>
      <c r="GU53" s="573"/>
      <c r="GV53" s="573"/>
      <c r="GW53" s="573"/>
      <c r="GX53" s="573"/>
      <c r="GY53" s="573"/>
      <c r="GZ53" s="573"/>
      <c r="HA53" s="573"/>
      <c r="HB53" s="573"/>
      <c r="HC53" s="573"/>
      <c r="HD53" s="573"/>
      <c r="HE53" s="573"/>
      <c r="HF53" s="573"/>
      <c r="HG53" s="573"/>
      <c r="HH53" s="573"/>
      <c r="HI53" s="573"/>
      <c r="HJ53" s="573"/>
      <c r="HK53" s="573"/>
      <c r="HL53" s="573"/>
      <c r="HM53" s="573"/>
      <c r="HN53" s="573"/>
      <c r="HO53" s="573"/>
      <c r="HP53" s="573"/>
      <c r="HQ53" s="573"/>
      <c r="HR53" s="573"/>
      <c r="HS53" s="573"/>
      <c r="HT53" s="573"/>
      <c r="HU53" s="573"/>
      <c r="HV53" s="573"/>
      <c r="HW53" s="573"/>
      <c r="HX53" s="573"/>
      <c r="HY53" s="573"/>
      <c r="HZ53" s="573"/>
      <c r="IA53" s="573"/>
      <c r="IB53" s="573"/>
      <c r="IC53" s="573"/>
      <c r="ID53" s="573"/>
      <c r="IE53" s="573"/>
      <c r="IF53" s="573"/>
      <c r="IG53" s="573"/>
      <c r="IH53" s="573"/>
      <c r="II53" s="573"/>
      <c r="IJ53" s="573"/>
      <c r="IK53" s="573"/>
      <c r="IL53" s="573"/>
      <c r="IM53" s="573"/>
      <c r="IN53" s="573"/>
      <c r="IO53" s="573"/>
      <c r="IP53" s="573"/>
      <c r="IQ53" s="573"/>
      <c r="IR53" s="573"/>
      <c r="IS53" s="573"/>
      <c r="IT53" s="573"/>
      <c r="IU53" s="573"/>
      <c r="IV53" s="573"/>
      <c r="IW53" s="573"/>
    </row>
    <row r="54" customFormat="false" ht="15" hidden="false" customHeight="false" outlineLevel="0" collapsed="false">
      <c r="A54" s="558" t="s">
        <v>441</v>
      </c>
      <c r="B54" s="572"/>
      <c r="C54" s="581"/>
      <c r="D54" s="574"/>
      <c r="E54" s="580"/>
      <c r="F54" s="574"/>
      <c r="G54" s="574"/>
      <c r="H54" s="573"/>
      <c r="I54" s="573"/>
      <c r="J54" s="573"/>
      <c r="K54" s="573"/>
      <c r="L54" s="573"/>
      <c r="M54" s="573"/>
      <c r="N54" s="573"/>
      <c r="O54" s="573"/>
      <c r="P54" s="573"/>
      <c r="Q54" s="573"/>
      <c r="R54" s="573"/>
      <c r="S54" s="573"/>
      <c r="T54" s="573"/>
      <c r="U54" s="573"/>
      <c r="V54" s="573"/>
      <c r="W54" s="573"/>
      <c r="X54" s="573"/>
      <c r="Y54" s="573"/>
      <c r="Z54" s="573"/>
      <c r="AA54" s="573"/>
      <c r="AB54" s="573"/>
      <c r="AC54" s="573"/>
      <c r="AD54" s="573"/>
      <c r="AE54" s="573"/>
      <c r="AF54" s="573"/>
      <c r="AG54" s="573"/>
      <c r="AH54" s="573"/>
      <c r="AI54" s="573"/>
      <c r="AJ54" s="573"/>
      <c r="AK54" s="573"/>
      <c r="AL54" s="573"/>
      <c r="AM54" s="573"/>
      <c r="AN54" s="573"/>
      <c r="AO54" s="573"/>
      <c r="AP54" s="573"/>
      <c r="AQ54" s="573"/>
      <c r="AR54" s="573"/>
      <c r="AS54" s="573"/>
      <c r="AT54" s="573"/>
      <c r="AU54" s="573"/>
      <c r="AV54" s="573"/>
      <c r="AW54" s="573"/>
      <c r="AX54" s="573"/>
      <c r="AY54" s="573"/>
      <c r="AZ54" s="573"/>
      <c r="BA54" s="573"/>
      <c r="BB54" s="573"/>
      <c r="BC54" s="573"/>
      <c r="BD54" s="573"/>
      <c r="BE54" s="573"/>
      <c r="BF54" s="573"/>
      <c r="BG54" s="573"/>
      <c r="BH54" s="573"/>
      <c r="BI54" s="573"/>
      <c r="BJ54" s="573"/>
      <c r="BK54" s="573"/>
      <c r="BL54" s="573"/>
      <c r="BM54" s="573"/>
      <c r="BN54" s="573"/>
      <c r="BO54" s="573"/>
      <c r="BP54" s="573"/>
      <c r="BQ54" s="573"/>
      <c r="BR54" s="573"/>
      <c r="BS54" s="573"/>
      <c r="BT54" s="573"/>
      <c r="BU54" s="573"/>
      <c r="BV54" s="573"/>
      <c r="BW54" s="573"/>
      <c r="BX54" s="573"/>
      <c r="BY54" s="573"/>
      <c r="BZ54" s="573"/>
      <c r="CA54" s="573"/>
      <c r="CB54" s="573"/>
      <c r="CC54" s="573"/>
      <c r="CD54" s="573"/>
      <c r="CE54" s="573"/>
      <c r="CF54" s="573"/>
      <c r="CG54" s="573"/>
      <c r="CH54" s="573"/>
      <c r="CI54" s="573"/>
      <c r="CJ54" s="573"/>
      <c r="CK54" s="573"/>
      <c r="CL54" s="573"/>
      <c r="CM54" s="573"/>
      <c r="CN54" s="573"/>
      <c r="CO54" s="573"/>
      <c r="CP54" s="573"/>
      <c r="CQ54" s="573"/>
      <c r="CR54" s="573"/>
      <c r="CS54" s="573"/>
      <c r="CT54" s="573"/>
      <c r="CU54" s="573"/>
      <c r="CV54" s="573"/>
      <c r="CW54" s="573"/>
      <c r="CX54" s="573"/>
      <c r="CY54" s="573"/>
      <c r="CZ54" s="573"/>
      <c r="DA54" s="573"/>
      <c r="DB54" s="573"/>
      <c r="DC54" s="573"/>
      <c r="DD54" s="573"/>
      <c r="DE54" s="573"/>
      <c r="DF54" s="573"/>
      <c r="DG54" s="573"/>
      <c r="DH54" s="573"/>
      <c r="DI54" s="573"/>
      <c r="DJ54" s="573"/>
      <c r="DK54" s="573"/>
      <c r="DL54" s="573"/>
      <c r="DM54" s="573"/>
      <c r="DN54" s="573"/>
      <c r="DO54" s="573"/>
      <c r="DP54" s="573"/>
      <c r="DQ54" s="573"/>
      <c r="DR54" s="573"/>
      <c r="DS54" s="573"/>
      <c r="DT54" s="573"/>
      <c r="DU54" s="573"/>
      <c r="DV54" s="573"/>
      <c r="DW54" s="573"/>
      <c r="DX54" s="573"/>
      <c r="DY54" s="573"/>
      <c r="DZ54" s="573"/>
      <c r="EA54" s="573"/>
      <c r="EB54" s="573"/>
      <c r="EC54" s="573"/>
      <c r="ED54" s="573"/>
      <c r="EE54" s="573"/>
      <c r="EF54" s="573"/>
      <c r="EG54" s="573"/>
      <c r="EH54" s="573"/>
      <c r="EI54" s="573"/>
      <c r="EJ54" s="573"/>
      <c r="EK54" s="573"/>
      <c r="EL54" s="573"/>
      <c r="EM54" s="573"/>
      <c r="EN54" s="573"/>
      <c r="EO54" s="573"/>
      <c r="EP54" s="573"/>
      <c r="EQ54" s="573"/>
      <c r="ER54" s="573"/>
      <c r="ES54" s="573"/>
      <c r="ET54" s="573"/>
      <c r="EU54" s="573"/>
      <c r="EV54" s="573"/>
      <c r="EW54" s="573"/>
      <c r="EX54" s="573"/>
      <c r="EY54" s="573"/>
      <c r="EZ54" s="573"/>
      <c r="FA54" s="573"/>
      <c r="FB54" s="573"/>
      <c r="FC54" s="573"/>
      <c r="FD54" s="573"/>
      <c r="FE54" s="573"/>
      <c r="FF54" s="573"/>
      <c r="FG54" s="573"/>
      <c r="FH54" s="573"/>
      <c r="FI54" s="573"/>
      <c r="FJ54" s="573"/>
      <c r="FK54" s="573"/>
      <c r="FL54" s="573"/>
      <c r="FM54" s="573"/>
      <c r="FN54" s="573"/>
      <c r="FO54" s="573"/>
      <c r="FP54" s="573"/>
      <c r="FQ54" s="573"/>
      <c r="FR54" s="573"/>
      <c r="FS54" s="573"/>
      <c r="FT54" s="573"/>
      <c r="FU54" s="573"/>
      <c r="FV54" s="573"/>
      <c r="FW54" s="573"/>
      <c r="FX54" s="573"/>
      <c r="FY54" s="573"/>
      <c r="FZ54" s="573"/>
      <c r="GA54" s="573"/>
      <c r="GB54" s="573"/>
      <c r="GC54" s="573"/>
      <c r="GD54" s="573"/>
      <c r="GE54" s="573"/>
      <c r="GF54" s="573"/>
      <c r="GG54" s="573"/>
      <c r="GH54" s="573"/>
      <c r="GI54" s="573"/>
      <c r="GJ54" s="573"/>
      <c r="GK54" s="573"/>
      <c r="GL54" s="573"/>
      <c r="GM54" s="573"/>
      <c r="GN54" s="573"/>
      <c r="GO54" s="573"/>
      <c r="GP54" s="573"/>
      <c r="GQ54" s="573"/>
      <c r="GR54" s="573"/>
      <c r="GS54" s="573"/>
      <c r="GT54" s="573"/>
      <c r="GU54" s="573"/>
      <c r="GV54" s="573"/>
      <c r="GW54" s="573"/>
      <c r="GX54" s="573"/>
      <c r="GY54" s="573"/>
      <c r="GZ54" s="573"/>
      <c r="HA54" s="573"/>
      <c r="HB54" s="573"/>
      <c r="HC54" s="573"/>
      <c r="HD54" s="573"/>
      <c r="HE54" s="573"/>
      <c r="HF54" s="573"/>
      <c r="HG54" s="573"/>
      <c r="HH54" s="573"/>
      <c r="HI54" s="573"/>
      <c r="HJ54" s="573"/>
      <c r="HK54" s="573"/>
      <c r="HL54" s="573"/>
      <c r="HM54" s="573"/>
      <c r="HN54" s="573"/>
      <c r="HO54" s="573"/>
      <c r="HP54" s="573"/>
      <c r="HQ54" s="573"/>
      <c r="HR54" s="573"/>
      <c r="HS54" s="573"/>
      <c r="HT54" s="573"/>
      <c r="HU54" s="573"/>
      <c r="HV54" s="573"/>
      <c r="HW54" s="573"/>
      <c r="HX54" s="573"/>
      <c r="HY54" s="573"/>
      <c r="HZ54" s="573"/>
      <c r="IA54" s="573"/>
      <c r="IB54" s="573"/>
      <c r="IC54" s="573"/>
      <c r="ID54" s="573"/>
      <c r="IE54" s="573"/>
      <c r="IF54" s="573"/>
      <c r="IG54" s="573"/>
      <c r="IH54" s="573"/>
      <c r="II54" s="573"/>
      <c r="IJ54" s="573"/>
      <c r="IK54" s="573"/>
      <c r="IL54" s="573"/>
      <c r="IM54" s="573"/>
      <c r="IN54" s="573"/>
      <c r="IO54" s="573"/>
      <c r="IP54" s="573"/>
      <c r="IQ54" s="573"/>
      <c r="IR54" s="573"/>
      <c r="IS54" s="573"/>
      <c r="IT54" s="573"/>
      <c r="IU54" s="573"/>
      <c r="IV54" s="573"/>
      <c r="IW54" s="573"/>
    </row>
    <row r="55" customFormat="false" ht="15" hidden="false" customHeight="false" outlineLevel="0" collapsed="false">
      <c r="A55" s="558" t="s">
        <v>442</v>
      </c>
      <c r="B55" s="572"/>
      <c r="C55" s="581"/>
      <c r="D55" s="574"/>
      <c r="E55" s="580"/>
      <c r="F55" s="574"/>
      <c r="G55" s="574"/>
      <c r="H55" s="573"/>
      <c r="I55" s="573"/>
      <c r="J55" s="573"/>
      <c r="K55" s="573"/>
      <c r="L55" s="573"/>
      <c r="M55" s="573"/>
      <c r="N55" s="573"/>
      <c r="O55" s="573"/>
      <c r="P55" s="573"/>
      <c r="Q55" s="573"/>
      <c r="R55" s="573"/>
      <c r="S55" s="573"/>
      <c r="T55" s="573"/>
      <c r="U55" s="573"/>
      <c r="V55" s="573"/>
      <c r="W55" s="573"/>
      <c r="X55" s="573"/>
      <c r="Y55" s="573"/>
      <c r="Z55" s="573"/>
      <c r="AA55" s="573"/>
      <c r="AB55" s="573"/>
      <c r="AC55" s="573"/>
      <c r="AD55" s="573"/>
      <c r="AE55" s="573"/>
      <c r="AF55" s="573"/>
      <c r="AG55" s="573"/>
      <c r="AH55" s="573"/>
      <c r="AI55" s="573"/>
      <c r="AJ55" s="573"/>
      <c r="AK55" s="573"/>
      <c r="AL55" s="573"/>
      <c r="AM55" s="573"/>
      <c r="AN55" s="573"/>
      <c r="AO55" s="573"/>
      <c r="AP55" s="573"/>
      <c r="AQ55" s="573"/>
      <c r="AR55" s="573"/>
      <c r="AS55" s="573"/>
      <c r="AT55" s="573"/>
      <c r="AU55" s="573"/>
      <c r="AV55" s="573"/>
      <c r="AW55" s="573"/>
      <c r="AX55" s="573"/>
      <c r="AY55" s="573"/>
      <c r="AZ55" s="573"/>
      <c r="BA55" s="573"/>
      <c r="BB55" s="573"/>
      <c r="BC55" s="573"/>
      <c r="BD55" s="573"/>
      <c r="BE55" s="573"/>
      <c r="BF55" s="573"/>
      <c r="BG55" s="573"/>
      <c r="BH55" s="573"/>
      <c r="BI55" s="573"/>
      <c r="BJ55" s="573"/>
      <c r="BK55" s="573"/>
      <c r="BL55" s="573"/>
      <c r="BM55" s="573"/>
      <c r="BN55" s="573"/>
      <c r="BO55" s="573"/>
      <c r="BP55" s="573"/>
      <c r="BQ55" s="573"/>
      <c r="BR55" s="573"/>
      <c r="BS55" s="573"/>
      <c r="BT55" s="573"/>
      <c r="BU55" s="573"/>
      <c r="BV55" s="573"/>
      <c r="BW55" s="573"/>
      <c r="BX55" s="573"/>
      <c r="BY55" s="573"/>
      <c r="BZ55" s="573"/>
      <c r="CA55" s="573"/>
      <c r="CB55" s="573"/>
      <c r="CC55" s="573"/>
      <c r="CD55" s="573"/>
      <c r="CE55" s="573"/>
      <c r="CF55" s="573"/>
      <c r="CG55" s="573"/>
      <c r="CH55" s="573"/>
      <c r="CI55" s="573"/>
      <c r="CJ55" s="573"/>
      <c r="CK55" s="573"/>
      <c r="CL55" s="573"/>
      <c r="CM55" s="573"/>
      <c r="CN55" s="573"/>
      <c r="CO55" s="573"/>
      <c r="CP55" s="573"/>
      <c r="CQ55" s="573"/>
      <c r="CR55" s="573"/>
      <c r="CS55" s="573"/>
      <c r="CT55" s="573"/>
      <c r="CU55" s="573"/>
      <c r="CV55" s="573"/>
      <c r="CW55" s="573"/>
      <c r="CX55" s="573"/>
      <c r="CY55" s="573"/>
      <c r="CZ55" s="573"/>
      <c r="DA55" s="573"/>
      <c r="DB55" s="573"/>
      <c r="DC55" s="573"/>
      <c r="DD55" s="573"/>
      <c r="DE55" s="573"/>
      <c r="DF55" s="573"/>
      <c r="DG55" s="573"/>
      <c r="DH55" s="573"/>
      <c r="DI55" s="573"/>
      <c r="DJ55" s="573"/>
      <c r="DK55" s="573"/>
      <c r="DL55" s="573"/>
      <c r="DM55" s="573"/>
      <c r="DN55" s="573"/>
      <c r="DO55" s="573"/>
      <c r="DP55" s="573"/>
      <c r="DQ55" s="573"/>
      <c r="DR55" s="573"/>
      <c r="DS55" s="573"/>
      <c r="DT55" s="573"/>
      <c r="DU55" s="573"/>
      <c r="DV55" s="573"/>
      <c r="DW55" s="573"/>
      <c r="DX55" s="573"/>
      <c r="DY55" s="573"/>
      <c r="DZ55" s="573"/>
      <c r="EA55" s="573"/>
      <c r="EB55" s="573"/>
      <c r="EC55" s="573"/>
      <c r="ED55" s="573"/>
      <c r="EE55" s="573"/>
      <c r="EF55" s="573"/>
      <c r="EG55" s="573"/>
      <c r="EH55" s="573"/>
      <c r="EI55" s="573"/>
      <c r="EJ55" s="573"/>
      <c r="EK55" s="573"/>
      <c r="EL55" s="573"/>
      <c r="EM55" s="573"/>
      <c r="EN55" s="573"/>
      <c r="EO55" s="573"/>
      <c r="EP55" s="573"/>
      <c r="EQ55" s="573"/>
      <c r="ER55" s="573"/>
      <c r="ES55" s="573"/>
      <c r="ET55" s="573"/>
      <c r="EU55" s="573"/>
      <c r="EV55" s="573"/>
      <c r="EW55" s="573"/>
      <c r="EX55" s="573"/>
      <c r="EY55" s="573"/>
      <c r="EZ55" s="573"/>
      <c r="FA55" s="573"/>
      <c r="FB55" s="573"/>
      <c r="FC55" s="573"/>
      <c r="FD55" s="573"/>
      <c r="FE55" s="573"/>
      <c r="FF55" s="573"/>
      <c r="FG55" s="573"/>
      <c r="FH55" s="573"/>
      <c r="FI55" s="573"/>
      <c r="FJ55" s="573"/>
      <c r="FK55" s="573"/>
      <c r="FL55" s="573"/>
      <c r="FM55" s="573"/>
      <c r="FN55" s="573"/>
      <c r="FO55" s="573"/>
      <c r="FP55" s="573"/>
      <c r="FQ55" s="573"/>
      <c r="FR55" s="573"/>
      <c r="FS55" s="573"/>
      <c r="FT55" s="573"/>
      <c r="FU55" s="573"/>
      <c r="FV55" s="573"/>
      <c r="FW55" s="573"/>
      <c r="FX55" s="573"/>
      <c r="FY55" s="573"/>
      <c r="FZ55" s="573"/>
      <c r="GA55" s="573"/>
      <c r="GB55" s="573"/>
      <c r="GC55" s="573"/>
      <c r="GD55" s="573"/>
      <c r="GE55" s="573"/>
      <c r="GF55" s="573"/>
      <c r="GG55" s="573"/>
      <c r="GH55" s="573"/>
      <c r="GI55" s="573"/>
      <c r="GJ55" s="573"/>
      <c r="GK55" s="573"/>
      <c r="GL55" s="573"/>
      <c r="GM55" s="573"/>
      <c r="GN55" s="573"/>
      <c r="GO55" s="573"/>
      <c r="GP55" s="573"/>
      <c r="GQ55" s="573"/>
      <c r="GR55" s="573"/>
      <c r="GS55" s="573"/>
      <c r="GT55" s="573"/>
      <c r="GU55" s="573"/>
      <c r="GV55" s="573"/>
      <c r="GW55" s="573"/>
      <c r="GX55" s="573"/>
      <c r="GY55" s="573"/>
      <c r="GZ55" s="573"/>
      <c r="HA55" s="573"/>
      <c r="HB55" s="573"/>
      <c r="HC55" s="573"/>
      <c r="HD55" s="573"/>
      <c r="HE55" s="573"/>
      <c r="HF55" s="573"/>
      <c r="HG55" s="573"/>
      <c r="HH55" s="573"/>
      <c r="HI55" s="573"/>
      <c r="HJ55" s="573"/>
      <c r="HK55" s="573"/>
      <c r="HL55" s="573"/>
      <c r="HM55" s="573"/>
      <c r="HN55" s="573"/>
      <c r="HO55" s="573"/>
      <c r="HP55" s="573"/>
      <c r="HQ55" s="573"/>
      <c r="HR55" s="573"/>
      <c r="HS55" s="573"/>
      <c r="HT55" s="573"/>
      <c r="HU55" s="573"/>
      <c r="HV55" s="573"/>
      <c r="HW55" s="573"/>
      <c r="HX55" s="573"/>
      <c r="HY55" s="573"/>
      <c r="HZ55" s="573"/>
      <c r="IA55" s="573"/>
      <c r="IB55" s="573"/>
      <c r="IC55" s="573"/>
      <c r="ID55" s="573"/>
      <c r="IE55" s="573"/>
      <c r="IF55" s="573"/>
      <c r="IG55" s="573"/>
      <c r="IH55" s="573"/>
      <c r="II55" s="573"/>
      <c r="IJ55" s="573"/>
      <c r="IK55" s="573"/>
      <c r="IL55" s="573"/>
      <c r="IM55" s="573"/>
      <c r="IN55" s="573"/>
      <c r="IO55" s="573"/>
      <c r="IP55" s="573"/>
      <c r="IQ55" s="573"/>
      <c r="IR55" s="573"/>
      <c r="IS55" s="573"/>
      <c r="IT55" s="573"/>
      <c r="IU55" s="573"/>
      <c r="IV55" s="573"/>
      <c r="IW55" s="573"/>
    </row>
    <row r="56" customFormat="false" ht="15" hidden="false" customHeight="false" outlineLevel="0" collapsed="false">
      <c r="A56" s="558"/>
      <c r="B56" s="572"/>
      <c r="C56" s="581"/>
      <c r="D56" s="574"/>
      <c r="E56" s="580"/>
      <c r="F56" s="574"/>
      <c r="G56" s="574"/>
      <c r="H56" s="573"/>
      <c r="I56" s="573"/>
      <c r="J56" s="573"/>
      <c r="K56" s="573"/>
      <c r="L56" s="573"/>
      <c r="M56" s="573"/>
      <c r="N56" s="573"/>
      <c r="O56" s="573"/>
      <c r="P56" s="573"/>
      <c r="Q56" s="573"/>
      <c r="R56" s="573"/>
      <c r="S56" s="573"/>
      <c r="T56" s="573"/>
      <c r="U56" s="573"/>
      <c r="V56" s="573"/>
      <c r="W56" s="573"/>
      <c r="X56" s="573"/>
      <c r="Y56" s="573"/>
      <c r="Z56" s="573"/>
      <c r="AA56" s="573"/>
      <c r="AB56" s="573"/>
      <c r="AC56" s="573"/>
      <c r="AD56" s="573"/>
      <c r="AE56" s="573"/>
      <c r="AF56" s="573"/>
      <c r="AG56" s="573"/>
      <c r="AH56" s="573"/>
      <c r="AI56" s="573"/>
      <c r="AJ56" s="573"/>
      <c r="AK56" s="573"/>
      <c r="AL56" s="573"/>
      <c r="AM56" s="573"/>
      <c r="AN56" s="573"/>
      <c r="AO56" s="573"/>
      <c r="AP56" s="573"/>
      <c r="AQ56" s="573"/>
      <c r="AR56" s="573"/>
      <c r="AS56" s="573"/>
      <c r="AT56" s="573"/>
      <c r="AU56" s="573"/>
      <c r="AV56" s="573"/>
      <c r="AW56" s="573"/>
      <c r="AX56" s="573"/>
      <c r="AY56" s="573"/>
      <c r="AZ56" s="573"/>
      <c r="BA56" s="573"/>
      <c r="BB56" s="573"/>
      <c r="BC56" s="573"/>
      <c r="BD56" s="573"/>
      <c r="BE56" s="573"/>
      <c r="BF56" s="573"/>
      <c r="BG56" s="573"/>
      <c r="BH56" s="573"/>
      <c r="BI56" s="573"/>
      <c r="BJ56" s="573"/>
      <c r="BK56" s="573"/>
      <c r="BL56" s="573"/>
      <c r="BM56" s="573"/>
      <c r="BN56" s="573"/>
      <c r="BO56" s="573"/>
      <c r="BP56" s="573"/>
      <c r="BQ56" s="573"/>
      <c r="BR56" s="573"/>
      <c r="BS56" s="573"/>
      <c r="BT56" s="573"/>
      <c r="BU56" s="573"/>
      <c r="BV56" s="573"/>
      <c r="BW56" s="573"/>
      <c r="BX56" s="573"/>
      <c r="BY56" s="573"/>
      <c r="BZ56" s="573"/>
      <c r="CA56" s="573"/>
      <c r="CB56" s="573"/>
      <c r="CC56" s="573"/>
      <c r="CD56" s="573"/>
      <c r="CE56" s="573"/>
      <c r="CF56" s="573"/>
      <c r="CG56" s="573"/>
      <c r="CH56" s="573"/>
      <c r="CI56" s="573"/>
      <c r="CJ56" s="573"/>
      <c r="CK56" s="573"/>
      <c r="CL56" s="573"/>
      <c r="CM56" s="573"/>
      <c r="CN56" s="573"/>
      <c r="CO56" s="573"/>
      <c r="CP56" s="573"/>
      <c r="CQ56" s="573"/>
      <c r="CR56" s="573"/>
      <c r="CS56" s="573"/>
      <c r="CT56" s="573"/>
      <c r="CU56" s="573"/>
      <c r="CV56" s="573"/>
      <c r="CW56" s="573"/>
      <c r="CX56" s="573"/>
      <c r="CY56" s="573"/>
      <c r="CZ56" s="573"/>
      <c r="DA56" s="573"/>
      <c r="DB56" s="573"/>
      <c r="DC56" s="573"/>
      <c r="DD56" s="573"/>
      <c r="DE56" s="573"/>
      <c r="DF56" s="573"/>
      <c r="DG56" s="573"/>
      <c r="DH56" s="573"/>
      <c r="DI56" s="573"/>
      <c r="DJ56" s="573"/>
      <c r="DK56" s="573"/>
      <c r="DL56" s="573"/>
      <c r="DM56" s="573"/>
      <c r="DN56" s="573"/>
      <c r="DO56" s="573"/>
      <c r="DP56" s="573"/>
      <c r="DQ56" s="573"/>
      <c r="DR56" s="573"/>
      <c r="DS56" s="573"/>
      <c r="DT56" s="573"/>
      <c r="DU56" s="573"/>
      <c r="DV56" s="573"/>
      <c r="DW56" s="573"/>
      <c r="DX56" s="573"/>
      <c r="DY56" s="573"/>
      <c r="DZ56" s="573"/>
      <c r="EA56" s="573"/>
      <c r="EB56" s="573"/>
      <c r="EC56" s="573"/>
      <c r="ED56" s="573"/>
      <c r="EE56" s="573"/>
      <c r="EF56" s="573"/>
      <c r="EG56" s="573"/>
      <c r="EH56" s="573"/>
      <c r="EI56" s="573"/>
      <c r="EJ56" s="573"/>
      <c r="EK56" s="573"/>
      <c r="EL56" s="573"/>
      <c r="EM56" s="573"/>
      <c r="EN56" s="573"/>
      <c r="EO56" s="573"/>
      <c r="EP56" s="573"/>
      <c r="EQ56" s="573"/>
      <c r="ER56" s="573"/>
      <c r="ES56" s="573"/>
      <c r="ET56" s="573"/>
      <c r="EU56" s="573"/>
      <c r="EV56" s="573"/>
      <c r="EW56" s="573"/>
      <c r="EX56" s="573"/>
      <c r="EY56" s="573"/>
      <c r="EZ56" s="573"/>
      <c r="FA56" s="573"/>
      <c r="FB56" s="573"/>
      <c r="FC56" s="573"/>
      <c r="FD56" s="573"/>
      <c r="FE56" s="573"/>
      <c r="FF56" s="573"/>
      <c r="FG56" s="573"/>
      <c r="FH56" s="573"/>
      <c r="FI56" s="573"/>
      <c r="FJ56" s="573"/>
      <c r="FK56" s="573"/>
      <c r="FL56" s="573"/>
      <c r="FM56" s="573"/>
      <c r="FN56" s="573"/>
      <c r="FO56" s="573"/>
      <c r="FP56" s="573"/>
      <c r="FQ56" s="573"/>
      <c r="FR56" s="573"/>
      <c r="FS56" s="573"/>
      <c r="FT56" s="573"/>
      <c r="FU56" s="573"/>
      <c r="FV56" s="573"/>
      <c r="FW56" s="573"/>
      <c r="FX56" s="573"/>
      <c r="FY56" s="573"/>
      <c r="FZ56" s="573"/>
      <c r="GA56" s="573"/>
      <c r="GB56" s="573"/>
      <c r="GC56" s="573"/>
      <c r="GD56" s="573"/>
      <c r="GE56" s="573"/>
      <c r="GF56" s="573"/>
      <c r="GG56" s="573"/>
      <c r="GH56" s="573"/>
      <c r="GI56" s="573"/>
      <c r="GJ56" s="573"/>
      <c r="GK56" s="573"/>
      <c r="GL56" s="573"/>
      <c r="GM56" s="573"/>
      <c r="GN56" s="573"/>
      <c r="GO56" s="573"/>
      <c r="GP56" s="573"/>
      <c r="GQ56" s="573"/>
      <c r="GR56" s="573"/>
      <c r="GS56" s="573"/>
      <c r="GT56" s="573"/>
      <c r="GU56" s="573"/>
      <c r="GV56" s="573"/>
      <c r="GW56" s="573"/>
      <c r="GX56" s="573"/>
      <c r="GY56" s="573"/>
      <c r="GZ56" s="573"/>
      <c r="HA56" s="573"/>
      <c r="HB56" s="573"/>
      <c r="HC56" s="573"/>
      <c r="HD56" s="573"/>
      <c r="HE56" s="573"/>
      <c r="HF56" s="573"/>
      <c r="HG56" s="573"/>
      <c r="HH56" s="573"/>
      <c r="HI56" s="573"/>
      <c r="HJ56" s="573"/>
      <c r="HK56" s="573"/>
      <c r="HL56" s="573"/>
      <c r="HM56" s="573"/>
      <c r="HN56" s="573"/>
      <c r="HO56" s="573"/>
      <c r="HP56" s="573"/>
      <c r="HQ56" s="573"/>
      <c r="HR56" s="573"/>
      <c r="HS56" s="573"/>
      <c r="HT56" s="573"/>
      <c r="HU56" s="573"/>
      <c r="HV56" s="573"/>
      <c r="HW56" s="573"/>
      <c r="HX56" s="573"/>
      <c r="HY56" s="573"/>
      <c r="HZ56" s="573"/>
      <c r="IA56" s="573"/>
      <c r="IB56" s="573"/>
      <c r="IC56" s="573"/>
      <c r="ID56" s="573"/>
      <c r="IE56" s="573"/>
      <c r="IF56" s="573"/>
      <c r="IG56" s="573"/>
      <c r="IH56" s="573"/>
      <c r="II56" s="573"/>
      <c r="IJ56" s="573"/>
      <c r="IK56" s="573"/>
      <c r="IL56" s="573"/>
      <c r="IM56" s="573"/>
      <c r="IN56" s="573"/>
      <c r="IO56" s="573"/>
      <c r="IP56" s="573"/>
      <c r="IQ56" s="573"/>
      <c r="IR56" s="573"/>
      <c r="IS56" s="573"/>
      <c r="IT56" s="573"/>
      <c r="IU56" s="573"/>
      <c r="IV56" s="573"/>
      <c r="IW56" s="573"/>
    </row>
    <row r="57" customFormat="false" ht="15" hidden="false" customHeight="false" outlineLevel="0" collapsed="false">
      <c r="A57" s="582" t="s">
        <v>443</v>
      </c>
      <c r="B57" s="572"/>
      <c r="C57" s="581"/>
      <c r="D57" s="574"/>
      <c r="E57" s="580"/>
      <c r="F57" s="574"/>
      <c r="G57" s="574"/>
      <c r="H57" s="573"/>
      <c r="I57" s="573"/>
      <c r="J57" s="573"/>
      <c r="K57" s="573"/>
      <c r="L57" s="573"/>
      <c r="M57" s="573"/>
      <c r="N57" s="573"/>
      <c r="O57" s="573"/>
      <c r="P57" s="573"/>
      <c r="Q57" s="573"/>
      <c r="R57" s="573"/>
      <c r="S57" s="573"/>
      <c r="T57" s="573"/>
      <c r="U57" s="573"/>
      <c r="V57" s="573"/>
      <c r="W57" s="573"/>
      <c r="X57" s="573"/>
      <c r="Y57" s="573"/>
      <c r="Z57" s="573"/>
      <c r="AA57" s="573"/>
      <c r="AB57" s="573"/>
      <c r="AC57" s="573"/>
      <c r="AD57" s="573"/>
      <c r="AE57" s="573"/>
      <c r="AF57" s="573"/>
      <c r="AG57" s="573"/>
      <c r="AH57" s="573"/>
      <c r="AI57" s="573"/>
      <c r="AJ57" s="573"/>
      <c r="AK57" s="573"/>
      <c r="AL57" s="573"/>
      <c r="AM57" s="573"/>
      <c r="AN57" s="573"/>
      <c r="AO57" s="573"/>
      <c r="AP57" s="573"/>
      <c r="AQ57" s="573"/>
      <c r="AR57" s="573"/>
      <c r="AS57" s="573"/>
      <c r="AT57" s="573"/>
      <c r="AU57" s="573"/>
      <c r="AV57" s="573"/>
      <c r="AW57" s="573"/>
      <c r="AX57" s="573"/>
      <c r="AY57" s="573"/>
      <c r="AZ57" s="573"/>
      <c r="BA57" s="573"/>
      <c r="BB57" s="573"/>
      <c r="BC57" s="573"/>
      <c r="BD57" s="573"/>
      <c r="BE57" s="573"/>
      <c r="BF57" s="573"/>
      <c r="BG57" s="573"/>
      <c r="BH57" s="573"/>
      <c r="BI57" s="573"/>
      <c r="BJ57" s="573"/>
      <c r="BK57" s="573"/>
      <c r="BL57" s="573"/>
      <c r="BM57" s="573"/>
      <c r="BN57" s="573"/>
      <c r="BO57" s="573"/>
      <c r="BP57" s="573"/>
      <c r="BQ57" s="573"/>
      <c r="BR57" s="573"/>
      <c r="BS57" s="573"/>
      <c r="BT57" s="573"/>
      <c r="BU57" s="573"/>
      <c r="BV57" s="573"/>
      <c r="BW57" s="573"/>
      <c r="BX57" s="573"/>
      <c r="BY57" s="573"/>
      <c r="BZ57" s="573"/>
      <c r="CA57" s="573"/>
      <c r="CB57" s="573"/>
      <c r="CC57" s="573"/>
      <c r="CD57" s="573"/>
      <c r="CE57" s="573"/>
      <c r="CF57" s="573"/>
      <c r="CG57" s="573"/>
      <c r="CH57" s="573"/>
      <c r="CI57" s="573"/>
      <c r="CJ57" s="573"/>
      <c r="CK57" s="573"/>
      <c r="CL57" s="573"/>
      <c r="CM57" s="573"/>
      <c r="CN57" s="573"/>
      <c r="CO57" s="573"/>
      <c r="CP57" s="573"/>
      <c r="CQ57" s="573"/>
      <c r="CR57" s="573"/>
      <c r="CS57" s="573"/>
      <c r="CT57" s="573"/>
      <c r="CU57" s="573"/>
      <c r="CV57" s="573"/>
      <c r="CW57" s="573"/>
      <c r="CX57" s="573"/>
      <c r="CY57" s="573"/>
      <c r="CZ57" s="573"/>
      <c r="DA57" s="573"/>
      <c r="DB57" s="573"/>
      <c r="DC57" s="573"/>
      <c r="DD57" s="573"/>
      <c r="DE57" s="573"/>
      <c r="DF57" s="573"/>
      <c r="DG57" s="573"/>
      <c r="DH57" s="573"/>
      <c r="DI57" s="573"/>
      <c r="DJ57" s="573"/>
      <c r="DK57" s="573"/>
      <c r="DL57" s="573"/>
      <c r="DM57" s="573"/>
      <c r="DN57" s="573"/>
      <c r="DO57" s="573"/>
      <c r="DP57" s="573"/>
      <c r="DQ57" s="573"/>
      <c r="DR57" s="573"/>
      <c r="DS57" s="573"/>
      <c r="DT57" s="573"/>
      <c r="DU57" s="573"/>
      <c r="DV57" s="573"/>
      <c r="DW57" s="573"/>
      <c r="DX57" s="573"/>
      <c r="DY57" s="573"/>
      <c r="DZ57" s="573"/>
      <c r="EA57" s="573"/>
      <c r="EB57" s="573"/>
      <c r="EC57" s="573"/>
      <c r="ED57" s="573"/>
      <c r="EE57" s="573"/>
      <c r="EF57" s="573"/>
      <c r="EG57" s="573"/>
      <c r="EH57" s="573"/>
      <c r="EI57" s="573"/>
      <c r="EJ57" s="573"/>
      <c r="EK57" s="573"/>
      <c r="EL57" s="573"/>
      <c r="EM57" s="573"/>
      <c r="EN57" s="573"/>
      <c r="EO57" s="573"/>
      <c r="EP57" s="573"/>
      <c r="EQ57" s="573"/>
      <c r="ER57" s="573"/>
      <c r="ES57" s="573"/>
      <c r="ET57" s="573"/>
      <c r="EU57" s="573"/>
      <c r="EV57" s="573"/>
      <c r="EW57" s="573"/>
      <c r="EX57" s="573"/>
      <c r="EY57" s="573"/>
      <c r="EZ57" s="573"/>
      <c r="FA57" s="573"/>
      <c r="FB57" s="573"/>
      <c r="FC57" s="573"/>
      <c r="FD57" s="573"/>
      <c r="FE57" s="573"/>
      <c r="FF57" s="573"/>
      <c r="FG57" s="573"/>
      <c r="FH57" s="573"/>
      <c r="FI57" s="573"/>
      <c r="FJ57" s="573"/>
      <c r="FK57" s="573"/>
      <c r="FL57" s="573"/>
      <c r="FM57" s="573"/>
      <c r="FN57" s="573"/>
      <c r="FO57" s="573"/>
      <c r="FP57" s="573"/>
      <c r="FQ57" s="573"/>
      <c r="FR57" s="573"/>
      <c r="FS57" s="573"/>
      <c r="FT57" s="573"/>
      <c r="FU57" s="573"/>
      <c r="FV57" s="573"/>
      <c r="FW57" s="573"/>
      <c r="FX57" s="573"/>
      <c r="FY57" s="573"/>
      <c r="FZ57" s="573"/>
      <c r="GA57" s="573"/>
      <c r="GB57" s="573"/>
      <c r="GC57" s="573"/>
      <c r="GD57" s="573"/>
      <c r="GE57" s="573"/>
      <c r="GF57" s="573"/>
      <c r="GG57" s="573"/>
      <c r="GH57" s="573"/>
      <c r="GI57" s="573"/>
      <c r="GJ57" s="573"/>
      <c r="GK57" s="573"/>
      <c r="GL57" s="573"/>
      <c r="GM57" s="573"/>
      <c r="GN57" s="573"/>
      <c r="GO57" s="573"/>
      <c r="GP57" s="573"/>
      <c r="GQ57" s="573"/>
      <c r="GR57" s="573"/>
      <c r="GS57" s="573"/>
      <c r="GT57" s="573"/>
      <c r="GU57" s="573"/>
      <c r="GV57" s="573"/>
      <c r="GW57" s="573"/>
      <c r="GX57" s="573"/>
      <c r="GY57" s="573"/>
      <c r="GZ57" s="573"/>
      <c r="HA57" s="573"/>
      <c r="HB57" s="573"/>
      <c r="HC57" s="573"/>
      <c r="HD57" s="573"/>
      <c r="HE57" s="573"/>
      <c r="HF57" s="573"/>
      <c r="HG57" s="573"/>
      <c r="HH57" s="573"/>
      <c r="HI57" s="573"/>
      <c r="HJ57" s="573"/>
      <c r="HK57" s="573"/>
      <c r="HL57" s="573"/>
      <c r="HM57" s="573"/>
      <c r="HN57" s="573"/>
      <c r="HO57" s="573"/>
      <c r="HP57" s="573"/>
      <c r="HQ57" s="573"/>
      <c r="HR57" s="573"/>
      <c r="HS57" s="573"/>
      <c r="HT57" s="573"/>
      <c r="HU57" s="573"/>
      <c r="HV57" s="573"/>
      <c r="HW57" s="573"/>
      <c r="HX57" s="573"/>
      <c r="HY57" s="573"/>
      <c r="HZ57" s="573"/>
      <c r="IA57" s="573"/>
      <c r="IB57" s="573"/>
      <c r="IC57" s="573"/>
      <c r="ID57" s="573"/>
      <c r="IE57" s="573"/>
      <c r="IF57" s="573"/>
      <c r="IG57" s="573"/>
      <c r="IH57" s="573"/>
      <c r="II57" s="573"/>
      <c r="IJ57" s="573"/>
      <c r="IK57" s="573"/>
      <c r="IL57" s="573"/>
      <c r="IM57" s="573"/>
      <c r="IN57" s="573"/>
      <c r="IO57" s="573"/>
      <c r="IP57" s="573"/>
      <c r="IQ57" s="573"/>
      <c r="IR57" s="573"/>
      <c r="IS57" s="573"/>
      <c r="IT57" s="573"/>
      <c r="IU57" s="573"/>
      <c r="IV57" s="573"/>
      <c r="IW57" s="573"/>
    </row>
    <row r="58" customFormat="false" ht="15" hidden="false" customHeight="false" outlineLevel="0" collapsed="false">
      <c r="A58" s="558" t="s">
        <v>429</v>
      </c>
      <c r="B58" s="572"/>
      <c r="C58" s="581"/>
      <c r="D58" s="574"/>
      <c r="E58" s="580"/>
      <c r="F58" s="574"/>
      <c r="G58" s="574"/>
      <c r="H58" s="573"/>
      <c r="I58" s="573"/>
      <c r="J58" s="573"/>
      <c r="K58" s="573"/>
      <c r="L58" s="573"/>
      <c r="M58" s="573"/>
      <c r="N58" s="573"/>
      <c r="O58" s="573"/>
      <c r="P58" s="573"/>
      <c r="Q58" s="573"/>
      <c r="R58" s="573"/>
      <c r="S58" s="573"/>
      <c r="T58" s="573"/>
      <c r="U58" s="573"/>
      <c r="V58" s="573"/>
      <c r="W58" s="573"/>
      <c r="X58" s="573"/>
      <c r="Y58" s="573"/>
      <c r="Z58" s="573"/>
      <c r="AA58" s="573"/>
      <c r="AB58" s="573"/>
      <c r="AC58" s="573"/>
      <c r="AD58" s="573"/>
      <c r="AE58" s="573"/>
      <c r="AF58" s="573"/>
      <c r="AG58" s="573"/>
      <c r="AH58" s="573"/>
      <c r="AI58" s="573"/>
      <c r="AJ58" s="573"/>
      <c r="AK58" s="573"/>
      <c r="AL58" s="573"/>
      <c r="AM58" s="573"/>
      <c r="AN58" s="573"/>
      <c r="AO58" s="573"/>
      <c r="AP58" s="573"/>
      <c r="AQ58" s="573"/>
      <c r="AR58" s="573"/>
      <c r="AS58" s="573"/>
      <c r="AT58" s="573"/>
      <c r="AU58" s="573"/>
      <c r="AV58" s="573"/>
      <c r="AW58" s="573"/>
      <c r="AX58" s="573"/>
      <c r="AY58" s="573"/>
      <c r="AZ58" s="573"/>
      <c r="BA58" s="573"/>
      <c r="BB58" s="573"/>
      <c r="BC58" s="573"/>
      <c r="BD58" s="573"/>
      <c r="BE58" s="573"/>
      <c r="BF58" s="573"/>
      <c r="BG58" s="573"/>
      <c r="BH58" s="573"/>
      <c r="BI58" s="573"/>
      <c r="BJ58" s="573"/>
      <c r="BK58" s="573"/>
      <c r="BL58" s="573"/>
      <c r="BM58" s="573"/>
      <c r="BN58" s="573"/>
      <c r="BO58" s="573"/>
      <c r="BP58" s="573"/>
      <c r="BQ58" s="573"/>
      <c r="BR58" s="573"/>
      <c r="BS58" s="573"/>
      <c r="BT58" s="573"/>
      <c r="BU58" s="573"/>
      <c r="BV58" s="573"/>
      <c r="BW58" s="573"/>
      <c r="BX58" s="573"/>
      <c r="BY58" s="573"/>
      <c r="BZ58" s="573"/>
      <c r="CA58" s="573"/>
      <c r="CB58" s="573"/>
      <c r="CC58" s="573"/>
      <c r="CD58" s="573"/>
      <c r="CE58" s="573"/>
      <c r="CF58" s="573"/>
      <c r="CG58" s="573"/>
      <c r="CH58" s="573"/>
      <c r="CI58" s="573"/>
      <c r="CJ58" s="573"/>
      <c r="CK58" s="573"/>
      <c r="CL58" s="573"/>
      <c r="CM58" s="573"/>
      <c r="CN58" s="573"/>
      <c r="CO58" s="573"/>
      <c r="CP58" s="573"/>
      <c r="CQ58" s="573"/>
      <c r="CR58" s="573"/>
      <c r="CS58" s="573"/>
      <c r="CT58" s="573"/>
      <c r="CU58" s="573"/>
      <c r="CV58" s="573"/>
      <c r="CW58" s="573"/>
      <c r="CX58" s="573"/>
      <c r="CY58" s="573"/>
      <c r="CZ58" s="573"/>
      <c r="DA58" s="573"/>
      <c r="DB58" s="573"/>
      <c r="DC58" s="573"/>
      <c r="DD58" s="573"/>
      <c r="DE58" s="573"/>
      <c r="DF58" s="573"/>
      <c r="DG58" s="573"/>
      <c r="DH58" s="573"/>
      <c r="DI58" s="573"/>
      <c r="DJ58" s="573"/>
      <c r="DK58" s="573"/>
      <c r="DL58" s="573"/>
      <c r="DM58" s="573"/>
      <c r="DN58" s="573"/>
      <c r="DO58" s="573"/>
      <c r="DP58" s="573"/>
      <c r="DQ58" s="573"/>
      <c r="DR58" s="573"/>
      <c r="DS58" s="573"/>
      <c r="DT58" s="573"/>
      <c r="DU58" s="573"/>
      <c r="DV58" s="573"/>
      <c r="DW58" s="573"/>
      <c r="DX58" s="573"/>
      <c r="DY58" s="573"/>
      <c r="DZ58" s="573"/>
      <c r="EA58" s="573"/>
      <c r="EB58" s="573"/>
      <c r="EC58" s="573"/>
      <c r="ED58" s="573"/>
      <c r="EE58" s="573"/>
      <c r="EF58" s="573"/>
      <c r="EG58" s="573"/>
      <c r="EH58" s="573"/>
      <c r="EI58" s="573"/>
      <c r="EJ58" s="573"/>
      <c r="EK58" s="573"/>
      <c r="EL58" s="573"/>
      <c r="EM58" s="573"/>
      <c r="EN58" s="573"/>
      <c r="EO58" s="573"/>
      <c r="EP58" s="573"/>
      <c r="EQ58" s="573"/>
      <c r="ER58" s="573"/>
      <c r="ES58" s="573"/>
      <c r="ET58" s="573"/>
      <c r="EU58" s="573"/>
      <c r="EV58" s="573"/>
      <c r="EW58" s="573"/>
      <c r="EX58" s="573"/>
      <c r="EY58" s="573"/>
      <c r="EZ58" s="573"/>
      <c r="FA58" s="573"/>
      <c r="FB58" s="573"/>
      <c r="FC58" s="573"/>
      <c r="FD58" s="573"/>
      <c r="FE58" s="573"/>
      <c r="FF58" s="573"/>
      <c r="FG58" s="573"/>
      <c r="FH58" s="573"/>
      <c r="FI58" s="573"/>
      <c r="FJ58" s="573"/>
      <c r="FK58" s="573"/>
      <c r="FL58" s="573"/>
      <c r="FM58" s="573"/>
      <c r="FN58" s="573"/>
      <c r="FO58" s="573"/>
      <c r="FP58" s="573"/>
      <c r="FQ58" s="573"/>
      <c r="FR58" s="573"/>
      <c r="FS58" s="573"/>
      <c r="FT58" s="573"/>
      <c r="FU58" s="573"/>
      <c r="FV58" s="573"/>
      <c r="FW58" s="573"/>
      <c r="FX58" s="573"/>
      <c r="FY58" s="573"/>
      <c r="FZ58" s="573"/>
      <c r="GA58" s="573"/>
      <c r="GB58" s="573"/>
      <c r="GC58" s="573"/>
      <c r="GD58" s="573"/>
      <c r="GE58" s="573"/>
      <c r="GF58" s="573"/>
      <c r="GG58" s="573"/>
      <c r="GH58" s="573"/>
      <c r="GI58" s="573"/>
      <c r="GJ58" s="573"/>
      <c r="GK58" s="573"/>
      <c r="GL58" s="573"/>
      <c r="GM58" s="573"/>
      <c r="GN58" s="573"/>
      <c r="GO58" s="573"/>
      <c r="GP58" s="573"/>
      <c r="GQ58" s="573"/>
      <c r="GR58" s="573"/>
      <c r="GS58" s="573"/>
      <c r="GT58" s="573"/>
      <c r="GU58" s="573"/>
      <c r="GV58" s="573"/>
      <c r="GW58" s="573"/>
      <c r="GX58" s="573"/>
      <c r="GY58" s="573"/>
      <c r="GZ58" s="573"/>
      <c r="HA58" s="573"/>
      <c r="HB58" s="573"/>
      <c r="HC58" s="573"/>
      <c r="HD58" s="573"/>
      <c r="HE58" s="573"/>
      <c r="HF58" s="573"/>
      <c r="HG58" s="573"/>
      <c r="HH58" s="573"/>
      <c r="HI58" s="573"/>
      <c r="HJ58" s="573"/>
      <c r="HK58" s="573"/>
      <c r="HL58" s="573"/>
      <c r="HM58" s="573"/>
      <c r="HN58" s="573"/>
      <c r="HO58" s="573"/>
      <c r="HP58" s="573"/>
      <c r="HQ58" s="573"/>
      <c r="HR58" s="573"/>
      <c r="HS58" s="573"/>
      <c r="HT58" s="573"/>
      <c r="HU58" s="573"/>
      <c r="HV58" s="573"/>
      <c r="HW58" s="573"/>
      <c r="HX58" s="573"/>
      <c r="HY58" s="573"/>
      <c r="HZ58" s="573"/>
      <c r="IA58" s="573"/>
      <c r="IB58" s="573"/>
      <c r="IC58" s="573"/>
      <c r="ID58" s="573"/>
      <c r="IE58" s="573"/>
      <c r="IF58" s="573"/>
      <c r="IG58" s="573"/>
      <c r="IH58" s="573"/>
      <c r="II58" s="573"/>
      <c r="IJ58" s="573"/>
      <c r="IK58" s="573"/>
      <c r="IL58" s="573"/>
      <c r="IM58" s="573"/>
      <c r="IN58" s="573"/>
      <c r="IO58" s="573"/>
      <c r="IP58" s="573"/>
      <c r="IQ58" s="573"/>
      <c r="IR58" s="573"/>
      <c r="IS58" s="573"/>
      <c r="IT58" s="573"/>
      <c r="IU58" s="573"/>
      <c r="IV58" s="573"/>
      <c r="IW58" s="573"/>
    </row>
    <row r="59" customFormat="false" ht="15" hidden="false" customHeight="false" outlineLevel="0" collapsed="false">
      <c r="A59" s="558" t="s">
        <v>430</v>
      </c>
      <c r="B59" s="572"/>
      <c r="C59" s="581"/>
      <c r="D59" s="574"/>
      <c r="E59" s="580"/>
      <c r="F59" s="574"/>
      <c r="G59" s="574"/>
      <c r="H59" s="573"/>
      <c r="I59" s="573"/>
      <c r="J59" s="573"/>
      <c r="K59" s="573"/>
      <c r="L59" s="573"/>
      <c r="M59" s="573"/>
      <c r="N59" s="573"/>
      <c r="O59" s="573"/>
      <c r="P59" s="573"/>
      <c r="Q59" s="573"/>
      <c r="R59" s="573"/>
      <c r="S59" s="573"/>
      <c r="T59" s="573"/>
      <c r="U59" s="573"/>
      <c r="V59" s="573"/>
      <c r="W59" s="573"/>
      <c r="X59" s="573"/>
      <c r="Y59" s="573"/>
      <c r="Z59" s="573"/>
      <c r="AA59" s="573"/>
      <c r="AB59" s="573"/>
      <c r="AC59" s="573"/>
      <c r="AD59" s="573"/>
      <c r="AE59" s="573"/>
      <c r="AF59" s="573"/>
      <c r="AG59" s="573"/>
      <c r="AH59" s="573"/>
      <c r="AI59" s="573"/>
      <c r="AJ59" s="573"/>
      <c r="AK59" s="573"/>
      <c r="AL59" s="573"/>
      <c r="AM59" s="573"/>
      <c r="AN59" s="573"/>
      <c r="AO59" s="573"/>
      <c r="AP59" s="573"/>
      <c r="AQ59" s="573"/>
      <c r="AR59" s="573"/>
      <c r="AS59" s="573"/>
      <c r="AT59" s="573"/>
      <c r="AU59" s="573"/>
      <c r="AV59" s="573"/>
      <c r="AW59" s="573"/>
      <c r="AX59" s="573"/>
      <c r="AY59" s="573"/>
      <c r="AZ59" s="573"/>
      <c r="BA59" s="573"/>
      <c r="BB59" s="573"/>
      <c r="BC59" s="573"/>
      <c r="BD59" s="573"/>
      <c r="BE59" s="573"/>
      <c r="BF59" s="573"/>
      <c r="BG59" s="573"/>
      <c r="BH59" s="573"/>
      <c r="BI59" s="573"/>
      <c r="BJ59" s="573"/>
      <c r="BK59" s="573"/>
      <c r="BL59" s="573"/>
      <c r="BM59" s="573"/>
      <c r="BN59" s="573"/>
      <c r="BO59" s="573"/>
      <c r="BP59" s="573"/>
      <c r="BQ59" s="573"/>
      <c r="BR59" s="573"/>
      <c r="BS59" s="573"/>
      <c r="BT59" s="573"/>
      <c r="BU59" s="573"/>
      <c r="BV59" s="573"/>
      <c r="BW59" s="573"/>
      <c r="BX59" s="573"/>
      <c r="BY59" s="573"/>
      <c r="BZ59" s="573"/>
      <c r="CA59" s="573"/>
      <c r="CB59" s="573"/>
      <c r="CC59" s="573"/>
      <c r="CD59" s="573"/>
      <c r="CE59" s="573"/>
      <c r="CF59" s="573"/>
      <c r="CG59" s="573"/>
      <c r="CH59" s="573"/>
      <c r="CI59" s="573"/>
      <c r="CJ59" s="573"/>
      <c r="CK59" s="573"/>
      <c r="CL59" s="573"/>
      <c r="CM59" s="573"/>
      <c r="CN59" s="573"/>
      <c r="CO59" s="573"/>
      <c r="CP59" s="573"/>
      <c r="CQ59" s="573"/>
      <c r="CR59" s="573"/>
      <c r="CS59" s="573"/>
      <c r="CT59" s="573"/>
      <c r="CU59" s="573"/>
      <c r="CV59" s="573"/>
      <c r="CW59" s="573"/>
      <c r="CX59" s="573"/>
      <c r="CY59" s="573"/>
      <c r="CZ59" s="573"/>
      <c r="DA59" s="573"/>
      <c r="DB59" s="573"/>
      <c r="DC59" s="573"/>
      <c r="DD59" s="573"/>
      <c r="DE59" s="573"/>
      <c r="DF59" s="573"/>
      <c r="DG59" s="573"/>
      <c r="DH59" s="573"/>
      <c r="DI59" s="573"/>
      <c r="DJ59" s="573"/>
      <c r="DK59" s="573"/>
      <c r="DL59" s="573"/>
      <c r="DM59" s="573"/>
      <c r="DN59" s="573"/>
      <c r="DO59" s="573"/>
      <c r="DP59" s="573"/>
      <c r="DQ59" s="573"/>
      <c r="DR59" s="573"/>
      <c r="DS59" s="573"/>
      <c r="DT59" s="573"/>
      <c r="DU59" s="573"/>
      <c r="DV59" s="573"/>
      <c r="DW59" s="573"/>
      <c r="DX59" s="573"/>
      <c r="DY59" s="573"/>
      <c r="DZ59" s="573"/>
      <c r="EA59" s="573"/>
      <c r="EB59" s="573"/>
      <c r="EC59" s="573"/>
      <c r="ED59" s="573"/>
      <c r="EE59" s="573"/>
      <c r="EF59" s="573"/>
      <c r="EG59" s="573"/>
      <c r="EH59" s="573"/>
      <c r="EI59" s="573"/>
      <c r="EJ59" s="573"/>
      <c r="EK59" s="573"/>
      <c r="EL59" s="573"/>
      <c r="EM59" s="573"/>
      <c r="EN59" s="573"/>
      <c r="EO59" s="573"/>
      <c r="EP59" s="573"/>
      <c r="EQ59" s="573"/>
      <c r="ER59" s="573"/>
      <c r="ES59" s="573"/>
      <c r="ET59" s="573"/>
      <c r="EU59" s="573"/>
      <c r="EV59" s="573"/>
      <c r="EW59" s="573"/>
      <c r="EX59" s="573"/>
      <c r="EY59" s="573"/>
      <c r="EZ59" s="573"/>
      <c r="FA59" s="573"/>
      <c r="FB59" s="573"/>
      <c r="FC59" s="573"/>
      <c r="FD59" s="573"/>
      <c r="FE59" s="573"/>
      <c r="FF59" s="573"/>
      <c r="FG59" s="573"/>
      <c r="FH59" s="573"/>
      <c r="FI59" s="573"/>
      <c r="FJ59" s="573"/>
      <c r="FK59" s="573"/>
      <c r="FL59" s="573"/>
      <c r="FM59" s="573"/>
      <c r="FN59" s="573"/>
      <c r="FO59" s="573"/>
      <c r="FP59" s="573"/>
      <c r="FQ59" s="573"/>
      <c r="FR59" s="573"/>
      <c r="FS59" s="573"/>
      <c r="FT59" s="573"/>
      <c r="FU59" s="573"/>
      <c r="FV59" s="573"/>
      <c r="FW59" s="573"/>
      <c r="FX59" s="573"/>
      <c r="FY59" s="573"/>
      <c r="FZ59" s="573"/>
      <c r="GA59" s="573"/>
      <c r="GB59" s="573"/>
      <c r="GC59" s="573"/>
      <c r="GD59" s="573"/>
      <c r="GE59" s="573"/>
      <c r="GF59" s="573"/>
      <c r="GG59" s="573"/>
      <c r="GH59" s="573"/>
      <c r="GI59" s="573"/>
      <c r="GJ59" s="573"/>
      <c r="GK59" s="573"/>
      <c r="GL59" s="573"/>
      <c r="GM59" s="573"/>
      <c r="GN59" s="573"/>
      <c r="GO59" s="573"/>
      <c r="GP59" s="573"/>
      <c r="GQ59" s="573"/>
      <c r="GR59" s="573"/>
      <c r="GS59" s="573"/>
      <c r="GT59" s="573"/>
      <c r="GU59" s="573"/>
      <c r="GV59" s="573"/>
      <c r="GW59" s="573"/>
      <c r="GX59" s="573"/>
      <c r="GY59" s="573"/>
      <c r="GZ59" s="573"/>
      <c r="HA59" s="573"/>
      <c r="HB59" s="573"/>
      <c r="HC59" s="573"/>
      <c r="HD59" s="573"/>
      <c r="HE59" s="573"/>
      <c r="HF59" s="573"/>
      <c r="HG59" s="573"/>
      <c r="HH59" s="573"/>
      <c r="HI59" s="573"/>
      <c r="HJ59" s="573"/>
      <c r="HK59" s="573"/>
      <c r="HL59" s="573"/>
      <c r="HM59" s="573"/>
      <c r="HN59" s="573"/>
      <c r="HO59" s="573"/>
      <c r="HP59" s="573"/>
      <c r="HQ59" s="573"/>
      <c r="HR59" s="573"/>
      <c r="HS59" s="573"/>
      <c r="HT59" s="573"/>
      <c r="HU59" s="573"/>
      <c r="HV59" s="573"/>
      <c r="HW59" s="573"/>
      <c r="HX59" s="573"/>
      <c r="HY59" s="573"/>
      <c r="HZ59" s="573"/>
      <c r="IA59" s="573"/>
      <c r="IB59" s="573"/>
      <c r="IC59" s="573"/>
      <c r="ID59" s="573"/>
      <c r="IE59" s="573"/>
      <c r="IF59" s="573"/>
      <c r="IG59" s="573"/>
      <c r="IH59" s="573"/>
      <c r="II59" s="573"/>
      <c r="IJ59" s="573"/>
      <c r="IK59" s="573"/>
      <c r="IL59" s="573"/>
      <c r="IM59" s="573"/>
      <c r="IN59" s="573"/>
      <c r="IO59" s="573"/>
      <c r="IP59" s="573"/>
      <c r="IQ59" s="573"/>
      <c r="IR59" s="573"/>
      <c r="IS59" s="573"/>
      <c r="IT59" s="573"/>
      <c r="IU59" s="573"/>
      <c r="IV59" s="573"/>
      <c r="IW59" s="573"/>
    </row>
    <row r="60" customFormat="false" ht="15" hidden="false" customHeight="false" outlineLevel="0" collapsed="false">
      <c r="A60" s="558" t="s">
        <v>431</v>
      </c>
      <c r="B60" s="572"/>
      <c r="C60" s="581"/>
      <c r="D60" s="574"/>
      <c r="E60" s="580"/>
      <c r="F60" s="574"/>
      <c r="G60" s="574"/>
      <c r="H60" s="573"/>
      <c r="I60" s="573"/>
      <c r="J60" s="573"/>
      <c r="K60" s="573"/>
      <c r="L60" s="573"/>
      <c r="M60" s="573"/>
      <c r="N60" s="573"/>
      <c r="O60" s="573"/>
      <c r="P60" s="573"/>
      <c r="Q60" s="573"/>
      <c r="R60" s="573"/>
      <c r="S60" s="573"/>
      <c r="T60" s="573"/>
      <c r="U60" s="573"/>
      <c r="V60" s="573"/>
      <c r="W60" s="573"/>
      <c r="X60" s="573"/>
      <c r="Y60" s="573"/>
      <c r="Z60" s="573"/>
      <c r="AA60" s="573"/>
      <c r="AB60" s="573"/>
      <c r="AC60" s="573"/>
      <c r="AD60" s="573"/>
      <c r="AE60" s="573"/>
      <c r="AF60" s="573"/>
      <c r="AG60" s="573"/>
      <c r="AH60" s="573"/>
      <c r="AI60" s="573"/>
      <c r="AJ60" s="573"/>
      <c r="AK60" s="573"/>
      <c r="AL60" s="573"/>
      <c r="AM60" s="573"/>
      <c r="AN60" s="573"/>
      <c r="AO60" s="573"/>
      <c r="AP60" s="573"/>
      <c r="AQ60" s="573"/>
      <c r="AR60" s="573"/>
      <c r="AS60" s="573"/>
      <c r="AT60" s="573"/>
      <c r="AU60" s="573"/>
      <c r="AV60" s="573"/>
      <c r="AW60" s="573"/>
      <c r="AX60" s="573"/>
      <c r="AY60" s="573"/>
      <c r="AZ60" s="573"/>
      <c r="BA60" s="573"/>
      <c r="BB60" s="573"/>
      <c r="BC60" s="573"/>
      <c r="BD60" s="573"/>
      <c r="BE60" s="573"/>
      <c r="BF60" s="573"/>
      <c r="BG60" s="573"/>
      <c r="BH60" s="573"/>
      <c r="BI60" s="573"/>
      <c r="BJ60" s="573"/>
      <c r="BK60" s="573"/>
      <c r="BL60" s="573"/>
      <c r="BM60" s="573"/>
      <c r="BN60" s="573"/>
      <c r="BO60" s="573"/>
      <c r="BP60" s="573"/>
      <c r="BQ60" s="573"/>
      <c r="BR60" s="573"/>
      <c r="BS60" s="573"/>
      <c r="BT60" s="573"/>
      <c r="BU60" s="573"/>
      <c r="BV60" s="573"/>
      <c r="BW60" s="573"/>
      <c r="BX60" s="573"/>
      <c r="BY60" s="573"/>
      <c r="BZ60" s="573"/>
      <c r="CA60" s="573"/>
      <c r="CB60" s="573"/>
      <c r="CC60" s="573"/>
      <c r="CD60" s="573"/>
      <c r="CE60" s="573"/>
      <c r="CF60" s="573"/>
      <c r="CG60" s="573"/>
      <c r="CH60" s="573"/>
      <c r="CI60" s="573"/>
      <c r="CJ60" s="573"/>
      <c r="CK60" s="573"/>
      <c r="CL60" s="573"/>
      <c r="CM60" s="573"/>
      <c r="CN60" s="573"/>
      <c r="CO60" s="573"/>
      <c r="CP60" s="573"/>
      <c r="CQ60" s="573"/>
      <c r="CR60" s="573"/>
      <c r="CS60" s="573"/>
      <c r="CT60" s="573"/>
      <c r="CU60" s="573"/>
      <c r="CV60" s="573"/>
      <c r="CW60" s="573"/>
      <c r="CX60" s="573"/>
      <c r="CY60" s="573"/>
      <c r="CZ60" s="573"/>
      <c r="DA60" s="573"/>
      <c r="DB60" s="573"/>
      <c r="DC60" s="573"/>
      <c r="DD60" s="573"/>
      <c r="DE60" s="573"/>
      <c r="DF60" s="573"/>
      <c r="DG60" s="573"/>
      <c r="DH60" s="573"/>
      <c r="DI60" s="573"/>
      <c r="DJ60" s="573"/>
      <c r="DK60" s="573"/>
      <c r="DL60" s="573"/>
      <c r="DM60" s="573"/>
      <c r="DN60" s="573"/>
      <c r="DO60" s="573"/>
      <c r="DP60" s="573"/>
      <c r="DQ60" s="573"/>
      <c r="DR60" s="573"/>
      <c r="DS60" s="573"/>
      <c r="DT60" s="573"/>
      <c r="DU60" s="573"/>
      <c r="DV60" s="573"/>
      <c r="DW60" s="573"/>
      <c r="DX60" s="573"/>
      <c r="DY60" s="573"/>
      <c r="DZ60" s="573"/>
      <c r="EA60" s="573"/>
      <c r="EB60" s="573"/>
      <c r="EC60" s="573"/>
      <c r="ED60" s="573"/>
      <c r="EE60" s="573"/>
      <c r="EF60" s="573"/>
      <c r="EG60" s="573"/>
      <c r="EH60" s="573"/>
      <c r="EI60" s="573"/>
      <c r="EJ60" s="573"/>
      <c r="EK60" s="573"/>
      <c r="EL60" s="573"/>
      <c r="EM60" s="573"/>
      <c r="EN60" s="573"/>
      <c r="EO60" s="573"/>
      <c r="EP60" s="573"/>
      <c r="EQ60" s="573"/>
      <c r="ER60" s="573"/>
      <c r="ES60" s="573"/>
      <c r="ET60" s="573"/>
      <c r="EU60" s="573"/>
      <c r="EV60" s="573"/>
      <c r="EW60" s="573"/>
      <c r="EX60" s="573"/>
      <c r="EY60" s="573"/>
      <c r="EZ60" s="573"/>
      <c r="FA60" s="573"/>
      <c r="FB60" s="573"/>
      <c r="FC60" s="573"/>
      <c r="FD60" s="573"/>
      <c r="FE60" s="573"/>
      <c r="FF60" s="573"/>
      <c r="FG60" s="573"/>
      <c r="FH60" s="573"/>
      <c r="FI60" s="573"/>
      <c r="FJ60" s="573"/>
      <c r="FK60" s="573"/>
      <c r="FL60" s="573"/>
      <c r="FM60" s="573"/>
      <c r="FN60" s="573"/>
      <c r="FO60" s="573"/>
      <c r="FP60" s="573"/>
      <c r="FQ60" s="573"/>
      <c r="FR60" s="573"/>
      <c r="FS60" s="573"/>
      <c r="FT60" s="573"/>
      <c r="FU60" s="573"/>
      <c r="FV60" s="573"/>
      <c r="FW60" s="573"/>
      <c r="FX60" s="573"/>
      <c r="FY60" s="573"/>
      <c r="FZ60" s="573"/>
      <c r="GA60" s="573"/>
      <c r="GB60" s="573"/>
      <c r="GC60" s="573"/>
      <c r="GD60" s="573"/>
      <c r="GE60" s="573"/>
      <c r="GF60" s="573"/>
      <c r="GG60" s="573"/>
      <c r="GH60" s="573"/>
      <c r="GI60" s="573"/>
      <c r="GJ60" s="573"/>
      <c r="GK60" s="573"/>
      <c r="GL60" s="573"/>
      <c r="GM60" s="573"/>
      <c r="GN60" s="573"/>
      <c r="GO60" s="573"/>
      <c r="GP60" s="573"/>
      <c r="GQ60" s="573"/>
      <c r="GR60" s="573"/>
      <c r="GS60" s="573"/>
      <c r="GT60" s="573"/>
      <c r="GU60" s="573"/>
      <c r="GV60" s="573"/>
      <c r="GW60" s="573"/>
      <c r="GX60" s="573"/>
      <c r="GY60" s="573"/>
      <c r="GZ60" s="573"/>
      <c r="HA60" s="573"/>
      <c r="HB60" s="573"/>
      <c r="HC60" s="573"/>
      <c r="HD60" s="573"/>
      <c r="HE60" s="573"/>
      <c r="HF60" s="573"/>
      <c r="HG60" s="573"/>
      <c r="HH60" s="573"/>
      <c r="HI60" s="573"/>
      <c r="HJ60" s="573"/>
      <c r="HK60" s="573"/>
      <c r="HL60" s="573"/>
      <c r="HM60" s="573"/>
      <c r="HN60" s="573"/>
      <c r="HO60" s="573"/>
      <c r="HP60" s="573"/>
      <c r="HQ60" s="573"/>
      <c r="HR60" s="573"/>
      <c r="HS60" s="573"/>
      <c r="HT60" s="573"/>
      <c r="HU60" s="573"/>
      <c r="HV60" s="573"/>
      <c r="HW60" s="573"/>
      <c r="HX60" s="573"/>
      <c r="HY60" s="573"/>
      <c r="HZ60" s="573"/>
      <c r="IA60" s="573"/>
      <c r="IB60" s="573"/>
      <c r="IC60" s="573"/>
      <c r="ID60" s="573"/>
      <c r="IE60" s="573"/>
      <c r="IF60" s="573"/>
      <c r="IG60" s="573"/>
      <c r="IH60" s="573"/>
      <c r="II60" s="573"/>
      <c r="IJ60" s="573"/>
      <c r="IK60" s="573"/>
      <c r="IL60" s="573"/>
      <c r="IM60" s="573"/>
      <c r="IN60" s="573"/>
      <c r="IO60" s="573"/>
      <c r="IP60" s="573"/>
      <c r="IQ60" s="573"/>
      <c r="IR60" s="573"/>
      <c r="IS60" s="573"/>
      <c r="IT60" s="573"/>
      <c r="IU60" s="573"/>
      <c r="IV60" s="573"/>
      <c r="IW60" s="573"/>
    </row>
    <row r="61" customFormat="false" ht="15" hidden="false" customHeight="false" outlineLevel="0" collapsed="false">
      <c r="A61" s="558" t="s">
        <v>432</v>
      </c>
      <c r="B61" s="572"/>
      <c r="C61" s="581"/>
      <c r="D61" s="574"/>
      <c r="E61" s="580"/>
      <c r="F61" s="574"/>
      <c r="G61" s="574"/>
      <c r="H61" s="573"/>
      <c r="I61" s="573"/>
      <c r="J61" s="573"/>
      <c r="K61" s="573"/>
      <c r="L61" s="573"/>
      <c r="M61" s="573"/>
      <c r="N61" s="573"/>
      <c r="O61" s="573"/>
      <c r="P61" s="573"/>
      <c r="Q61" s="573"/>
      <c r="R61" s="573"/>
      <c r="S61" s="573"/>
      <c r="T61" s="573"/>
      <c r="U61" s="573"/>
      <c r="V61" s="573"/>
      <c r="W61" s="573"/>
      <c r="X61" s="573"/>
      <c r="Y61" s="573"/>
      <c r="Z61" s="573"/>
      <c r="AA61" s="573"/>
      <c r="AB61" s="573"/>
      <c r="AC61" s="573"/>
      <c r="AD61" s="573"/>
      <c r="AE61" s="573"/>
      <c r="AF61" s="573"/>
      <c r="AG61" s="573"/>
      <c r="AH61" s="573"/>
      <c r="AI61" s="573"/>
      <c r="AJ61" s="573"/>
      <c r="AK61" s="573"/>
      <c r="AL61" s="573"/>
      <c r="AM61" s="573"/>
      <c r="AN61" s="573"/>
      <c r="AO61" s="573"/>
      <c r="AP61" s="573"/>
      <c r="AQ61" s="573"/>
      <c r="AR61" s="573"/>
      <c r="AS61" s="573"/>
      <c r="AT61" s="573"/>
      <c r="AU61" s="573"/>
      <c r="AV61" s="573"/>
      <c r="AW61" s="573"/>
      <c r="AX61" s="573"/>
      <c r="AY61" s="573"/>
      <c r="AZ61" s="573"/>
      <c r="BA61" s="573"/>
      <c r="BB61" s="573"/>
      <c r="BC61" s="573"/>
      <c r="BD61" s="573"/>
      <c r="BE61" s="573"/>
      <c r="BF61" s="573"/>
      <c r="BG61" s="573"/>
      <c r="BH61" s="573"/>
      <c r="BI61" s="573"/>
      <c r="BJ61" s="573"/>
      <c r="BK61" s="573"/>
      <c r="BL61" s="573"/>
      <c r="BM61" s="573"/>
      <c r="BN61" s="573"/>
      <c r="BO61" s="573"/>
      <c r="BP61" s="573"/>
      <c r="BQ61" s="573"/>
      <c r="BR61" s="573"/>
      <c r="BS61" s="573"/>
      <c r="BT61" s="573"/>
      <c r="BU61" s="573"/>
      <c r="BV61" s="573"/>
      <c r="BW61" s="573"/>
      <c r="BX61" s="573"/>
      <c r="BY61" s="573"/>
      <c r="BZ61" s="573"/>
      <c r="CA61" s="573"/>
      <c r="CB61" s="573"/>
      <c r="CC61" s="573"/>
      <c r="CD61" s="573"/>
      <c r="CE61" s="573"/>
      <c r="CF61" s="573"/>
      <c r="CG61" s="573"/>
      <c r="CH61" s="573"/>
      <c r="CI61" s="573"/>
      <c r="CJ61" s="573"/>
      <c r="CK61" s="573"/>
      <c r="CL61" s="573"/>
      <c r="CM61" s="573"/>
      <c r="CN61" s="573"/>
      <c r="CO61" s="573"/>
      <c r="CP61" s="573"/>
      <c r="CQ61" s="573"/>
      <c r="CR61" s="573"/>
      <c r="CS61" s="573"/>
      <c r="CT61" s="573"/>
      <c r="CU61" s="573"/>
      <c r="CV61" s="573"/>
      <c r="CW61" s="573"/>
      <c r="CX61" s="573"/>
      <c r="CY61" s="573"/>
      <c r="CZ61" s="573"/>
      <c r="DA61" s="573"/>
      <c r="DB61" s="573"/>
      <c r="DC61" s="573"/>
      <c r="DD61" s="573"/>
      <c r="DE61" s="573"/>
      <c r="DF61" s="573"/>
      <c r="DG61" s="573"/>
      <c r="DH61" s="573"/>
      <c r="DI61" s="573"/>
      <c r="DJ61" s="573"/>
      <c r="DK61" s="573"/>
      <c r="DL61" s="573"/>
      <c r="DM61" s="573"/>
      <c r="DN61" s="573"/>
      <c r="DO61" s="573"/>
      <c r="DP61" s="573"/>
      <c r="DQ61" s="573"/>
      <c r="DR61" s="573"/>
      <c r="DS61" s="573"/>
      <c r="DT61" s="573"/>
      <c r="DU61" s="573"/>
      <c r="DV61" s="573"/>
      <c r="DW61" s="573"/>
      <c r="DX61" s="573"/>
      <c r="DY61" s="573"/>
      <c r="DZ61" s="573"/>
      <c r="EA61" s="573"/>
      <c r="EB61" s="573"/>
      <c r="EC61" s="573"/>
      <c r="ED61" s="573"/>
      <c r="EE61" s="573"/>
      <c r="EF61" s="573"/>
      <c r="EG61" s="573"/>
      <c r="EH61" s="573"/>
      <c r="EI61" s="573"/>
      <c r="EJ61" s="573"/>
      <c r="EK61" s="573"/>
      <c r="EL61" s="573"/>
      <c r="EM61" s="573"/>
      <c r="EN61" s="573"/>
      <c r="EO61" s="573"/>
      <c r="EP61" s="573"/>
      <c r="EQ61" s="573"/>
      <c r="ER61" s="573"/>
      <c r="ES61" s="573"/>
      <c r="ET61" s="573"/>
      <c r="EU61" s="573"/>
      <c r="EV61" s="573"/>
      <c r="EW61" s="573"/>
      <c r="EX61" s="573"/>
      <c r="EY61" s="573"/>
      <c r="EZ61" s="573"/>
      <c r="FA61" s="573"/>
      <c r="FB61" s="573"/>
      <c r="FC61" s="573"/>
      <c r="FD61" s="573"/>
      <c r="FE61" s="573"/>
      <c r="FF61" s="573"/>
      <c r="FG61" s="573"/>
      <c r="FH61" s="573"/>
      <c r="FI61" s="573"/>
      <c r="FJ61" s="573"/>
      <c r="FK61" s="573"/>
      <c r="FL61" s="573"/>
      <c r="FM61" s="573"/>
      <c r="FN61" s="573"/>
      <c r="FO61" s="573"/>
      <c r="FP61" s="573"/>
      <c r="FQ61" s="573"/>
      <c r="FR61" s="573"/>
      <c r="FS61" s="573"/>
      <c r="FT61" s="573"/>
      <c r="FU61" s="573"/>
      <c r="FV61" s="573"/>
      <c r="FW61" s="573"/>
      <c r="FX61" s="573"/>
      <c r="FY61" s="573"/>
      <c r="FZ61" s="573"/>
      <c r="GA61" s="573"/>
      <c r="GB61" s="573"/>
      <c r="GC61" s="573"/>
      <c r="GD61" s="573"/>
      <c r="GE61" s="573"/>
      <c r="GF61" s="573"/>
      <c r="GG61" s="573"/>
      <c r="GH61" s="573"/>
      <c r="GI61" s="573"/>
      <c r="GJ61" s="573"/>
      <c r="GK61" s="573"/>
      <c r="GL61" s="573"/>
      <c r="GM61" s="573"/>
      <c r="GN61" s="573"/>
      <c r="GO61" s="573"/>
      <c r="GP61" s="573"/>
      <c r="GQ61" s="573"/>
      <c r="GR61" s="573"/>
      <c r="GS61" s="573"/>
      <c r="GT61" s="573"/>
      <c r="GU61" s="573"/>
      <c r="GV61" s="573"/>
      <c r="GW61" s="573"/>
      <c r="GX61" s="573"/>
      <c r="GY61" s="573"/>
      <c r="GZ61" s="573"/>
      <c r="HA61" s="573"/>
      <c r="HB61" s="573"/>
      <c r="HC61" s="573"/>
      <c r="HD61" s="573"/>
      <c r="HE61" s="573"/>
      <c r="HF61" s="573"/>
      <c r="HG61" s="573"/>
      <c r="HH61" s="573"/>
      <c r="HI61" s="573"/>
      <c r="HJ61" s="573"/>
      <c r="HK61" s="573"/>
      <c r="HL61" s="573"/>
      <c r="HM61" s="573"/>
      <c r="HN61" s="573"/>
      <c r="HO61" s="573"/>
      <c r="HP61" s="573"/>
      <c r="HQ61" s="573"/>
      <c r="HR61" s="573"/>
      <c r="HS61" s="573"/>
      <c r="HT61" s="573"/>
      <c r="HU61" s="573"/>
      <c r="HV61" s="573"/>
      <c r="HW61" s="573"/>
      <c r="HX61" s="573"/>
      <c r="HY61" s="573"/>
      <c r="HZ61" s="573"/>
      <c r="IA61" s="573"/>
      <c r="IB61" s="573"/>
      <c r="IC61" s="573"/>
      <c r="ID61" s="573"/>
      <c r="IE61" s="573"/>
      <c r="IF61" s="573"/>
      <c r="IG61" s="573"/>
      <c r="IH61" s="573"/>
      <c r="II61" s="573"/>
      <c r="IJ61" s="573"/>
      <c r="IK61" s="573"/>
      <c r="IL61" s="573"/>
      <c r="IM61" s="573"/>
      <c r="IN61" s="573"/>
      <c r="IO61" s="573"/>
      <c r="IP61" s="573"/>
      <c r="IQ61" s="573"/>
      <c r="IR61" s="573"/>
      <c r="IS61" s="573"/>
      <c r="IT61" s="573"/>
      <c r="IU61" s="573"/>
      <c r="IV61" s="573"/>
      <c r="IW61" s="573"/>
    </row>
    <row r="62" customFormat="false" ht="15" hidden="false" customHeight="false" outlineLevel="0" collapsed="false">
      <c r="A62" s="558"/>
      <c r="B62" s="572"/>
      <c r="C62" s="581"/>
      <c r="D62" s="574"/>
      <c r="E62" s="580"/>
      <c r="F62" s="574"/>
      <c r="G62" s="574"/>
      <c r="H62" s="573"/>
      <c r="I62" s="573"/>
      <c r="J62" s="573"/>
      <c r="K62" s="573"/>
      <c r="L62" s="573"/>
      <c r="M62" s="573"/>
      <c r="N62" s="573"/>
      <c r="O62" s="573"/>
      <c r="P62" s="573"/>
      <c r="Q62" s="573"/>
      <c r="R62" s="573"/>
      <c r="S62" s="573"/>
      <c r="T62" s="573"/>
      <c r="U62" s="573"/>
      <c r="V62" s="573"/>
      <c r="W62" s="573"/>
      <c r="X62" s="573"/>
      <c r="Y62" s="573"/>
      <c r="Z62" s="573"/>
      <c r="AA62" s="573"/>
      <c r="AB62" s="573"/>
      <c r="AC62" s="573"/>
      <c r="AD62" s="573"/>
      <c r="AE62" s="573"/>
      <c r="AF62" s="573"/>
      <c r="AG62" s="573"/>
      <c r="AH62" s="573"/>
      <c r="AI62" s="573"/>
      <c r="AJ62" s="573"/>
      <c r="AK62" s="573"/>
      <c r="AL62" s="573"/>
      <c r="AM62" s="573"/>
      <c r="AN62" s="573"/>
      <c r="AO62" s="573"/>
      <c r="AP62" s="573"/>
      <c r="AQ62" s="573"/>
      <c r="AR62" s="573"/>
      <c r="AS62" s="573"/>
      <c r="AT62" s="573"/>
      <c r="AU62" s="573"/>
      <c r="AV62" s="573"/>
      <c r="AW62" s="573"/>
      <c r="AX62" s="573"/>
      <c r="AY62" s="573"/>
      <c r="AZ62" s="573"/>
      <c r="BA62" s="573"/>
      <c r="BB62" s="573"/>
      <c r="BC62" s="573"/>
      <c r="BD62" s="573"/>
      <c r="BE62" s="573"/>
      <c r="BF62" s="573"/>
      <c r="BG62" s="573"/>
      <c r="BH62" s="573"/>
      <c r="BI62" s="573"/>
      <c r="BJ62" s="573"/>
      <c r="BK62" s="573"/>
      <c r="BL62" s="573"/>
      <c r="BM62" s="573"/>
      <c r="BN62" s="573"/>
      <c r="BO62" s="573"/>
      <c r="BP62" s="573"/>
      <c r="BQ62" s="573"/>
      <c r="BR62" s="573"/>
      <c r="BS62" s="573"/>
      <c r="BT62" s="573"/>
      <c r="BU62" s="573"/>
      <c r="BV62" s="573"/>
      <c r="BW62" s="573"/>
      <c r="BX62" s="573"/>
      <c r="BY62" s="573"/>
      <c r="BZ62" s="573"/>
      <c r="CA62" s="573"/>
      <c r="CB62" s="573"/>
      <c r="CC62" s="573"/>
      <c r="CD62" s="573"/>
      <c r="CE62" s="573"/>
      <c r="CF62" s="573"/>
      <c r="CG62" s="573"/>
      <c r="CH62" s="573"/>
      <c r="CI62" s="573"/>
      <c r="CJ62" s="573"/>
      <c r="CK62" s="573"/>
      <c r="CL62" s="573"/>
      <c r="CM62" s="573"/>
      <c r="CN62" s="573"/>
      <c r="CO62" s="573"/>
      <c r="CP62" s="573"/>
      <c r="CQ62" s="573"/>
      <c r="CR62" s="573"/>
      <c r="CS62" s="573"/>
      <c r="CT62" s="573"/>
      <c r="CU62" s="573"/>
      <c r="CV62" s="573"/>
      <c r="CW62" s="573"/>
      <c r="CX62" s="573"/>
      <c r="CY62" s="573"/>
      <c r="CZ62" s="573"/>
      <c r="DA62" s="573"/>
      <c r="DB62" s="573"/>
      <c r="DC62" s="573"/>
      <c r="DD62" s="573"/>
      <c r="DE62" s="573"/>
      <c r="DF62" s="573"/>
      <c r="DG62" s="573"/>
      <c r="DH62" s="573"/>
      <c r="DI62" s="573"/>
      <c r="DJ62" s="573"/>
      <c r="DK62" s="573"/>
      <c r="DL62" s="573"/>
      <c r="DM62" s="573"/>
      <c r="DN62" s="573"/>
      <c r="DO62" s="573"/>
      <c r="DP62" s="573"/>
      <c r="DQ62" s="573"/>
      <c r="DR62" s="573"/>
      <c r="DS62" s="573"/>
      <c r="DT62" s="573"/>
      <c r="DU62" s="573"/>
      <c r="DV62" s="573"/>
      <c r="DW62" s="573"/>
      <c r="DX62" s="573"/>
      <c r="DY62" s="573"/>
      <c r="DZ62" s="573"/>
      <c r="EA62" s="573"/>
      <c r="EB62" s="573"/>
      <c r="EC62" s="573"/>
      <c r="ED62" s="573"/>
      <c r="EE62" s="573"/>
      <c r="EF62" s="573"/>
      <c r="EG62" s="573"/>
      <c r="EH62" s="573"/>
      <c r="EI62" s="573"/>
      <c r="EJ62" s="573"/>
      <c r="EK62" s="573"/>
      <c r="EL62" s="573"/>
      <c r="EM62" s="573"/>
      <c r="EN62" s="573"/>
      <c r="EO62" s="573"/>
      <c r="EP62" s="573"/>
      <c r="EQ62" s="573"/>
      <c r="ER62" s="573"/>
      <c r="ES62" s="573"/>
      <c r="ET62" s="573"/>
      <c r="EU62" s="573"/>
      <c r="EV62" s="573"/>
      <c r="EW62" s="573"/>
      <c r="EX62" s="573"/>
      <c r="EY62" s="573"/>
      <c r="EZ62" s="573"/>
      <c r="FA62" s="573"/>
      <c r="FB62" s="573"/>
      <c r="FC62" s="573"/>
      <c r="FD62" s="573"/>
      <c r="FE62" s="573"/>
      <c r="FF62" s="573"/>
      <c r="FG62" s="573"/>
      <c r="FH62" s="573"/>
      <c r="FI62" s="573"/>
      <c r="FJ62" s="573"/>
      <c r="FK62" s="573"/>
      <c r="FL62" s="573"/>
      <c r="FM62" s="573"/>
      <c r="FN62" s="573"/>
      <c r="FO62" s="573"/>
      <c r="FP62" s="573"/>
      <c r="FQ62" s="573"/>
      <c r="FR62" s="573"/>
      <c r="FS62" s="573"/>
      <c r="FT62" s="573"/>
      <c r="FU62" s="573"/>
      <c r="FV62" s="573"/>
      <c r="FW62" s="573"/>
      <c r="FX62" s="573"/>
      <c r="FY62" s="573"/>
      <c r="FZ62" s="573"/>
      <c r="GA62" s="573"/>
      <c r="GB62" s="573"/>
      <c r="GC62" s="573"/>
      <c r="GD62" s="573"/>
      <c r="GE62" s="573"/>
      <c r="GF62" s="573"/>
      <c r="GG62" s="573"/>
      <c r="GH62" s="573"/>
      <c r="GI62" s="573"/>
      <c r="GJ62" s="573"/>
      <c r="GK62" s="573"/>
      <c r="GL62" s="573"/>
      <c r="GM62" s="573"/>
      <c r="GN62" s="573"/>
      <c r="GO62" s="573"/>
      <c r="GP62" s="573"/>
      <c r="GQ62" s="573"/>
      <c r="GR62" s="573"/>
      <c r="GS62" s="573"/>
      <c r="GT62" s="573"/>
      <c r="GU62" s="573"/>
      <c r="GV62" s="573"/>
      <c r="GW62" s="573"/>
      <c r="GX62" s="573"/>
      <c r="GY62" s="573"/>
      <c r="GZ62" s="573"/>
      <c r="HA62" s="573"/>
      <c r="HB62" s="573"/>
      <c r="HC62" s="573"/>
      <c r="HD62" s="573"/>
      <c r="HE62" s="573"/>
      <c r="HF62" s="573"/>
      <c r="HG62" s="573"/>
      <c r="HH62" s="573"/>
      <c r="HI62" s="573"/>
      <c r="HJ62" s="573"/>
      <c r="HK62" s="573"/>
      <c r="HL62" s="573"/>
      <c r="HM62" s="573"/>
      <c r="HN62" s="573"/>
      <c r="HO62" s="573"/>
      <c r="HP62" s="573"/>
      <c r="HQ62" s="573"/>
      <c r="HR62" s="573"/>
      <c r="HS62" s="573"/>
      <c r="HT62" s="573"/>
      <c r="HU62" s="573"/>
      <c r="HV62" s="573"/>
      <c r="HW62" s="573"/>
      <c r="HX62" s="573"/>
      <c r="HY62" s="573"/>
      <c r="HZ62" s="573"/>
      <c r="IA62" s="573"/>
      <c r="IB62" s="573"/>
      <c r="IC62" s="573"/>
      <c r="ID62" s="573"/>
      <c r="IE62" s="573"/>
      <c r="IF62" s="573"/>
      <c r="IG62" s="573"/>
      <c r="IH62" s="573"/>
      <c r="II62" s="573"/>
      <c r="IJ62" s="573"/>
      <c r="IK62" s="573"/>
      <c r="IL62" s="573"/>
      <c r="IM62" s="573"/>
      <c r="IN62" s="573"/>
      <c r="IO62" s="573"/>
      <c r="IP62" s="573"/>
      <c r="IQ62" s="573"/>
      <c r="IR62" s="573"/>
      <c r="IS62" s="573"/>
      <c r="IT62" s="573"/>
      <c r="IU62" s="573"/>
      <c r="IV62" s="573"/>
      <c r="IW62" s="573"/>
    </row>
    <row r="63" customFormat="false" ht="15.75" hidden="false" customHeight="false" outlineLevel="0" collapsed="false">
      <c r="A63" s="584" t="s">
        <v>444</v>
      </c>
      <c r="B63" s="572"/>
      <c r="C63" s="581"/>
      <c r="D63" s="574"/>
      <c r="E63" s="580"/>
      <c r="F63" s="574"/>
      <c r="G63" s="574"/>
      <c r="H63" s="573"/>
      <c r="I63" s="573"/>
      <c r="J63" s="573"/>
      <c r="K63" s="573"/>
      <c r="L63" s="573"/>
      <c r="M63" s="573"/>
      <c r="N63" s="573"/>
      <c r="O63" s="573"/>
      <c r="P63" s="573"/>
      <c r="Q63" s="573"/>
      <c r="R63" s="573"/>
      <c r="S63" s="573"/>
      <c r="T63" s="573"/>
      <c r="U63" s="573"/>
      <c r="V63" s="573"/>
      <c r="W63" s="573"/>
      <c r="X63" s="573"/>
      <c r="Y63" s="573"/>
      <c r="Z63" s="573"/>
      <c r="AA63" s="573"/>
      <c r="AB63" s="573"/>
      <c r="AC63" s="573"/>
      <c r="AD63" s="573"/>
      <c r="AE63" s="573"/>
      <c r="AF63" s="573"/>
      <c r="AG63" s="573"/>
      <c r="AH63" s="573"/>
      <c r="AI63" s="573"/>
      <c r="AJ63" s="573"/>
      <c r="AK63" s="573"/>
      <c r="AL63" s="573"/>
      <c r="AM63" s="573"/>
      <c r="AN63" s="573"/>
      <c r="AO63" s="573"/>
      <c r="AP63" s="573"/>
      <c r="AQ63" s="573"/>
      <c r="AR63" s="573"/>
      <c r="AS63" s="573"/>
      <c r="AT63" s="573"/>
      <c r="AU63" s="573"/>
      <c r="AV63" s="573"/>
      <c r="AW63" s="573"/>
      <c r="AX63" s="573"/>
      <c r="AY63" s="573"/>
      <c r="AZ63" s="573"/>
      <c r="BA63" s="573"/>
      <c r="BB63" s="573"/>
      <c r="BC63" s="573"/>
      <c r="BD63" s="573"/>
      <c r="BE63" s="573"/>
      <c r="BF63" s="573"/>
      <c r="BG63" s="573"/>
      <c r="BH63" s="573"/>
      <c r="BI63" s="573"/>
      <c r="BJ63" s="573"/>
      <c r="BK63" s="573"/>
      <c r="BL63" s="573"/>
      <c r="BM63" s="573"/>
      <c r="BN63" s="573"/>
      <c r="BO63" s="573"/>
      <c r="BP63" s="573"/>
      <c r="BQ63" s="573"/>
      <c r="BR63" s="573"/>
      <c r="BS63" s="573"/>
      <c r="BT63" s="573"/>
      <c r="BU63" s="573"/>
      <c r="BV63" s="573"/>
      <c r="BW63" s="573"/>
      <c r="BX63" s="573"/>
      <c r="BY63" s="573"/>
      <c r="BZ63" s="573"/>
      <c r="CA63" s="573"/>
      <c r="CB63" s="573"/>
      <c r="CC63" s="573"/>
      <c r="CD63" s="573"/>
      <c r="CE63" s="573"/>
      <c r="CF63" s="573"/>
      <c r="CG63" s="573"/>
      <c r="CH63" s="573"/>
      <c r="CI63" s="573"/>
      <c r="CJ63" s="573"/>
      <c r="CK63" s="573"/>
      <c r="CL63" s="573"/>
      <c r="CM63" s="573"/>
      <c r="CN63" s="573"/>
      <c r="CO63" s="573"/>
      <c r="CP63" s="573"/>
      <c r="CQ63" s="573"/>
      <c r="CR63" s="573"/>
      <c r="CS63" s="573"/>
      <c r="CT63" s="573"/>
      <c r="CU63" s="573"/>
      <c r="CV63" s="573"/>
      <c r="CW63" s="573"/>
      <c r="CX63" s="573"/>
      <c r="CY63" s="573"/>
      <c r="CZ63" s="573"/>
      <c r="DA63" s="573"/>
      <c r="DB63" s="573"/>
      <c r="DC63" s="573"/>
      <c r="DD63" s="573"/>
      <c r="DE63" s="573"/>
      <c r="DF63" s="573"/>
      <c r="DG63" s="573"/>
      <c r="DH63" s="573"/>
      <c r="DI63" s="573"/>
      <c r="DJ63" s="573"/>
      <c r="DK63" s="573"/>
      <c r="DL63" s="573"/>
      <c r="DM63" s="573"/>
      <c r="DN63" s="573"/>
      <c r="DO63" s="573"/>
      <c r="DP63" s="573"/>
      <c r="DQ63" s="573"/>
      <c r="DR63" s="573"/>
      <c r="DS63" s="573"/>
      <c r="DT63" s="573"/>
      <c r="DU63" s="573"/>
      <c r="DV63" s="573"/>
      <c r="DW63" s="573"/>
      <c r="DX63" s="573"/>
      <c r="DY63" s="573"/>
      <c r="DZ63" s="573"/>
      <c r="EA63" s="573"/>
      <c r="EB63" s="573"/>
      <c r="EC63" s="573"/>
      <c r="ED63" s="573"/>
      <c r="EE63" s="573"/>
      <c r="EF63" s="573"/>
      <c r="EG63" s="573"/>
      <c r="EH63" s="573"/>
      <c r="EI63" s="573"/>
      <c r="EJ63" s="573"/>
      <c r="EK63" s="573"/>
      <c r="EL63" s="573"/>
      <c r="EM63" s="573"/>
      <c r="EN63" s="573"/>
      <c r="EO63" s="573"/>
      <c r="EP63" s="573"/>
      <c r="EQ63" s="573"/>
      <c r="ER63" s="573"/>
      <c r="ES63" s="573"/>
      <c r="ET63" s="573"/>
      <c r="EU63" s="573"/>
      <c r="EV63" s="573"/>
      <c r="EW63" s="573"/>
      <c r="EX63" s="573"/>
      <c r="EY63" s="573"/>
      <c r="EZ63" s="573"/>
      <c r="FA63" s="573"/>
      <c r="FB63" s="573"/>
      <c r="FC63" s="573"/>
      <c r="FD63" s="573"/>
      <c r="FE63" s="573"/>
      <c r="FF63" s="573"/>
      <c r="FG63" s="573"/>
      <c r="FH63" s="573"/>
      <c r="FI63" s="573"/>
      <c r="FJ63" s="573"/>
      <c r="FK63" s="573"/>
      <c r="FL63" s="573"/>
      <c r="FM63" s="573"/>
      <c r="FN63" s="573"/>
      <c r="FO63" s="573"/>
      <c r="FP63" s="573"/>
      <c r="FQ63" s="573"/>
      <c r="FR63" s="573"/>
      <c r="FS63" s="573"/>
      <c r="FT63" s="573"/>
      <c r="FU63" s="573"/>
      <c r="FV63" s="573"/>
      <c r="FW63" s="573"/>
      <c r="FX63" s="573"/>
      <c r="FY63" s="573"/>
      <c r="FZ63" s="573"/>
      <c r="GA63" s="573"/>
      <c r="GB63" s="573"/>
      <c r="GC63" s="573"/>
      <c r="GD63" s="573"/>
      <c r="GE63" s="573"/>
      <c r="GF63" s="573"/>
      <c r="GG63" s="573"/>
      <c r="GH63" s="573"/>
      <c r="GI63" s="573"/>
      <c r="GJ63" s="573"/>
      <c r="GK63" s="573"/>
      <c r="GL63" s="573"/>
      <c r="GM63" s="573"/>
      <c r="GN63" s="573"/>
      <c r="GO63" s="573"/>
      <c r="GP63" s="573"/>
      <c r="GQ63" s="573"/>
      <c r="GR63" s="573"/>
      <c r="GS63" s="573"/>
      <c r="GT63" s="573"/>
      <c r="GU63" s="573"/>
      <c r="GV63" s="573"/>
      <c r="GW63" s="573"/>
      <c r="GX63" s="573"/>
      <c r="GY63" s="573"/>
      <c r="GZ63" s="573"/>
      <c r="HA63" s="573"/>
      <c r="HB63" s="573"/>
      <c r="HC63" s="573"/>
      <c r="HD63" s="573"/>
      <c r="HE63" s="573"/>
      <c r="HF63" s="573"/>
      <c r="HG63" s="573"/>
      <c r="HH63" s="573"/>
      <c r="HI63" s="573"/>
      <c r="HJ63" s="573"/>
      <c r="HK63" s="573"/>
      <c r="HL63" s="573"/>
      <c r="HM63" s="573"/>
      <c r="HN63" s="573"/>
      <c r="HO63" s="573"/>
      <c r="HP63" s="573"/>
      <c r="HQ63" s="573"/>
      <c r="HR63" s="573"/>
      <c r="HS63" s="573"/>
      <c r="HT63" s="573"/>
      <c r="HU63" s="573"/>
      <c r="HV63" s="573"/>
      <c r="HW63" s="573"/>
      <c r="HX63" s="573"/>
      <c r="HY63" s="573"/>
      <c r="HZ63" s="573"/>
      <c r="IA63" s="573"/>
      <c r="IB63" s="573"/>
      <c r="IC63" s="573"/>
      <c r="ID63" s="573"/>
      <c r="IE63" s="573"/>
      <c r="IF63" s="573"/>
      <c r="IG63" s="573"/>
      <c r="IH63" s="573"/>
      <c r="II63" s="573"/>
      <c r="IJ63" s="573"/>
      <c r="IK63" s="573"/>
      <c r="IL63" s="573"/>
      <c r="IM63" s="573"/>
      <c r="IN63" s="573"/>
      <c r="IO63" s="573"/>
      <c r="IP63" s="573"/>
      <c r="IQ63" s="573"/>
      <c r="IR63" s="573"/>
      <c r="IS63" s="573"/>
      <c r="IT63" s="573"/>
      <c r="IU63" s="573"/>
      <c r="IV63" s="573"/>
      <c r="IW63" s="573"/>
    </row>
    <row r="64" customFormat="false" ht="15" hidden="false" customHeight="false" outlineLevel="0" collapsed="false">
      <c r="A64" s="582" t="s">
        <v>445</v>
      </c>
      <c r="B64" s="572"/>
      <c r="C64" s="581"/>
      <c r="D64" s="574"/>
      <c r="E64" s="580"/>
      <c r="F64" s="574"/>
      <c r="G64" s="574"/>
      <c r="H64" s="573"/>
      <c r="I64" s="573"/>
      <c r="J64" s="573"/>
      <c r="K64" s="573"/>
      <c r="L64" s="573"/>
      <c r="M64" s="573"/>
      <c r="N64" s="573"/>
      <c r="O64" s="573"/>
      <c r="P64" s="573"/>
      <c r="Q64" s="573"/>
      <c r="R64" s="573"/>
      <c r="S64" s="573"/>
      <c r="T64" s="573"/>
      <c r="U64" s="573"/>
      <c r="V64" s="573"/>
      <c r="W64" s="573"/>
      <c r="X64" s="573"/>
      <c r="Y64" s="573"/>
      <c r="Z64" s="573"/>
      <c r="AA64" s="573"/>
      <c r="AB64" s="573"/>
      <c r="AC64" s="573"/>
      <c r="AD64" s="573"/>
      <c r="AE64" s="573"/>
      <c r="AF64" s="573"/>
      <c r="AG64" s="573"/>
      <c r="AH64" s="573"/>
      <c r="AI64" s="573"/>
      <c r="AJ64" s="573"/>
      <c r="AK64" s="573"/>
      <c r="AL64" s="573"/>
      <c r="AM64" s="573"/>
      <c r="AN64" s="573"/>
      <c r="AO64" s="573"/>
      <c r="AP64" s="573"/>
      <c r="AQ64" s="573"/>
      <c r="AR64" s="573"/>
      <c r="AS64" s="573"/>
      <c r="AT64" s="573"/>
      <c r="AU64" s="573"/>
      <c r="AV64" s="573"/>
      <c r="AW64" s="573"/>
      <c r="AX64" s="573"/>
      <c r="AY64" s="573"/>
      <c r="AZ64" s="573"/>
      <c r="BA64" s="573"/>
      <c r="BB64" s="573"/>
      <c r="BC64" s="573"/>
      <c r="BD64" s="573"/>
      <c r="BE64" s="573"/>
      <c r="BF64" s="573"/>
      <c r="BG64" s="573"/>
      <c r="BH64" s="573"/>
      <c r="BI64" s="573"/>
      <c r="BJ64" s="573"/>
      <c r="BK64" s="573"/>
      <c r="BL64" s="573"/>
      <c r="BM64" s="573"/>
      <c r="BN64" s="573"/>
      <c r="BO64" s="573"/>
      <c r="BP64" s="573"/>
      <c r="BQ64" s="573"/>
      <c r="BR64" s="573"/>
      <c r="BS64" s="573"/>
      <c r="BT64" s="573"/>
      <c r="BU64" s="573"/>
      <c r="BV64" s="573"/>
      <c r="BW64" s="573"/>
      <c r="BX64" s="573"/>
      <c r="BY64" s="573"/>
      <c r="BZ64" s="573"/>
      <c r="CA64" s="573"/>
      <c r="CB64" s="573"/>
      <c r="CC64" s="573"/>
      <c r="CD64" s="573"/>
      <c r="CE64" s="573"/>
      <c r="CF64" s="573"/>
      <c r="CG64" s="573"/>
      <c r="CH64" s="573"/>
      <c r="CI64" s="573"/>
      <c r="CJ64" s="573"/>
      <c r="CK64" s="573"/>
      <c r="CL64" s="573"/>
      <c r="CM64" s="573"/>
      <c r="CN64" s="573"/>
      <c r="CO64" s="573"/>
      <c r="CP64" s="573"/>
      <c r="CQ64" s="573"/>
      <c r="CR64" s="573"/>
      <c r="CS64" s="573"/>
      <c r="CT64" s="573"/>
      <c r="CU64" s="573"/>
      <c r="CV64" s="573"/>
      <c r="CW64" s="573"/>
      <c r="CX64" s="573"/>
      <c r="CY64" s="573"/>
      <c r="CZ64" s="573"/>
      <c r="DA64" s="573"/>
      <c r="DB64" s="573"/>
      <c r="DC64" s="573"/>
      <c r="DD64" s="573"/>
      <c r="DE64" s="573"/>
      <c r="DF64" s="573"/>
      <c r="DG64" s="573"/>
      <c r="DH64" s="573"/>
      <c r="DI64" s="573"/>
      <c r="DJ64" s="573"/>
      <c r="DK64" s="573"/>
      <c r="DL64" s="573"/>
      <c r="DM64" s="573"/>
      <c r="DN64" s="573"/>
      <c r="DO64" s="573"/>
      <c r="DP64" s="573"/>
      <c r="DQ64" s="573"/>
      <c r="DR64" s="573"/>
      <c r="DS64" s="573"/>
      <c r="DT64" s="573"/>
      <c r="DU64" s="573"/>
      <c r="DV64" s="573"/>
      <c r="DW64" s="573"/>
      <c r="DX64" s="573"/>
      <c r="DY64" s="573"/>
      <c r="DZ64" s="573"/>
      <c r="EA64" s="573"/>
      <c r="EB64" s="573"/>
      <c r="EC64" s="573"/>
      <c r="ED64" s="573"/>
      <c r="EE64" s="573"/>
      <c r="EF64" s="573"/>
      <c r="EG64" s="573"/>
      <c r="EH64" s="573"/>
      <c r="EI64" s="573"/>
      <c r="EJ64" s="573"/>
      <c r="EK64" s="573"/>
      <c r="EL64" s="573"/>
      <c r="EM64" s="573"/>
      <c r="EN64" s="573"/>
      <c r="EO64" s="573"/>
      <c r="EP64" s="573"/>
      <c r="EQ64" s="573"/>
      <c r="ER64" s="573"/>
      <c r="ES64" s="573"/>
      <c r="ET64" s="573"/>
      <c r="EU64" s="573"/>
      <c r="EV64" s="573"/>
      <c r="EW64" s="573"/>
      <c r="EX64" s="573"/>
      <c r="EY64" s="573"/>
      <c r="EZ64" s="573"/>
      <c r="FA64" s="573"/>
      <c r="FB64" s="573"/>
      <c r="FC64" s="573"/>
      <c r="FD64" s="573"/>
      <c r="FE64" s="573"/>
      <c r="FF64" s="573"/>
      <c r="FG64" s="573"/>
      <c r="FH64" s="573"/>
      <c r="FI64" s="573"/>
      <c r="FJ64" s="573"/>
      <c r="FK64" s="573"/>
      <c r="FL64" s="573"/>
      <c r="FM64" s="573"/>
      <c r="FN64" s="573"/>
      <c r="FO64" s="573"/>
      <c r="FP64" s="573"/>
      <c r="FQ64" s="573"/>
      <c r="FR64" s="573"/>
      <c r="FS64" s="573"/>
      <c r="FT64" s="573"/>
      <c r="FU64" s="573"/>
      <c r="FV64" s="573"/>
      <c r="FW64" s="573"/>
      <c r="FX64" s="573"/>
      <c r="FY64" s="573"/>
      <c r="FZ64" s="573"/>
      <c r="GA64" s="573"/>
      <c r="GB64" s="573"/>
      <c r="GC64" s="573"/>
      <c r="GD64" s="573"/>
      <c r="GE64" s="573"/>
      <c r="GF64" s="573"/>
      <c r="GG64" s="573"/>
      <c r="GH64" s="573"/>
      <c r="GI64" s="573"/>
      <c r="GJ64" s="573"/>
      <c r="GK64" s="573"/>
      <c r="GL64" s="573"/>
      <c r="GM64" s="573"/>
      <c r="GN64" s="573"/>
      <c r="GO64" s="573"/>
      <c r="GP64" s="573"/>
      <c r="GQ64" s="573"/>
      <c r="GR64" s="573"/>
      <c r="GS64" s="573"/>
      <c r="GT64" s="573"/>
      <c r="GU64" s="573"/>
      <c r="GV64" s="573"/>
      <c r="GW64" s="573"/>
      <c r="GX64" s="573"/>
      <c r="GY64" s="573"/>
      <c r="GZ64" s="573"/>
      <c r="HA64" s="573"/>
      <c r="HB64" s="573"/>
      <c r="HC64" s="573"/>
      <c r="HD64" s="573"/>
      <c r="HE64" s="573"/>
      <c r="HF64" s="573"/>
      <c r="HG64" s="573"/>
      <c r="HH64" s="573"/>
      <c r="HI64" s="573"/>
      <c r="HJ64" s="573"/>
      <c r="HK64" s="573"/>
      <c r="HL64" s="573"/>
      <c r="HM64" s="573"/>
      <c r="HN64" s="573"/>
      <c r="HO64" s="573"/>
      <c r="HP64" s="573"/>
      <c r="HQ64" s="573"/>
      <c r="HR64" s="573"/>
      <c r="HS64" s="573"/>
      <c r="HT64" s="573"/>
      <c r="HU64" s="573"/>
      <c r="HV64" s="573"/>
      <c r="HW64" s="573"/>
      <c r="HX64" s="573"/>
      <c r="HY64" s="573"/>
      <c r="HZ64" s="573"/>
      <c r="IA64" s="573"/>
      <c r="IB64" s="573"/>
      <c r="IC64" s="573"/>
      <c r="ID64" s="573"/>
      <c r="IE64" s="573"/>
      <c r="IF64" s="573"/>
      <c r="IG64" s="573"/>
      <c r="IH64" s="573"/>
      <c r="II64" s="573"/>
      <c r="IJ64" s="573"/>
      <c r="IK64" s="573"/>
      <c r="IL64" s="573"/>
      <c r="IM64" s="573"/>
      <c r="IN64" s="573"/>
      <c r="IO64" s="573"/>
      <c r="IP64" s="573"/>
      <c r="IQ64" s="573"/>
      <c r="IR64" s="573"/>
      <c r="IS64" s="573"/>
      <c r="IT64" s="573"/>
      <c r="IU64" s="573"/>
      <c r="IV64" s="573"/>
      <c r="IW64" s="573"/>
    </row>
    <row r="65" customFormat="false" ht="28.5" hidden="false" customHeight="false" outlineLevel="0" collapsed="false">
      <c r="A65" s="556" t="s">
        <v>446</v>
      </c>
      <c r="B65" s="572"/>
      <c r="C65" s="581"/>
      <c r="D65" s="574"/>
      <c r="E65" s="580"/>
      <c r="F65" s="574"/>
      <c r="G65" s="574"/>
      <c r="H65" s="573"/>
      <c r="I65" s="573"/>
      <c r="J65" s="573"/>
      <c r="K65" s="573"/>
      <c r="L65" s="573"/>
      <c r="M65" s="573"/>
      <c r="N65" s="573"/>
      <c r="O65" s="573"/>
      <c r="P65" s="573"/>
      <c r="Q65" s="573"/>
      <c r="R65" s="573"/>
      <c r="S65" s="573"/>
      <c r="T65" s="573"/>
      <c r="U65" s="573"/>
      <c r="V65" s="573"/>
      <c r="W65" s="573"/>
      <c r="X65" s="573"/>
      <c r="Y65" s="573"/>
      <c r="Z65" s="573"/>
      <c r="AA65" s="573"/>
      <c r="AB65" s="573"/>
      <c r="AC65" s="573"/>
      <c r="AD65" s="573"/>
      <c r="AE65" s="573"/>
      <c r="AF65" s="573"/>
      <c r="AG65" s="573"/>
      <c r="AH65" s="573"/>
      <c r="AI65" s="573"/>
      <c r="AJ65" s="573"/>
      <c r="AK65" s="573"/>
      <c r="AL65" s="573"/>
      <c r="AM65" s="573"/>
      <c r="AN65" s="573"/>
      <c r="AO65" s="573"/>
      <c r="AP65" s="573"/>
      <c r="AQ65" s="573"/>
      <c r="AR65" s="573"/>
      <c r="AS65" s="573"/>
      <c r="AT65" s="573"/>
      <c r="AU65" s="573"/>
      <c r="AV65" s="573"/>
      <c r="AW65" s="573"/>
      <c r="AX65" s="573"/>
      <c r="AY65" s="573"/>
      <c r="AZ65" s="573"/>
      <c r="BA65" s="573"/>
      <c r="BB65" s="573"/>
      <c r="BC65" s="573"/>
      <c r="BD65" s="573"/>
      <c r="BE65" s="573"/>
      <c r="BF65" s="573"/>
      <c r="BG65" s="573"/>
      <c r="BH65" s="573"/>
      <c r="BI65" s="573"/>
      <c r="BJ65" s="573"/>
      <c r="BK65" s="573"/>
      <c r="BL65" s="573"/>
      <c r="BM65" s="573"/>
      <c r="BN65" s="573"/>
      <c r="BO65" s="573"/>
      <c r="BP65" s="573"/>
      <c r="BQ65" s="573"/>
      <c r="BR65" s="573"/>
      <c r="BS65" s="573"/>
      <c r="BT65" s="573"/>
      <c r="BU65" s="573"/>
      <c r="BV65" s="573"/>
      <c r="BW65" s="573"/>
      <c r="BX65" s="573"/>
      <c r="BY65" s="573"/>
      <c r="BZ65" s="573"/>
      <c r="CA65" s="573"/>
      <c r="CB65" s="573"/>
      <c r="CC65" s="573"/>
      <c r="CD65" s="573"/>
      <c r="CE65" s="573"/>
      <c r="CF65" s="573"/>
      <c r="CG65" s="573"/>
      <c r="CH65" s="573"/>
      <c r="CI65" s="573"/>
      <c r="CJ65" s="573"/>
      <c r="CK65" s="573"/>
      <c r="CL65" s="573"/>
      <c r="CM65" s="573"/>
      <c r="CN65" s="573"/>
      <c r="CO65" s="573"/>
      <c r="CP65" s="573"/>
      <c r="CQ65" s="573"/>
      <c r="CR65" s="573"/>
      <c r="CS65" s="573"/>
      <c r="CT65" s="573"/>
      <c r="CU65" s="573"/>
      <c r="CV65" s="573"/>
      <c r="CW65" s="573"/>
      <c r="CX65" s="573"/>
      <c r="CY65" s="573"/>
      <c r="CZ65" s="573"/>
      <c r="DA65" s="573"/>
      <c r="DB65" s="573"/>
      <c r="DC65" s="573"/>
      <c r="DD65" s="573"/>
      <c r="DE65" s="573"/>
      <c r="DF65" s="573"/>
      <c r="DG65" s="573"/>
      <c r="DH65" s="573"/>
      <c r="DI65" s="573"/>
      <c r="DJ65" s="573"/>
      <c r="DK65" s="573"/>
      <c r="DL65" s="573"/>
      <c r="DM65" s="573"/>
      <c r="DN65" s="573"/>
      <c r="DO65" s="573"/>
      <c r="DP65" s="573"/>
      <c r="DQ65" s="573"/>
      <c r="DR65" s="573"/>
      <c r="DS65" s="573"/>
      <c r="DT65" s="573"/>
      <c r="DU65" s="573"/>
      <c r="DV65" s="573"/>
      <c r="DW65" s="573"/>
      <c r="DX65" s="573"/>
      <c r="DY65" s="573"/>
      <c r="DZ65" s="573"/>
      <c r="EA65" s="573"/>
      <c r="EB65" s="573"/>
      <c r="EC65" s="573"/>
      <c r="ED65" s="573"/>
      <c r="EE65" s="573"/>
      <c r="EF65" s="573"/>
      <c r="EG65" s="573"/>
      <c r="EH65" s="573"/>
      <c r="EI65" s="573"/>
      <c r="EJ65" s="573"/>
      <c r="EK65" s="573"/>
      <c r="EL65" s="573"/>
      <c r="EM65" s="573"/>
      <c r="EN65" s="573"/>
      <c r="EO65" s="573"/>
      <c r="EP65" s="573"/>
      <c r="EQ65" s="573"/>
      <c r="ER65" s="573"/>
      <c r="ES65" s="573"/>
      <c r="ET65" s="573"/>
      <c r="EU65" s="573"/>
      <c r="EV65" s="573"/>
      <c r="EW65" s="573"/>
      <c r="EX65" s="573"/>
      <c r="EY65" s="573"/>
      <c r="EZ65" s="573"/>
      <c r="FA65" s="573"/>
      <c r="FB65" s="573"/>
      <c r="FC65" s="573"/>
      <c r="FD65" s="573"/>
      <c r="FE65" s="573"/>
      <c r="FF65" s="573"/>
      <c r="FG65" s="573"/>
      <c r="FH65" s="573"/>
      <c r="FI65" s="573"/>
      <c r="FJ65" s="573"/>
      <c r="FK65" s="573"/>
      <c r="FL65" s="573"/>
      <c r="FM65" s="573"/>
      <c r="FN65" s="573"/>
      <c r="FO65" s="573"/>
      <c r="FP65" s="573"/>
      <c r="FQ65" s="573"/>
      <c r="FR65" s="573"/>
      <c r="FS65" s="573"/>
      <c r="FT65" s="573"/>
      <c r="FU65" s="573"/>
      <c r="FV65" s="573"/>
      <c r="FW65" s="573"/>
      <c r="FX65" s="573"/>
      <c r="FY65" s="573"/>
      <c r="FZ65" s="573"/>
      <c r="GA65" s="573"/>
      <c r="GB65" s="573"/>
      <c r="GC65" s="573"/>
      <c r="GD65" s="573"/>
      <c r="GE65" s="573"/>
      <c r="GF65" s="573"/>
      <c r="GG65" s="573"/>
      <c r="GH65" s="573"/>
      <c r="GI65" s="573"/>
      <c r="GJ65" s="573"/>
      <c r="GK65" s="573"/>
      <c r="GL65" s="573"/>
      <c r="GM65" s="573"/>
      <c r="GN65" s="573"/>
      <c r="GO65" s="573"/>
      <c r="GP65" s="573"/>
      <c r="GQ65" s="573"/>
      <c r="GR65" s="573"/>
      <c r="GS65" s="573"/>
      <c r="GT65" s="573"/>
      <c r="GU65" s="573"/>
      <c r="GV65" s="573"/>
      <c r="GW65" s="573"/>
      <c r="GX65" s="573"/>
      <c r="GY65" s="573"/>
      <c r="GZ65" s="573"/>
      <c r="HA65" s="573"/>
      <c r="HB65" s="573"/>
      <c r="HC65" s="573"/>
      <c r="HD65" s="573"/>
      <c r="HE65" s="573"/>
      <c r="HF65" s="573"/>
      <c r="HG65" s="573"/>
      <c r="HH65" s="573"/>
      <c r="HI65" s="573"/>
      <c r="HJ65" s="573"/>
      <c r="HK65" s="573"/>
      <c r="HL65" s="573"/>
      <c r="HM65" s="573"/>
      <c r="HN65" s="573"/>
      <c r="HO65" s="573"/>
      <c r="HP65" s="573"/>
      <c r="HQ65" s="573"/>
      <c r="HR65" s="573"/>
      <c r="HS65" s="573"/>
      <c r="HT65" s="573"/>
      <c r="HU65" s="573"/>
      <c r="HV65" s="573"/>
      <c r="HW65" s="573"/>
      <c r="HX65" s="573"/>
      <c r="HY65" s="573"/>
      <c r="HZ65" s="573"/>
      <c r="IA65" s="573"/>
      <c r="IB65" s="573"/>
      <c r="IC65" s="573"/>
      <c r="ID65" s="573"/>
      <c r="IE65" s="573"/>
      <c r="IF65" s="573"/>
      <c r="IG65" s="573"/>
      <c r="IH65" s="573"/>
      <c r="II65" s="573"/>
      <c r="IJ65" s="573"/>
      <c r="IK65" s="573"/>
      <c r="IL65" s="573"/>
      <c r="IM65" s="573"/>
      <c r="IN65" s="573"/>
      <c r="IO65" s="573"/>
      <c r="IP65" s="573"/>
      <c r="IQ65" s="573"/>
      <c r="IR65" s="573"/>
      <c r="IS65" s="573"/>
      <c r="IT65" s="573"/>
      <c r="IU65" s="573"/>
      <c r="IV65" s="573"/>
      <c r="IW65" s="573"/>
    </row>
    <row r="66" customFormat="false" ht="28.5" hidden="false" customHeight="false" outlineLevel="0" collapsed="false">
      <c r="A66" s="556" t="s">
        <v>447</v>
      </c>
      <c r="B66" s="572"/>
      <c r="C66" s="581"/>
      <c r="D66" s="574"/>
      <c r="E66" s="580"/>
      <c r="F66" s="574"/>
      <c r="G66" s="574"/>
      <c r="H66" s="573"/>
      <c r="I66" s="573"/>
      <c r="J66" s="573"/>
      <c r="K66" s="573"/>
      <c r="L66" s="573"/>
      <c r="M66" s="573"/>
      <c r="N66" s="573"/>
      <c r="O66" s="573"/>
      <c r="P66" s="573"/>
      <c r="Q66" s="573"/>
      <c r="R66" s="573"/>
      <c r="S66" s="573"/>
      <c r="T66" s="573"/>
      <c r="U66" s="573"/>
      <c r="V66" s="573"/>
      <c r="W66" s="573"/>
      <c r="X66" s="573"/>
      <c r="Y66" s="573"/>
      <c r="Z66" s="573"/>
      <c r="AA66" s="573"/>
      <c r="AB66" s="573"/>
      <c r="AC66" s="573"/>
      <c r="AD66" s="573"/>
      <c r="AE66" s="573"/>
      <c r="AF66" s="573"/>
      <c r="AG66" s="573"/>
      <c r="AH66" s="573"/>
      <c r="AI66" s="573"/>
      <c r="AJ66" s="573"/>
      <c r="AK66" s="573"/>
      <c r="AL66" s="573"/>
      <c r="AM66" s="573"/>
      <c r="AN66" s="573"/>
      <c r="AO66" s="573"/>
      <c r="AP66" s="573"/>
      <c r="AQ66" s="573"/>
      <c r="AR66" s="573"/>
      <c r="AS66" s="573"/>
      <c r="AT66" s="573"/>
      <c r="AU66" s="573"/>
      <c r="AV66" s="573"/>
      <c r="AW66" s="573"/>
      <c r="AX66" s="573"/>
      <c r="AY66" s="573"/>
      <c r="AZ66" s="573"/>
      <c r="BA66" s="573"/>
      <c r="BB66" s="573"/>
      <c r="BC66" s="573"/>
      <c r="BD66" s="573"/>
      <c r="BE66" s="573"/>
      <c r="BF66" s="573"/>
      <c r="BG66" s="573"/>
      <c r="BH66" s="573"/>
      <c r="BI66" s="573"/>
      <c r="BJ66" s="573"/>
      <c r="BK66" s="573"/>
      <c r="BL66" s="573"/>
      <c r="BM66" s="573"/>
      <c r="BN66" s="573"/>
      <c r="BO66" s="573"/>
      <c r="BP66" s="573"/>
      <c r="BQ66" s="573"/>
      <c r="BR66" s="573"/>
      <c r="BS66" s="573"/>
      <c r="BT66" s="573"/>
      <c r="BU66" s="573"/>
      <c r="BV66" s="573"/>
      <c r="BW66" s="573"/>
      <c r="BX66" s="573"/>
      <c r="BY66" s="573"/>
      <c r="BZ66" s="573"/>
      <c r="CA66" s="573"/>
      <c r="CB66" s="573"/>
      <c r="CC66" s="573"/>
      <c r="CD66" s="573"/>
      <c r="CE66" s="573"/>
      <c r="CF66" s="573"/>
      <c r="CG66" s="573"/>
      <c r="CH66" s="573"/>
      <c r="CI66" s="573"/>
      <c r="CJ66" s="573"/>
      <c r="CK66" s="573"/>
      <c r="CL66" s="573"/>
      <c r="CM66" s="573"/>
      <c r="CN66" s="573"/>
      <c r="CO66" s="573"/>
      <c r="CP66" s="573"/>
      <c r="CQ66" s="573"/>
      <c r="CR66" s="573"/>
      <c r="CS66" s="573"/>
      <c r="CT66" s="573"/>
      <c r="CU66" s="573"/>
      <c r="CV66" s="573"/>
      <c r="CW66" s="573"/>
      <c r="CX66" s="573"/>
      <c r="CY66" s="573"/>
      <c r="CZ66" s="573"/>
      <c r="DA66" s="573"/>
      <c r="DB66" s="573"/>
      <c r="DC66" s="573"/>
      <c r="DD66" s="573"/>
      <c r="DE66" s="573"/>
      <c r="DF66" s="573"/>
      <c r="DG66" s="573"/>
      <c r="DH66" s="573"/>
      <c r="DI66" s="573"/>
      <c r="DJ66" s="573"/>
      <c r="DK66" s="573"/>
      <c r="DL66" s="573"/>
      <c r="DM66" s="573"/>
      <c r="DN66" s="573"/>
      <c r="DO66" s="573"/>
      <c r="DP66" s="573"/>
      <c r="DQ66" s="573"/>
      <c r="DR66" s="573"/>
      <c r="DS66" s="573"/>
      <c r="DT66" s="573"/>
      <c r="DU66" s="573"/>
      <c r="DV66" s="573"/>
      <c r="DW66" s="573"/>
      <c r="DX66" s="573"/>
      <c r="DY66" s="573"/>
      <c r="DZ66" s="573"/>
      <c r="EA66" s="573"/>
      <c r="EB66" s="573"/>
      <c r="EC66" s="573"/>
      <c r="ED66" s="573"/>
      <c r="EE66" s="573"/>
      <c r="EF66" s="573"/>
      <c r="EG66" s="573"/>
      <c r="EH66" s="573"/>
      <c r="EI66" s="573"/>
      <c r="EJ66" s="573"/>
      <c r="EK66" s="573"/>
      <c r="EL66" s="573"/>
      <c r="EM66" s="573"/>
      <c r="EN66" s="573"/>
      <c r="EO66" s="573"/>
      <c r="EP66" s="573"/>
      <c r="EQ66" s="573"/>
      <c r="ER66" s="573"/>
      <c r="ES66" s="573"/>
      <c r="ET66" s="573"/>
      <c r="EU66" s="573"/>
      <c r="EV66" s="573"/>
      <c r="EW66" s="573"/>
      <c r="EX66" s="573"/>
      <c r="EY66" s="573"/>
      <c r="EZ66" s="573"/>
      <c r="FA66" s="573"/>
      <c r="FB66" s="573"/>
      <c r="FC66" s="573"/>
      <c r="FD66" s="573"/>
      <c r="FE66" s="573"/>
      <c r="FF66" s="573"/>
      <c r="FG66" s="573"/>
      <c r="FH66" s="573"/>
      <c r="FI66" s="573"/>
      <c r="FJ66" s="573"/>
      <c r="FK66" s="573"/>
      <c r="FL66" s="573"/>
      <c r="FM66" s="573"/>
      <c r="FN66" s="573"/>
      <c r="FO66" s="573"/>
      <c r="FP66" s="573"/>
      <c r="FQ66" s="573"/>
      <c r="FR66" s="573"/>
      <c r="FS66" s="573"/>
      <c r="FT66" s="573"/>
      <c r="FU66" s="573"/>
      <c r="FV66" s="573"/>
      <c r="FW66" s="573"/>
      <c r="FX66" s="573"/>
      <c r="FY66" s="573"/>
      <c r="FZ66" s="573"/>
      <c r="GA66" s="573"/>
      <c r="GB66" s="573"/>
      <c r="GC66" s="573"/>
      <c r="GD66" s="573"/>
      <c r="GE66" s="573"/>
      <c r="GF66" s="573"/>
      <c r="GG66" s="573"/>
      <c r="GH66" s="573"/>
      <c r="GI66" s="573"/>
      <c r="GJ66" s="573"/>
      <c r="GK66" s="573"/>
      <c r="GL66" s="573"/>
      <c r="GM66" s="573"/>
      <c r="GN66" s="573"/>
      <c r="GO66" s="573"/>
      <c r="GP66" s="573"/>
      <c r="GQ66" s="573"/>
      <c r="GR66" s="573"/>
      <c r="GS66" s="573"/>
      <c r="GT66" s="573"/>
      <c r="GU66" s="573"/>
      <c r="GV66" s="573"/>
      <c r="GW66" s="573"/>
      <c r="GX66" s="573"/>
      <c r="GY66" s="573"/>
      <c r="GZ66" s="573"/>
      <c r="HA66" s="573"/>
      <c r="HB66" s="573"/>
      <c r="HC66" s="573"/>
      <c r="HD66" s="573"/>
      <c r="HE66" s="573"/>
      <c r="HF66" s="573"/>
      <c r="HG66" s="573"/>
      <c r="HH66" s="573"/>
      <c r="HI66" s="573"/>
      <c r="HJ66" s="573"/>
      <c r="HK66" s="573"/>
      <c r="HL66" s="573"/>
      <c r="HM66" s="573"/>
      <c r="HN66" s="573"/>
      <c r="HO66" s="573"/>
      <c r="HP66" s="573"/>
      <c r="HQ66" s="573"/>
      <c r="HR66" s="573"/>
      <c r="HS66" s="573"/>
      <c r="HT66" s="573"/>
      <c r="HU66" s="573"/>
      <c r="HV66" s="573"/>
      <c r="HW66" s="573"/>
      <c r="HX66" s="573"/>
      <c r="HY66" s="573"/>
      <c r="HZ66" s="573"/>
      <c r="IA66" s="573"/>
      <c r="IB66" s="573"/>
      <c r="IC66" s="573"/>
      <c r="ID66" s="573"/>
      <c r="IE66" s="573"/>
      <c r="IF66" s="573"/>
      <c r="IG66" s="573"/>
      <c r="IH66" s="573"/>
      <c r="II66" s="573"/>
      <c r="IJ66" s="573"/>
      <c r="IK66" s="573"/>
      <c r="IL66" s="573"/>
      <c r="IM66" s="573"/>
      <c r="IN66" s="573"/>
      <c r="IO66" s="573"/>
      <c r="IP66" s="573"/>
      <c r="IQ66" s="573"/>
      <c r="IR66" s="573"/>
      <c r="IS66" s="573"/>
      <c r="IT66" s="573"/>
      <c r="IU66" s="573"/>
      <c r="IV66" s="573"/>
      <c r="IW66" s="573"/>
    </row>
    <row r="67" customFormat="false" ht="28.5" hidden="false" customHeight="false" outlineLevel="0" collapsed="false">
      <c r="A67" s="556" t="s">
        <v>448</v>
      </c>
      <c r="B67" s="572"/>
      <c r="C67" s="581"/>
      <c r="D67" s="574"/>
      <c r="E67" s="580"/>
      <c r="F67" s="574"/>
      <c r="G67" s="574"/>
      <c r="H67" s="573"/>
      <c r="I67" s="573"/>
      <c r="J67" s="573"/>
      <c r="K67" s="573"/>
      <c r="L67" s="573"/>
      <c r="M67" s="573"/>
      <c r="N67" s="573"/>
      <c r="O67" s="573"/>
      <c r="P67" s="573"/>
      <c r="Q67" s="573"/>
      <c r="R67" s="573"/>
      <c r="S67" s="573"/>
      <c r="T67" s="573"/>
      <c r="U67" s="573"/>
      <c r="V67" s="573"/>
      <c r="W67" s="573"/>
      <c r="X67" s="573"/>
      <c r="Y67" s="573"/>
      <c r="Z67" s="573"/>
      <c r="AA67" s="573"/>
      <c r="AB67" s="573"/>
      <c r="AC67" s="573"/>
      <c r="AD67" s="573"/>
      <c r="AE67" s="573"/>
      <c r="AF67" s="573"/>
      <c r="AG67" s="573"/>
      <c r="AH67" s="573"/>
      <c r="AI67" s="573"/>
      <c r="AJ67" s="573"/>
      <c r="AK67" s="573"/>
      <c r="AL67" s="573"/>
      <c r="AM67" s="573"/>
      <c r="AN67" s="573"/>
      <c r="AO67" s="573"/>
      <c r="AP67" s="573"/>
      <c r="AQ67" s="573"/>
      <c r="AR67" s="573"/>
      <c r="AS67" s="573"/>
      <c r="AT67" s="573"/>
      <c r="AU67" s="573"/>
      <c r="AV67" s="573"/>
      <c r="AW67" s="573"/>
      <c r="AX67" s="573"/>
      <c r="AY67" s="573"/>
      <c r="AZ67" s="573"/>
      <c r="BA67" s="573"/>
      <c r="BB67" s="573"/>
      <c r="BC67" s="573"/>
      <c r="BD67" s="573"/>
      <c r="BE67" s="573"/>
      <c r="BF67" s="573"/>
      <c r="BG67" s="573"/>
      <c r="BH67" s="573"/>
      <c r="BI67" s="573"/>
      <c r="BJ67" s="573"/>
      <c r="BK67" s="573"/>
      <c r="BL67" s="573"/>
      <c r="BM67" s="573"/>
      <c r="BN67" s="573"/>
      <c r="BO67" s="573"/>
      <c r="BP67" s="573"/>
      <c r="BQ67" s="573"/>
      <c r="BR67" s="573"/>
      <c r="BS67" s="573"/>
      <c r="BT67" s="573"/>
      <c r="BU67" s="573"/>
      <c r="BV67" s="573"/>
      <c r="BW67" s="573"/>
      <c r="BX67" s="573"/>
      <c r="BY67" s="573"/>
      <c r="BZ67" s="573"/>
      <c r="CA67" s="573"/>
      <c r="CB67" s="573"/>
      <c r="CC67" s="573"/>
      <c r="CD67" s="573"/>
      <c r="CE67" s="573"/>
      <c r="CF67" s="573"/>
      <c r="CG67" s="573"/>
      <c r="CH67" s="573"/>
      <c r="CI67" s="573"/>
      <c r="CJ67" s="573"/>
      <c r="CK67" s="573"/>
      <c r="CL67" s="573"/>
      <c r="CM67" s="573"/>
      <c r="CN67" s="573"/>
      <c r="CO67" s="573"/>
      <c r="CP67" s="573"/>
      <c r="CQ67" s="573"/>
      <c r="CR67" s="573"/>
      <c r="CS67" s="573"/>
      <c r="CT67" s="573"/>
      <c r="CU67" s="573"/>
      <c r="CV67" s="573"/>
      <c r="CW67" s="573"/>
      <c r="CX67" s="573"/>
      <c r="CY67" s="573"/>
      <c r="CZ67" s="573"/>
      <c r="DA67" s="573"/>
      <c r="DB67" s="573"/>
      <c r="DC67" s="573"/>
      <c r="DD67" s="573"/>
      <c r="DE67" s="573"/>
      <c r="DF67" s="573"/>
      <c r="DG67" s="573"/>
      <c r="DH67" s="573"/>
      <c r="DI67" s="573"/>
      <c r="DJ67" s="573"/>
      <c r="DK67" s="573"/>
      <c r="DL67" s="573"/>
      <c r="DM67" s="573"/>
      <c r="DN67" s="573"/>
      <c r="DO67" s="573"/>
      <c r="DP67" s="573"/>
      <c r="DQ67" s="573"/>
      <c r="DR67" s="573"/>
      <c r="DS67" s="573"/>
      <c r="DT67" s="573"/>
      <c r="DU67" s="573"/>
      <c r="DV67" s="573"/>
      <c r="DW67" s="573"/>
      <c r="DX67" s="573"/>
      <c r="DY67" s="573"/>
      <c r="DZ67" s="573"/>
      <c r="EA67" s="573"/>
      <c r="EB67" s="573"/>
      <c r="EC67" s="573"/>
      <c r="ED67" s="573"/>
      <c r="EE67" s="573"/>
      <c r="EF67" s="573"/>
      <c r="EG67" s="573"/>
      <c r="EH67" s="573"/>
      <c r="EI67" s="573"/>
      <c r="EJ67" s="573"/>
      <c r="EK67" s="573"/>
      <c r="EL67" s="573"/>
      <c r="EM67" s="573"/>
      <c r="EN67" s="573"/>
      <c r="EO67" s="573"/>
      <c r="EP67" s="573"/>
      <c r="EQ67" s="573"/>
      <c r="ER67" s="573"/>
      <c r="ES67" s="573"/>
      <c r="ET67" s="573"/>
      <c r="EU67" s="573"/>
      <c r="EV67" s="573"/>
      <c r="EW67" s="573"/>
      <c r="EX67" s="573"/>
      <c r="EY67" s="573"/>
      <c r="EZ67" s="573"/>
      <c r="FA67" s="573"/>
      <c r="FB67" s="573"/>
      <c r="FC67" s="573"/>
      <c r="FD67" s="573"/>
      <c r="FE67" s="573"/>
      <c r="FF67" s="573"/>
      <c r="FG67" s="573"/>
      <c r="FH67" s="573"/>
      <c r="FI67" s="573"/>
      <c r="FJ67" s="573"/>
      <c r="FK67" s="573"/>
      <c r="FL67" s="573"/>
      <c r="FM67" s="573"/>
      <c r="FN67" s="573"/>
      <c r="FO67" s="573"/>
      <c r="FP67" s="573"/>
      <c r="FQ67" s="573"/>
      <c r="FR67" s="573"/>
      <c r="FS67" s="573"/>
      <c r="FT67" s="573"/>
      <c r="FU67" s="573"/>
      <c r="FV67" s="573"/>
      <c r="FW67" s="573"/>
      <c r="FX67" s="573"/>
      <c r="FY67" s="573"/>
      <c r="FZ67" s="573"/>
      <c r="GA67" s="573"/>
      <c r="GB67" s="573"/>
      <c r="GC67" s="573"/>
      <c r="GD67" s="573"/>
      <c r="GE67" s="573"/>
      <c r="GF67" s="573"/>
      <c r="GG67" s="573"/>
      <c r="GH67" s="573"/>
      <c r="GI67" s="573"/>
      <c r="GJ67" s="573"/>
      <c r="GK67" s="573"/>
      <c r="GL67" s="573"/>
      <c r="GM67" s="573"/>
      <c r="GN67" s="573"/>
      <c r="GO67" s="573"/>
      <c r="GP67" s="573"/>
      <c r="GQ67" s="573"/>
      <c r="GR67" s="573"/>
      <c r="GS67" s="573"/>
      <c r="GT67" s="573"/>
      <c r="GU67" s="573"/>
      <c r="GV67" s="573"/>
      <c r="GW67" s="573"/>
      <c r="GX67" s="573"/>
      <c r="GY67" s="573"/>
      <c r="GZ67" s="573"/>
      <c r="HA67" s="573"/>
      <c r="HB67" s="573"/>
      <c r="HC67" s="573"/>
      <c r="HD67" s="573"/>
      <c r="HE67" s="573"/>
      <c r="HF67" s="573"/>
      <c r="HG67" s="573"/>
      <c r="HH67" s="573"/>
      <c r="HI67" s="573"/>
      <c r="HJ67" s="573"/>
      <c r="HK67" s="573"/>
      <c r="HL67" s="573"/>
      <c r="HM67" s="573"/>
      <c r="HN67" s="573"/>
      <c r="HO67" s="573"/>
      <c r="HP67" s="573"/>
      <c r="HQ67" s="573"/>
      <c r="HR67" s="573"/>
      <c r="HS67" s="573"/>
      <c r="HT67" s="573"/>
      <c r="HU67" s="573"/>
      <c r="HV67" s="573"/>
      <c r="HW67" s="573"/>
      <c r="HX67" s="573"/>
      <c r="HY67" s="573"/>
      <c r="HZ67" s="573"/>
      <c r="IA67" s="573"/>
      <c r="IB67" s="573"/>
      <c r="IC67" s="573"/>
      <c r="ID67" s="573"/>
      <c r="IE67" s="573"/>
      <c r="IF67" s="573"/>
      <c r="IG67" s="573"/>
      <c r="IH67" s="573"/>
      <c r="II67" s="573"/>
      <c r="IJ67" s="573"/>
      <c r="IK67" s="573"/>
      <c r="IL67" s="573"/>
      <c r="IM67" s="573"/>
      <c r="IN67" s="573"/>
      <c r="IO67" s="573"/>
      <c r="IP67" s="573"/>
      <c r="IQ67" s="573"/>
      <c r="IR67" s="573"/>
      <c r="IS67" s="573"/>
      <c r="IT67" s="573"/>
      <c r="IU67" s="573"/>
      <c r="IV67" s="573"/>
      <c r="IW67" s="573"/>
    </row>
    <row r="68" customFormat="false" ht="28.5" hidden="false" customHeight="false" outlineLevel="0" collapsed="false">
      <c r="A68" s="556" t="s">
        <v>449</v>
      </c>
      <c r="B68" s="572"/>
      <c r="C68" s="581"/>
      <c r="D68" s="574"/>
      <c r="E68" s="580"/>
      <c r="F68" s="574"/>
      <c r="G68" s="574"/>
      <c r="H68" s="573"/>
      <c r="I68" s="573"/>
      <c r="J68" s="573"/>
      <c r="K68" s="573"/>
      <c r="L68" s="573"/>
      <c r="M68" s="573"/>
      <c r="N68" s="573"/>
      <c r="O68" s="573"/>
      <c r="P68" s="573"/>
      <c r="Q68" s="573"/>
      <c r="R68" s="573"/>
      <c r="S68" s="573"/>
      <c r="T68" s="573"/>
      <c r="U68" s="573"/>
      <c r="V68" s="573"/>
      <c r="W68" s="573"/>
      <c r="X68" s="573"/>
      <c r="Y68" s="573"/>
      <c r="Z68" s="573"/>
      <c r="AA68" s="573"/>
      <c r="AB68" s="573"/>
      <c r="AC68" s="573"/>
      <c r="AD68" s="573"/>
      <c r="AE68" s="573"/>
      <c r="AF68" s="573"/>
      <c r="AG68" s="573"/>
      <c r="AH68" s="573"/>
      <c r="AI68" s="573"/>
      <c r="AJ68" s="573"/>
      <c r="AK68" s="573"/>
      <c r="AL68" s="573"/>
      <c r="AM68" s="573"/>
      <c r="AN68" s="573"/>
      <c r="AO68" s="573"/>
      <c r="AP68" s="573"/>
      <c r="AQ68" s="573"/>
      <c r="AR68" s="573"/>
      <c r="AS68" s="573"/>
      <c r="AT68" s="573"/>
      <c r="AU68" s="573"/>
      <c r="AV68" s="573"/>
      <c r="AW68" s="573"/>
      <c r="AX68" s="573"/>
      <c r="AY68" s="573"/>
      <c r="AZ68" s="573"/>
      <c r="BA68" s="573"/>
      <c r="BB68" s="573"/>
      <c r="BC68" s="573"/>
      <c r="BD68" s="573"/>
      <c r="BE68" s="573"/>
      <c r="BF68" s="573"/>
      <c r="BG68" s="573"/>
      <c r="BH68" s="573"/>
      <c r="BI68" s="573"/>
      <c r="BJ68" s="573"/>
      <c r="BK68" s="573"/>
      <c r="BL68" s="573"/>
      <c r="BM68" s="573"/>
      <c r="BN68" s="573"/>
      <c r="BO68" s="573"/>
      <c r="BP68" s="573"/>
      <c r="BQ68" s="573"/>
      <c r="BR68" s="573"/>
      <c r="BS68" s="573"/>
      <c r="BT68" s="573"/>
      <c r="BU68" s="573"/>
      <c r="BV68" s="573"/>
      <c r="BW68" s="573"/>
      <c r="BX68" s="573"/>
      <c r="BY68" s="573"/>
      <c r="BZ68" s="573"/>
      <c r="CA68" s="573"/>
      <c r="CB68" s="573"/>
      <c r="CC68" s="573"/>
      <c r="CD68" s="573"/>
      <c r="CE68" s="573"/>
      <c r="CF68" s="573"/>
      <c r="CG68" s="573"/>
      <c r="CH68" s="573"/>
      <c r="CI68" s="573"/>
      <c r="CJ68" s="573"/>
      <c r="CK68" s="573"/>
      <c r="CL68" s="573"/>
      <c r="CM68" s="573"/>
      <c r="CN68" s="573"/>
      <c r="CO68" s="573"/>
      <c r="CP68" s="573"/>
      <c r="CQ68" s="573"/>
      <c r="CR68" s="573"/>
      <c r="CS68" s="573"/>
      <c r="CT68" s="573"/>
      <c r="CU68" s="573"/>
      <c r="CV68" s="573"/>
      <c r="CW68" s="573"/>
      <c r="CX68" s="573"/>
      <c r="CY68" s="573"/>
      <c r="CZ68" s="573"/>
      <c r="DA68" s="573"/>
      <c r="DB68" s="573"/>
      <c r="DC68" s="573"/>
      <c r="DD68" s="573"/>
      <c r="DE68" s="573"/>
      <c r="DF68" s="573"/>
      <c r="DG68" s="573"/>
      <c r="DH68" s="573"/>
      <c r="DI68" s="573"/>
      <c r="DJ68" s="573"/>
      <c r="DK68" s="573"/>
      <c r="DL68" s="573"/>
      <c r="DM68" s="573"/>
      <c r="DN68" s="573"/>
      <c r="DO68" s="573"/>
      <c r="DP68" s="573"/>
      <c r="DQ68" s="573"/>
      <c r="DR68" s="573"/>
      <c r="DS68" s="573"/>
      <c r="DT68" s="573"/>
      <c r="DU68" s="573"/>
      <c r="DV68" s="573"/>
      <c r="DW68" s="573"/>
      <c r="DX68" s="573"/>
      <c r="DY68" s="573"/>
      <c r="DZ68" s="573"/>
      <c r="EA68" s="573"/>
      <c r="EB68" s="573"/>
      <c r="EC68" s="573"/>
      <c r="ED68" s="573"/>
      <c r="EE68" s="573"/>
      <c r="EF68" s="573"/>
      <c r="EG68" s="573"/>
      <c r="EH68" s="573"/>
      <c r="EI68" s="573"/>
      <c r="EJ68" s="573"/>
      <c r="EK68" s="573"/>
      <c r="EL68" s="573"/>
      <c r="EM68" s="573"/>
      <c r="EN68" s="573"/>
      <c r="EO68" s="573"/>
      <c r="EP68" s="573"/>
      <c r="EQ68" s="573"/>
      <c r="ER68" s="573"/>
      <c r="ES68" s="573"/>
      <c r="ET68" s="573"/>
      <c r="EU68" s="573"/>
      <c r="EV68" s="573"/>
      <c r="EW68" s="573"/>
      <c r="EX68" s="573"/>
      <c r="EY68" s="573"/>
      <c r="EZ68" s="573"/>
      <c r="FA68" s="573"/>
      <c r="FB68" s="573"/>
      <c r="FC68" s="573"/>
      <c r="FD68" s="573"/>
      <c r="FE68" s="573"/>
      <c r="FF68" s="573"/>
      <c r="FG68" s="573"/>
      <c r="FH68" s="573"/>
      <c r="FI68" s="573"/>
      <c r="FJ68" s="573"/>
      <c r="FK68" s="573"/>
      <c r="FL68" s="573"/>
      <c r="FM68" s="573"/>
      <c r="FN68" s="573"/>
      <c r="FO68" s="573"/>
      <c r="FP68" s="573"/>
      <c r="FQ68" s="573"/>
      <c r="FR68" s="573"/>
      <c r="FS68" s="573"/>
      <c r="FT68" s="573"/>
      <c r="FU68" s="573"/>
      <c r="FV68" s="573"/>
      <c r="FW68" s="573"/>
      <c r="FX68" s="573"/>
      <c r="FY68" s="573"/>
      <c r="FZ68" s="573"/>
      <c r="GA68" s="573"/>
      <c r="GB68" s="573"/>
      <c r="GC68" s="573"/>
      <c r="GD68" s="573"/>
      <c r="GE68" s="573"/>
      <c r="GF68" s="573"/>
      <c r="GG68" s="573"/>
      <c r="GH68" s="573"/>
      <c r="GI68" s="573"/>
      <c r="GJ68" s="573"/>
      <c r="GK68" s="573"/>
      <c r="GL68" s="573"/>
      <c r="GM68" s="573"/>
      <c r="GN68" s="573"/>
      <c r="GO68" s="573"/>
      <c r="GP68" s="573"/>
      <c r="GQ68" s="573"/>
      <c r="GR68" s="573"/>
      <c r="GS68" s="573"/>
      <c r="GT68" s="573"/>
      <c r="GU68" s="573"/>
      <c r="GV68" s="573"/>
      <c r="GW68" s="573"/>
      <c r="GX68" s="573"/>
      <c r="GY68" s="573"/>
      <c r="GZ68" s="573"/>
      <c r="HA68" s="573"/>
      <c r="HB68" s="573"/>
      <c r="HC68" s="573"/>
      <c r="HD68" s="573"/>
      <c r="HE68" s="573"/>
      <c r="HF68" s="573"/>
      <c r="HG68" s="573"/>
      <c r="HH68" s="573"/>
      <c r="HI68" s="573"/>
      <c r="HJ68" s="573"/>
      <c r="HK68" s="573"/>
      <c r="HL68" s="573"/>
      <c r="HM68" s="573"/>
      <c r="HN68" s="573"/>
      <c r="HO68" s="573"/>
      <c r="HP68" s="573"/>
      <c r="HQ68" s="573"/>
      <c r="HR68" s="573"/>
      <c r="HS68" s="573"/>
      <c r="HT68" s="573"/>
      <c r="HU68" s="573"/>
      <c r="HV68" s="573"/>
      <c r="HW68" s="573"/>
      <c r="HX68" s="573"/>
      <c r="HY68" s="573"/>
      <c r="HZ68" s="573"/>
      <c r="IA68" s="573"/>
      <c r="IB68" s="573"/>
      <c r="IC68" s="573"/>
      <c r="ID68" s="573"/>
      <c r="IE68" s="573"/>
      <c r="IF68" s="573"/>
      <c r="IG68" s="573"/>
      <c r="IH68" s="573"/>
      <c r="II68" s="573"/>
      <c r="IJ68" s="573"/>
      <c r="IK68" s="573"/>
      <c r="IL68" s="573"/>
      <c r="IM68" s="573"/>
      <c r="IN68" s="573"/>
      <c r="IO68" s="573"/>
      <c r="IP68" s="573"/>
      <c r="IQ68" s="573"/>
      <c r="IR68" s="573"/>
      <c r="IS68" s="573"/>
      <c r="IT68" s="573"/>
      <c r="IU68" s="573"/>
      <c r="IV68" s="573"/>
      <c r="IW68" s="573"/>
    </row>
    <row r="69" customFormat="false" ht="28.5" hidden="false" customHeight="false" outlineLevel="0" collapsed="false">
      <c r="A69" s="556" t="s">
        <v>450</v>
      </c>
      <c r="B69" s="572"/>
      <c r="C69" s="581"/>
      <c r="D69" s="574"/>
      <c r="E69" s="580"/>
      <c r="F69" s="574"/>
      <c r="G69" s="574"/>
      <c r="H69" s="573"/>
      <c r="I69" s="573"/>
      <c r="J69" s="573"/>
      <c r="K69" s="573"/>
      <c r="L69" s="573"/>
      <c r="M69" s="573"/>
      <c r="N69" s="573"/>
      <c r="O69" s="573"/>
      <c r="P69" s="573"/>
      <c r="Q69" s="573"/>
      <c r="R69" s="573"/>
      <c r="S69" s="573"/>
      <c r="T69" s="573"/>
      <c r="U69" s="573"/>
      <c r="V69" s="573"/>
      <c r="W69" s="573"/>
      <c r="X69" s="573"/>
      <c r="Y69" s="573"/>
      <c r="Z69" s="573"/>
      <c r="AA69" s="573"/>
      <c r="AB69" s="573"/>
      <c r="AC69" s="573"/>
      <c r="AD69" s="573"/>
      <c r="AE69" s="573"/>
      <c r="AF69" s="573"/>
      <c r="AG69" s="573"/>
      <c r="AH69" s="573"/>
      <c r="AI69" s="573"/>
      <c r="AJ69" s="573"/>
      <c r="AK69" s="573"/>
      <c r="AL69" s="573"/>
      <c r="AM69" s="573"/>
      <c r="AN69" s="573"/>
      <c r="AO69" s="573"/>
      <c r="AP69" s="573"/>
      <c r="AQ69" s="573"/>
      <c r="AR69" s="573"/>
      <c r="AS69" s="573"/>
      <c r="AT69" s="573"/>
      <c r="AU69" s="573"/>
      <c r="AV69" s="573"/>
      <c r="AW69" s="573"/>
      <c r="AX69" s="573"/>
      <c r="AY69" s="573"/>
      <c r="AZ69" s="573"/>
      <c r="BA69" s="573"/>
      <c r="BB69" s="573"/>
      <c r="BC69" s="573"/>
      <c r="BD69" s="573"/>
      <c r="BE69" s="573"/>
      <c r="BF69" s="573"/>
      <c r="BG69" s="573"/>
      <c r="BH69" s="573"/>
      <c r="BI69" s="573"/>
      <c r="BJ69" s="573"/>
      <c r="BK69" s="573"/>
      <c r="BL69" s="573"/>
      <c r="BM69" s="573"/>
      <c r="BN69" s="573"/>
      <c r="BO69" s="573"/>
      <c r="BP69" s="573"/>
      <c r="BQ69" s="573"/>
      <c r="BR69" s="573"/>
      <c r="BS69" s="573"/>
      <c r="BT69" s="573"/>
      <c r="BU69" s="573"/>
      <c r="BV69" s="573"/>
      <c r="BW69" s="573"/>
      <c r="BX69" s="573"/>
      <c r="BY69" s="573"/>
      <c r="BZ69" s="573"/>
      <c r="CA69" s="573"/>
      <c r="CB69" s="573"/>
      <c r="CC69" s="573"/>
      <c r="CD69" s="573"/>
      <c r="CE69" s="573"/>
      <c r="CF69" s="573"/>
      <c r="CG69" s="573"/>
      <c r="CH69" s="573"/>
      <c r="CI69" s="573"/>
      <c r="CJ69" s="573"/>
      <c r="CK69" s="573"/>
      <c r="CL69" s="573"/>
      <c r="CM69" s="573"/>
      <c r="CN69" s="573"/>
      <c r="CO69" s="573"/>
      <c r="CP69" s="573"/>
      <c r="CQ69" s="573"/>
      <c r="CR69" s="573"/>
      <c r="CS69" s="573"/>
      <c r="CT69" s="573"/>
      <c r="CU69" s="573"/>
      <c r="CV69" s="573"/>
      <c r="CW69" s="573"/>
      <c r="CX69" s="573"/>
      <c r="CY69" s="573"/>
      <c r="CZ69" s="573"/>
      <c r="DA69" s="573"/>
      <c r="DB69" s="573"/>
      <c r="DC69" s="573"/>
      <c r="DD69" s="573"/>
      <c r="DE69" s="573"/>
      <c r="DF69" s="573"/>
      <c r="DG69" s="573"/>
      <c r="DH69" s="573"/>
      <c r="DI69" s="573"/>
      <c r="DJ69" s="573"/>
      <c r="DK69" s="573"/>
      <c r="DL69" s="573"/>
      <c r="DM69" s="573"/>
      <c r="DN69" s="573"/>
      <c r="DO69" s="573"/>
      <c r="DP69" s="573"/>
      <c r="DQ69" s="573"/>
      <c r="DR69" s="573"/>
      <c r="DS69" s="573"/>
      <c r="DT69" s="573"/>
      <c r="DU69" s="573"/>
      <c r="DV69" s="573"/>
      <c r="DW69" s="573"/>
      <c r="DX69" s="573"/>
      <c r="DY69" s="573"/>
      <c r="DZ69" s="573"/>
      <c r="EA69" s="573"/>
      <c r="EB69" s="573"/>
      <c r="EC69" s="573"/>
      <c r="ED69" s="573"/>
      <c r="EE69" s="573"/>
      <c r="EF69" s="573"/>
      <c r="EG69" s="573"/>
      <c r="EH69" s="573"/>
      <c r="EI69" s="573"/>
      <c r="EJ69" s="573"/>
      <c r="EK69" s="573"/>
      <c r="EL69" s="573"/>
      <c r="EM69" s="573"/>
      <c r="EN69" s="573"/>
      <c r="EO69" s="573"/>
      <c r="EP69" s="573"/>
      <c r="EQ69" s="573"/>
      <c r="ER69" s="573"/>
      <c r="ES69" s="573"/>
      <c r="ET69" s="573"/>
      <c r="EU69" s="573"/>
      <c r="EV69" s="573"/>
      <c r="EW69" s="573"/>
      <c r="EX69" s="573"/>
      <c r="EY69" s="573"/>
      <c r="EZ69" s="573"/>
      <c r="FA69" s="573"/>
      <c r="FB69" s="573"/>
      <c r="FC69" s="573"/>
      <c r="FD69" s="573"/>
      <c r="FE69" s="573"/>
      <c r="FF69" s="573"/>
      <c r="FG69" s="573"/>
      <c r="FH69" s="573"/>
      <c r="FI69" s="573"/>
      <c r="FJ69" s="573"/>
      <c r="FK69" s="573"/>
      <c r="FL69" s="573"/>
      <c r="FM69" s="573"/>
      <c r="FN69" s="573"/>
      <c r="FO69" s="573"/>
      <c r="FP69" s="573"/>
      <c r="FQ69" s="573"/>
      <c r="FR69" s="573"/>
      <c r="FS69" s="573"/>
      <c r="FT69" s="573"/>
      <c r="FU69" s="573"/>
      <c r="FV69" s="573"/>
      <c r="FW69" s="573"/>
      <c r="FX69" s="573"/>
      <c r="FY69" s="573"/>
      <c r="FZ69" s="573"/>
      <c r="GA69" s="573"/>
      <c r="GB69" s="573"/>
      <c r="GC69" s="573"/>
      <c r="GD69" s="573"/>
      <c r="GE69" s="573"/>
      <c r="GF69" s="573"/>
      <c r="GG69" s="573"/>
      <c r="GH69" s="573"/>
      <c r="GI69" s="573"/>
      <c r="GJ69" s="573"/>
      <c r="GK69" s="573"/>
      <c r="GL69" s="573"/>
      <c r="GM69" s="573"/>
      <c r="GN69" s="573"/>
      <c r="GO69" s="573"/>
      <c r="GP69" s="573"/>
      <c r="GQ69" s="573"/>
      <c r="GR69" s="573"/>
      <c r="GS69" s="573"/>
      <c r="GT69" s="573"/>
      <c r="GU69" s="573"/>
      <c r="GV69" s="573"/>
      <c r="GW69" s="573"/>
      <c r="GX69" s="573"/>
      <c r="GY69" s="573"/>
      <c r="GZ69" s="573"/>
      <c r="HA69" s="573"/>
      <c r="HB69" s="573"/>
      <c r="HC69" s="573"/>
      <c r="HD69" s="573"/>
      <c r="HE69" s="573"/>
      <c r="HF69" s="573"/>
      <c r="HG69" s="573"/>
      <c r="HH69" s="573"/>
      <c r="HI69" s="573"/>
      <c r="HJ69" s="573"/>
      <c r="HK69" s="573"/>
      <c r="HL69" s="573"/>
      <c r="HM69" s="573"/>
      <c r="HN69" s="573"/>
      <c r="HO69" s="573"/>
      <c r="HP69" s="573"/>
      <c r="HQ69" s="573"/>
      <c r="HR69" s="573"/>
      <c r="HS69" s="573"/>
      <c r="HT69" s="573"/>
      <c r="HU69" s="573"/>
      <c r="HV69" s="573"/>
      <c r="HW69" s="573"/>
      <c r="HX69" s="573"/>
      <c r="HY69" s="573"/>
      <c r="HZ69" s="573"/>
      <c r="IA69" s="573"/>
      <c r="IB69" s="573"/>
      <c r="IC69" s="573"/>
      <c r="ID69" s="573"/>
      <c r="IE69" s="573"/>
      <c r="IF69" s="573"/>
      <c r="IG69" s="573"/>
      <c r="IH69" s="573"/>
      <c r="II69" s="573"/>
      <c r="IJ69" s="573"/>
      <c r="IK69" s="573"/>
      <c r="IL69" s="573"/>
      <c r="IM69" s="573"/>
      <c r="IN69" s="573"/>
      <c r="IO69" s="573"/>
      <c r="IP69" s="573"/>
      <c r="IQ69" s="573"/>
      <c r="IR69" s="573"/>
      <c r="IS69" s="573"/>
      <c r="IT69" s="573"/>
      <c r="IU69" s="573"/>
      <c r="IV69" s="573"/>
      <c r="IW69" s="573"/>
    </row>
    <row r="70" customFormat="false" ht="28.5" hidden="false" customHeight="false" outlineLevel="0" collapsed="false">
      <c r="A70" s="556" t="s">
        <v>451</v>
      </c>
      <c r="B70" s="572"/>
      <c r="C70" s="581"/>
      <c r="D70" s="574"/>
      <c r="E70" s="580"/>
      <c r="F70" s="574"/>
      <c r="G70" s="574"/>
      <c r="H70" s="573"/>
      <c r="I70" s="573"/>
      <c r="J70" s="573"/>
      <c r="K70" s="573"/>
      <c r="L70" s="573"/>
      <c r="M70" s="573"/>
      <c r="N70" s="573"/>
      <c r="O70" s="573"/>
      <c r="P70" s="573"/>
      <c r="Q70" s="573"/>
      <c r="R70" s="573"/>
      <c r="S70" s="573"/>
      <c r="T70" s="573"/>
      <c r="U70" s="573"/>
      <c r="V70" s="573"/>
      <c r="W70" s="573"/>
      <c r="X70" s="573"/>
      <c r="Y70" s="573"/>
      <c r="Z70" s="573"/>
      <c r="AA70" s="573"/>
      <c r="AB70" s="573"/>
      <c r="AC70" s="573"/>
      <c r="AD70" s="573"/>
      <c r="AE70" s="573"/>
      <c r="AF70" s="573"/>
      <c r="AG70" s="573"/>
      <c r="AH70" s="573"/>
      <c r="AI70" s="573"/>
      <c r="AJ70" s="573"/>
      <c r="AK70" s="573"/>
      <c r="AL70" s="573"/>
      <c r="AM70" s="573"/>
      <c r="AN70" s="573"/>
      <c r="AO70" s="573"/>
      <c r="AP70" s="573"/>
      <c r="AQ70" s="573"/>
      <c r="AR70" s="573"/>
      <c r="AS70" s="573"/>
      <c r="AT70" s="573"/>
      <c r="AU70" s="573"/>
      <c r="AV70" s="573"/>
      <c r="AW70" s="573"/>
      <c r="AX70" s="573"/>
      <c r="AY70" s="573"/>
      <c r="AZ70" s="573"/>
      <c r="BA70" s="573"/>
      <c r="BB70" s="573"/>
      <c r="BC70" s="573"/>
      <c r="BD70" s="573"/>
      <c r="BE70" s="573"/>
      <c r="BF70" s="573"/>
      <c r="BG70" s="573"/>
      <c r="BH70" s="573"/>
      <c r="BI70" s="573"/>
      <c r="BJ70" s="573"/>
      <c r="BK70" s="573"/>
      <c r="BL70" s="573"/>
      <c r="BM70" s="573"/>
      <c r="BN70" s="573"/>
      <c r="BO70" s="573"/>
      <c r="BP70" s="573"/>
      <c r="BQ70" s="573"/>
      <c r="BR70" s="573"/>
      <c r="BS70" s="573"/>
      <c r="BT70" s="573"/>
      <c r="BU70" s="573"/>
      <c r="BV70" s="573"/>
      <c r="BW70" s="573"/>
      <c r="BX70" s="573"/>
      <c r="BY70" s="573"/>
      <c r="BZ70" s="573"/>
      <c r="CA70" s="573"/>
      <c r="CB70" s="573"/>
      <c r="CC70" s="573"/>
      <c r="CD70" s="573"/>
      <c r="CE70" s="573"/>
      <c r="CF70" s="573"/>
      <c r="CG70" s="573"/>
      <c r="CH70" s="573"/>
      <c r="CI70" s="573"/>
      <c r="CJ70" s="573"/>
      <c r="CK70" s="573"/>
      <c r="CL70" s="573"/>
      <c r="CM70" s="573"/>
      <c r="CN70" s="573"/>
      <c r="CO70" s="573"/>
      <c r="CP70" s="573"/>
      <c r="CQ70" s="573"/>
      <c r="CR70" s="573"/>
      <c r="CS70" s="573"/>
      <c r="CT70" s="573"/>
      <c r="CU70" s="573"/>
      <c r="CV70" s="573"/>
      <c r="CW70" s="573"/>
      <c r="CX70" s="573"/>
      <c r="CY70" s="573"/>
      <c r="CZ70" s="573"/>
      <c r="DA70" s="573"/>
      <c r="DB70" s="573"/>
      <c r="DC70" s="573"/>
      <c r="DD70" s="573"/>
      <c r="DE70" s="573"/>
      <c r="DF70" s="573"/>
      <c r="DG70" s="573"/>
      <c r="DH70" s="573"/>
      <c r="DI70" s="573"/>
      <c r="DJ70" s="573"/>
      <c r="DK70" s="573"/>
      <c r="DL70" s="573"/>
      <c r="DM70" s="573"/>
      <c r="DN70" s="573"/>
      <c r="DO70" s="573"/>
      <c r="DP70" s="573"/>
      <c r="DQ70" s="573"/>
      <c r="DR70" s="573"/>
      <c r="DS70" s="573"/>
      <c r="DT70" s="573"/>
      <c r="DU70" s="573"/>
      <c r="DV70" s="573"/>
      <c r="DW70" s="573"/>
      <c r="DX70" s="573"/>
      <c r="DY70" s="573"/>
      <c r="DZ70" s="573"/>
      <c r="EA70" s="573"/>
      <c r="EB70" s="573"/>
      <c r="EC70" s="573"/>
      <c r="ED70" s="573"/>
      <c r="EE70" s="573"/>
      <c r="EF70" s="573"/>
      <c r="EG70" s="573"/>
      <c r="EH70" s="573"/>
      <c r="EI70" s="573"/>
      <c r="EJ70" s="573"/>
      <c r="EK70" s="573"/>
      <c r="EL70" s="573"/>
      <c r="EM70" s="573"/>
      <c r="EN70" s="573"/>
      <c r="EO70" s="573"/>
      <c r="EP70" s="573"/>
      <c r="EQ70" s="573"/>
      <c r="ER70" s="573"/>
      <c r="ES70" s="573"/>
      <c r="ET70" s="573"/>
      <c r="EU70" s="573"/>
      <c r="EV70" s="573"/>
      <c r="EW70" s="573"/>
      <c r="EX70" s="573"/>
      <c r="EY70" s="573"/>
      <c r="EZ70" s="573"/>
      <c r="FA70" s="573"/>
      <c r="FB70" s="573"/>
      <c r="FC70" s="573"/>
      <c r="FD70" s="573"/>
      <c r="FE70" s="573"/>
      <c r="FF70" s="573"/>
      <c r="FG70" s="573"/>
      <c r="FH70" s="573"/>
      <c r="FI70" s="573"/>
      <c r="FJ70" s="573"/>
      <c r="FK70" s="573"/>
      <c r="FL70" s="573"/>
      <c r="FM70" s="573"/>
      <c r="FN70" s="573"/>
      <c r="FO70" s="573"/>
      <c r="FP70" s="573"/>
      <c r="FQ70" s="573"/>
      <c r="FR70" s="573"/>
      <c r="FS70" s="573"/>
      <c r="FT70" s="573"/>
      <c r="FU70" s="573"/>
      <c r="FV70" s="573"/>
      <c r="FW70" s="573"/>
      <c r="FX70" s="573"/>
      <c r="FY70" s="573"/>
      <c r="FZ70" s="573"/>
      <c r="GA70" s="573"/>
      <c r="GB70" s="573"/>
      <c r="GC70" s="573"/>
      <c r="GD70" s="573"/>
      <c r="GE70" s="573"/>
      <c r="GF70" s="573"/>
      <c r="GG70" s="573"/>
      <c r="GH70" s="573"/>
      <c r="GI70" s="573"/>
      <c r="GJ70" s="573"/>
      <c r="GK70" s="573"/>
      <c r="GL70" s="573"/>
      <c r="GM70" s="573"/>
      <c r="GN70" s="573"/>
      <c r="GO70" s="573"/>
      <c r="GP70" s="573"/>
      <c r="GQ70" s="573"/>
      <c r="GR70" s="573"/>
      <c r="GS70" s="573"/>
      <c r="GT70" s="573"/>
      <c r="GU70" s="573"/>
      <c r="GV70" s="573"/>
      <c r="GW70" s="573"/>
      <c r="GX70" s="573"/>
      <c r="GY70" s="573"/>
      <c r="GZ70" s="573"/>
      <c r="HA70" s="573"/>
      <c r="HB70" s="573"/>
      <c r="HC70" s="573"/>
      <c r="HD70" s="573"/>
      <c r="HE70" s="573"/>
      <c r="HF70" s="573"/>
      <c r="HG70" s="573"/>
      <c r="HH70" s="573"/>
      <c r="HI70" s="573"/>
      <c r="HJ70" s="573"/>
      <c r="HK70" s="573"/>
      <c r="HL70" s="573"/>
      <c r="HM70" s="573"/>
      <c r="HN70" s="573"/>
      <c r="HO70" s="573"/>
      <c r="HP70" s="573"/>
      <c r="HQ70" s="573"/>
      <c r="HR70" s="573"/>
      <c r="HS70" s="573"/>
      <c r="HT70" s="573"/>
      <c r="HU70" s="573"/>
      <c r="HV70" s="573"/>
      <c r="HW70" s="573"/>
      <c r="HX70" s="573"/>
      <c r="HY70" s="573"/>
      <c r="HZ70" s="573"/>
      <c r="IA70" s="573"/>
      <c r="IB70" s="573"/>
      <c r="IC70" s="573"/>
      <c r="ID70" s="573"/>
      <c r="IE70" s="573"/>
      <c r="IF70" s="573"/>
      <c r="IG70" s="573"/>
      <c r="IH70" s="573"/>
      <c r="II70" s="573"/>
      <c r="IJ70" s="573"/>
      <c r="IK70" s="573"/>
      <c r="IL70" s="573"/>
      <c r="IM70" s="573"/>
      <c r="IN70" s="573"/>
      <c r="IO70" s="573"/>
      <c r="IP70" s="573"/>
      <c r="IQ70" s="573"/>
      <c r="IR70" s="573"/>
      <c r="IS70" s="573"/>
      <c r="IT70" s="573"/>
      <c r="IU70" s="573"/>
      <c r="IV70" s="573"/>
      <c r="IW70" s="573"/>
    </row>
    <row r="71" customFormat="false" ht="57" hidden="false" customHeight="false" outlineLevel="0" collapsed="false">
      <c r="A71" s="556" t="s">
        <v>452</v>
      </c>
      <c r="B71" s="565"/>
      <c r="C71" s="566"/>
      <c r="D71" s="567"/>
      <c r="E71" s="585"/>
      <c r="F71" s="569"/>
      <c r="G71" s="567"/>
    </row>
    <row r="72" customFormat="false" ht="15" hidden="false" customHeight="false" outlineLevel="0" collapsed="false">
      <c r="B72" s="565"/>
      <c r="C72" s="566"/>
      <c r="D72" s="567"/>
      <c r="E72" s="585"/>
      <c r="F72" s="569"/>
      <c r="G72" s="567"/>
    </row>
    <row r="73" customFormat="false" ht="15" hidden="false" customHeight="false" outlineLevel="0" collapsed="false">
      <c r="A73" s="564" t="s">
        <v>453</v>
      </c>
      <c r="B73" s="565"/>
      <c r="C73" s="566"/>
      <c r="D73" s="567"/>
      <c r="E73" s="585"/>
      <c r="F73" s="569"/>
      <c r="G73" s="567"/>
    </row>
    <row r="74" customFormat="false" ht="15" hidden="false" customHeight="false" outlineLevel="0" collapsed="false">
      <c r="A74" s="556" t="s">
        <v>454</v>
      </c>
      <c r="B74" s="565"/>
      <c r="C74" s="566"/>
      <c r="D74" s="567"/>
      <c r="E74" s="585"/>
      <c r="F74" s="569"/>
      <c r="G74" s="567"/>
    </row>
    <row r="75" customFormat="false" ht="28.5" hidden="false" customHeight="false" outlineLevel="0" collapsed="false">
      <c r="A75" s="556" t="s">
        <v>455</v>
      </c>
      <c r="B75" s="565"/>
      <c r="C75" s="566"/>
      <c r="D75" s="567"/>
      <c r="E75" s="585"/>
      <c r="F75" s="569"/>
      <c r="G75" s="567"/>
    </row>
    <row r="76" customFormat="false" ht="15" hidden="false" customHeight="false" outlineLevel="0" collapsed="false">
      <c r="A76" s="556" t="s">
        <v>456</v>
      </c>
      <c r="B76" s="565"/>
      <c r="C76" s="566"/>
      <c r="D76" s="567"/>
      <c r="E76" s="585"/>
      <c r="F76" s="569"/>
      <c r="G76" s="567"/>
    </row>
    <row r="77" customFormat="false" ht="15" hidden="false" customHeight="false" outlineLevel="0" collapsed="false">
      <c r="A77" s="556" t="s">
        <v>457</v>
      </c>
      <c r="B77" s="565"/>
      <c r="C77" s="566"/>
      <c r="D77" s="567"/>
      <c r="E77" s="585"/>
      <c r="F77" s="569"/>
      <c r="G77" s="567"/>
    </row>
    <row r="78" customFormat="false" ht="15" hidden="false" customHeight="false" outlineLevel="0" collapsed="false">
      <c r="A78" s="556" t="s">
        <v>458</v>
      </c>
      <c r="B78" s="565"/>
      <c r="C78" s="566"/>
      <c r="D78" s="567"/>
      <c r="E78" s="585"/>
      <c r="F78" s="569"/>
      <c r="G78" s="567"/>
    </row>
    <row r="79" customFormat="false" ht="15" hidden="false" customHeight="false" outlineLevel="0" collapsed="false">
      <c r="A79" s="556" t="s">
        <v>459</v>
      </c>
      <c r="B79" s="565"/>
      <c r="C79" s="566"/>
      <c r="D79" s="567"/>
      <c r="E79" s="585"/>
      <c r="F79" s="569"/>
      <c r="G79" s="567"/>
    </row>
    <row r="80" customFormat="false" ht="25.5" hidden="false" customHeight="true" outlineLevel="0" collapsed="false">
      <c r="A80" s="556" t="s">
        <v>460</v>
      </c>
      <c r="B80" s="565"/>
      <c r="C80" s="566"/>
      <c r="D80" s="567"/>
      <c r="E80" s="585"/>
      <c r="F80" s="569"/>
      <c r="G80" s="567"/>
    </row>
    <row r="81" customFormat="false" ht="15" hidden="false" customHeight="false" outlineLevel="0" collapsed="false">
      <c r="A81" s="564"/>
      <c r="B81" s="565"/>
      <c r="C81" s="566"/>
      <c r="D81" s="567"/>
      <c r="E81" s="585"/>
      <c r="F81" s="569"/>
      <c r="G81" s="567"/>
    </row>
    <row r="82" customFormat="false" ht="15" hidden="false" customHeight="false" outlineLevel="0" collapsed="false">
      <c r="A82" s="564" t="s">
        <v>461</v>
      </c>
      <c r="B82" s="565"/>
      <c r="C82" s="566"/>
      <c r="D82" s="567"/>
      <c r="E82" s="585"/>
      <c r="F82" s="569"/>
      <c r="G82" s="567"/>
    </row>
    <row r="83" customFormat="false" ht="15" hidden="false" customHeight="false" outlineLevel="0" collapsed="false">
      <c r="A83" s="586" t="s">
        <v>462</v>
      </c>
      <c r="B83" s="565"/>
      <c r="C83" s="566"/>
      <c r="D83" s="567"/>
      <c r="E83" s="585"/>
      <c r="F83" s="569"/>
      <c r="G83" s="567"/>
    </row>
    <row r="84" customFormat="false" ht="15" hidden="false" customHeight="false" outlineLevel="0" collapsed="false">
      <c r="A84" s="586" t="s">
        <v>463</v>
      </c>
      <c r="B84" s="565"/>
      <c r="C84" s="566"/>
      <c r="D84" s="567"/>
      <c r="E84" s="585"/>
      <c r="F84" s="569"/>
      <c r="G84" s="567"/>
    </row>
    <row r="85" customFormat="false" ht="15" hidden="false" customHeight="false" outlineLevel="0" collapsed="false">
      <c r="A85" s="586" t="s">
        <v>464</v>
      </c>
      <c r="B85" s="565"/>
      <c r="C85" s="566"/>
      <c r="D85" s="567"/>
      <c r="E85" s="585"/>
      <c r="F85" s="569"/>
      <c r="G85" s="567"/>
    </row>
    <row r="86" customFormat="false" ht="15" hidden="false" customHeight="false" outlineLevel="0" collapsed="false">
      <c r="A86" s="586" t="s">
        <v>465</v>
      </c>
      <c r="B86" s="565"/>
      <c r="C86" s="566"/>
      <c r="D86" s="567"/>
      <c r="E86" s="585"/>
      <c r="F86" s="569"/>
      <c r="G86" s="567"/>
    </row>
    <row r="87" customFormat="false" ht="15" hidden="false" customHeight="false" outlineLevel="0" collapsed="false">
      <c r="A87" s="586" t="s">
        <v>466</v>
      </c>
      <c r="B87" s="565"/>
      <c r="C87" s="566"/>
      <c r="D87" s="567"/>
      <c r="E87" s="585"/>
      <c r="F87" s="569"/>
      <c r="G87" s="567"/>
    </row>
    <row r="88" customFormat="false" ht="15" hidden="false" customHeight="false" outlineLevel="0" collapsed="false">
      <c r="A88" s="586" t="s">
        <v>467</v>
      </c>
      <c r="B88" s="565"/>
      <c r="C88" s="566"/>
      <c r="D88" s="567"/>
      <c r="E88" s="585"/>
      <c r="F88" s="569"/>
      <c r="G88" s="567"/>
    </row>
    <row r="89" customFormat="false" ht="15" hidden="false" customHeight="false" outlineLevel="0" collapsed="false">
      <c r="A89" s="586" t="s">
        <v>468</v>
      </c>
      <c r="B89" s="565"/>
      <c r="C89" s="566"/>
      <c r="D89" s="567"/>
      <c r="E89" s="585"/>
      <c r="F89" s="569"/>
      <c r="G89" s="567"/>
    </row>
    <row r="90" customFormat="false" ht="15" hidden="false" customHeight="false" outlineLevel="0" collapsed="false">
      <c r="A90" s="586" t="s">
        <v>469</v>
      </c>
      <c r="B90" s="565"/>
      <c r="C90" s="566"/>
      <c r="D90" s="567"/>
      <c r="E90" s="585"/>
      <c r="F90" s="569"/>
      <c r="G90" s="567"/>
    </row>
    <row r="91" customFormat="false" ht="15" hidden="false" customHeight="false" outlineLevel="0" collapsed="false">
      <c r="A91" s="556" t="s">
        <v>470</v>
      </c>
      <c r="B91" s="565"/>
      <c r="C91" s="566"/>
      <c r="D91" s="567"/>
      <c r="E91" s="585"/>
      <c r="F91" s="569"/>
      <c r="G91" s="567"/>
    </row>
    <row r="92" customFormat="false" ht="15" hidden="false" customHeight="false" outlineLevel="0" collapsed="false">
      <c r="A92" s="587"/>
      <c r="B92" s="565"/>
      <c r="C92" s="566"/>
      <c r="D92" s="567"/>
      <c r="E92" s="588"/>
      <c r="F92" s="569"/>
      <c r="G92" s="567"/>
    </row>
    <row r="93" customFormat="false" ht="12" hidden="false" customHeight="true" outlineLevel="0" collapsed="false">
      <c r="A93" s="564" t="s">
        <v>471</v>
      </c>
      <c r="B93" s="463"/>
      <c r="C93" s="589"/>
      <c r="D93" s="510"/>
      <c r="E93" s="590"/>
      <c r="F93" s="567"/>
      <c r="G93" s="567"/>
    </row>
    <row r="94" customFormat="false" ht="15" hidden="false" customHeight="false" outlineLevel="0" collapsed="false">
      <c r="A94" s="556" t="s">
        <v>472</v>
      </c>
      <c r="B94" s="463"/>
      <c r="C94" s="589"/>
      <c r="D94" s="510"/>
      <c r="E94" s="590"/>
      <c r="F94" s="567"/>
      <c r="G94" s="567"/>
    </row>
    <row r="95" customFormat="false" ht="15" hidden="false" customHeight="false" outlineLevel="0" collapsed="false">
      <c r="A95" s="556" t="s">
        <v>473</v>
      </c>
      <c r="B95" s="565"/>
      <c r="C95" s="566"/>
      <c r="D95" s="567"/>
      <c r="E95" s="591"/>
      <c r="F95" s="569"/>
      <c r="G95" s="567"/>
    </row>
    <row r="96" customFormat="false" ht="15" hidden="false" customHeight="false" outlineLevel="0" collapsed="false">
      <c r="A96" s="556" t="s">
        <v>474</v>
      </c>
      <c r="B96" s="565"/>
      <c r="C96" s="566"/>
      <c r="D96" s="567"/>
      <c r="E96" s="592"/>
      <c r="F96" s="569"/>
      <c r="G96" s="567"/>
    </row>
    <row r="97" customFormat="false" ht="15" hidden="false" customHeight="false" outlineLevel="0" collapsed="false">
      <c r="A97" s="558" t="s">
        <v>475</v>
      </c>
      <c r="B97" s="463"/>
      <c r="C97" s="500"/>
      <c r="D97" s="510"/>
      <c r="E97" s="593"/>
      <c r="F97" s="567"/>
      <c r="G97" s="567"/>
    </row>
    <row r="98" customFormat="false" ht="15" hidden="false" customHeight="false" outlineLevel="0" collapsed="false">
      <c r="A98" s="556" t="s">
        <v>476</v>
      </c>
      <c r="B98" s="565"/>
      <c r="C98" s="566"/>
      <c r="D98" s="567"/>
      <c r="E98" s="585"/>
      <c r="F98" s="569"/>
      <c r="G98" s="567"/>
    </row>
    <row r="99" customFormat="false" ht="28.5" hidden="false" customHeight="false" outlineLevel="0" collapsed="false">
      <c r="A99" s="556" t="s">
        <v>477</v>
      </c>
      <c r="B99" s="463"/>
      <c r="C99" s="589"/>
      <c r="D99" s="510"/>
      <c r="E99" s="594"/>
      <c r="F99" s="567"/>
      <c r="G99" s="567"/>
    </row>
    <row r="100" customFormat="false" ht="15" hidden="false" customHeight="false" outlineLevel="0" collapsed="false">
      <c r="A100" s="556" t="s">
        <v>478</v>
      </c>
      <c r="B100" s="463"/>
      <c r="C100" s="589"/>
      <c r="D100" s="510"/>
      <c r="E100" s="594"/>
      <c r="F100" s="595"/>
      <c r="G100" s="567"/>
    </row>
    <row r="101" customFormat="false" ht="15" hidden="false" customHeight="false" outlineLevel="0" collapsed="false">
      <c r="A101" s="556" t="s">
        <v>479</v>
      </c>
      <c r="C101" s="589"/>
      <c r="D101" s="567"/>
      <c r="E101" s="596"/>
      <c r="F101" s="597"/>
      <c r="G101" s="567"/>
    </row>
    <row r="102" customFormat="false" ht="15" hidden="false" customHeight="false" outlineLevel="0" collapsed="false">
      <c r="A102" s="556" t="s">
        <v>480</v>
      </c>
      <c r="C102" s="589"/>
      <c r="D102" s="567"/>
      <c r="E102" s="596"/>
      <c r="F102" s="597"/>
      <c r="G102" s="567"/>
    </row>
    <row r="103" customFormat="false" ht="42.75" hidden="false" customHeight="false" outlineLevel="0" collapsed="false">
      <c r="A103" s="556" t="s">
        <v>481</v>
      </c>
      <c r="B103" s="463"/>
      <c r="C103" s="500"/>
      <c r="D103" s="510"/>
      <c r="E103" s="598"/>
      <c r="F103" s="567"/>
      <c r="G103" s="567"/>
    </row>
    <row r="104" customFormat="false" ht="28.5" hidden="false" customHeight="false" outlineLevel="0" collapsed="false">
      <c r="A104" s="556" t="s">
        <v>482</v>
      </c>
      <c r="C104" s="589"/>
      <c r="D104" s="567"/>
      <c r="E104" s="599"/>
      <c r="F104" s="597"/>
      <c r="G104" s="567"/>
    </row>
    <row r="105" customFormat="false" ht="28.5" hidden="false" customHeight="false" outlineLevel="0" collapsed="false">
      <c r="A105" s="556" t="s">
        <v>483</v>
      </c>
      <c r="B105" s="463"/>
      <c r="C105" s="500"/>
      <c r="D105" s="510"/>
      <c r="E105" s="599"/>
      <c r="F105" s="597"/>
      <c r="G105" s="567"/>
    </row>
    <row r="106" customFormat="false" ht="15" hidden="false" customHeight="false" outlineLevel="0" collapsed="false">
      <c r="B106" s="463"/>
      <c r="C106" s="500"/>
      <c r="D106" s="510"/>
      <c r="E106" s="599"/>
      <c r="F106" s="597"/>
      <c r="G106" s="567"/>
    </row>
    <row r="107" customFormat="false" ht="15" hidden="false" customHeight="false" outlineLevel="0" collapsed="false">
      <c r="A107" s="564" t="s">
        <v>484</v>
      </c>
      <c r="B107" s="463"/>
      <c r="C107" s="500"/>
      <c r="D107" s="510"/>
      <c r="E107" s="599"/>
      <c r="F107" s="597"/>
      <c r="G107" s="567"/>
    </row>
    <row r="108" customFormat="false" ht="28.5" hidden="false" customHeight="false" outlineLevel="0" collapsed="false">
      <c r="A108" s="556" t="s">
        <v>485</v>
      </c>
      <c r="B108" s="463"/>
      <c r="C108" s="589"/>
      <c r="D108" s="510"/>
      <c r="E108" s="590"/>
      <c r="F108" s="567"/>
      <c r="G108" s="567"/>
    </row>
    <row r="109" customFormat="false" ht="15" hidden="false" customHeight="false" outlineLevel="0" collapsed="false">
      <c r="A109" s="556" t="s">
        <v>486</v>
      </c>
      <c r="B109" s="463"/>
      <c r="C109" s="589"/>
      <c r="D109" s="510"/>
      <c r="E109" s="590"/>
      <c r="F109" s="567"/>
      <c r="G109" s="567"/>
    </row>
    <row r="110" customFormat="false" ht="15" hidden="false" customHeight="false" outlineLevel="0" collapsed="false">
      <c r="A110" s="556" t="s">
        <v>487</v>
      </c>
      <c r="B110" s="463"/>
      <c r="C110" s="589"/>
      <c r="D110" s="510"/>
      <c r="E110" s="599"/>
      <c r="F110" s="597"/>
      <c r="G110" s="567"/>
    </row>
    <row r="111" customFormat="false" ht="26.25" hidden="false" customHeight="true" outlineLevel="0" collapsed="false">
      <c r="A111" s="558" t="s">
        <v>488</v>
      </c>
      <c r="B111" s="463"/>
      <c r="C111" s="589"/>
      <c r="D111" s="510"/>
      <c r="E111" s="594"/>
      <c r="F111" s="567"/>
      <c r="G111" s="567"/>
    </row>
    <row r="112" customFormat="false" ht="15" hidden="false" customHeight="false" outlineLevel="0" collapsed="false">
      <c r="A112" s="556" t="s">
        <v>489</v>
      </c>
      <c r="C112" s="589"/>
      <c r="D112" s="567"/>
      <c r="E112" s="593"/>
      <c r="F112" s="567"/>
      <c r="G112" s="567"/>
    </row>
    <row r="113" customFormat="false" ht="15" hidden="false" customHeight="false" outlineLevel="0" collapsed="false">
      <c r="A113" s="558" t="s">
        <v>490</v>
      </c>
      <c r="B113" s="463"/>
      <c r="C113" s="589"/>
      <c r="D113" s="510"/>
      <c r="E113" s="594"/>
      <c r="F113" s="567"/>
      <c r="G113" s="567"/>
    </row>
    <row r="114" customFormat="false" ht="15" hidden="false" customHeight="false" outlineLevel="0" collapsed="false">
      <c r="A114" s="558" t="s">
        <v>491</v>
      </c>
      <c r="B114" s="463"/>
      <c r="C114" s="589"/>
      <c r="D114" s="510"/>
      <c r="E114" s="594"/>
      <c r="F114" s="567"/>
      <c r="G114" s="567"/>
    </row>
    <row r="115" customFormat="false" ht="15" hidden="false" customHeight="false" outlineLevel="0" collapsed="false">
      <c r="C115" s="589"/>
      <c r="D115" s="567"/>
      <c r="E115" s="510"/>
      <c r="F115" s="567"/>
      <c r="G115" s="567"/>
    </row>
    <row r="116" customFormat="false" ht="15" hidden="false" customHeight="false" outlineLevel="0" collapsed="false">
      <c r="A116" s="564" t="s">
        <v>492</v>
      </c>
      <c r="B116" s="463"/>
      <c r="C116" s="589"/>
      <c r="D116" s="567"/>
      <c r="E116" s="510"/>
      <c r="F116" s="567"/>
      <c r="G116" s="567"/>
    </row>
    <row r="117" customFormat="false" ht="28.5" hidden="false" customHeight="false" outlineLevel="0" collapsed="false">
      <c r="A117" s="558" t="s">
        <v>493</v>
      </c>
      <c r="B117" s="463"/>
      <c r="C117" s="589"/>
      <c r="D117" s="510"/>
      <c r="E117" s="593"/>
      <c r="F117" s="567"/>
      <c r="G117" s="567"/>
    </row>
    <row r="118" customFormat="false" ht="25.5" hidden="false" customHeight="true" outlineLevel="0" collapsed="false">
      <c r="A118" s="556" t="s">
        <v>494</v>
      </c>
      <c r="B118" s="463"/>
      <c r="C118" s="589"/>
      <c r="D118" s="510"/>
      <c r="E118" s="600"/>
      <c r="F118" s="601"/>
      <c r="G118" s="567"/>
    </row>
    <row r="119" customFormat="false" ht="28.5" hidden="false" customHeight="false" outlineLevel="0" collapsed="false">
      <c r="A119" s="556" t="s">
        <v>495</v>
      </c>
      <c r="B119" s="463"/>
      <c r="C119" s="500"/>
      <c r="D119" s="510"/>
      <c r="E119" s="594"/>
      <c r="F119" s="595"/>
      <c r="G119" s="567"/>
    </row>
    <row r="120" customFormat="false" ht="25.5" hidden="false" customHeight="true" outlineLevel="0" collapsed="false">
      <c r="A120" s="556" t="s">
        <v>496</v>
      </c>
      <c r="C120" s="500"/>
      <c r="D120" s="510"/>
      <c r="E120" s="602"/>
      <c r="F120" s="567"/>
      <c r="G120" s="567"/>
    </row>
    <row r="121" customFormat="false" ht="25.5" hidden="false" customHeight="true" outlineLevel="0" collapsed="false">
      <c r="A121" s="556" t="s">
        <v>497</v>
      </c>
      <c r="C121" s="500"/>
      <c r="D121" s="510"/>
      <c r="E121" s="602"/>
      <c r="F121" s="567"/>
      <c r="G121" s="567"/>
    </row>
    <row r="122" customFormat="false" ht="28.5" hidden="false" customHeight="false" outlineLevel="0" collapsed="false">
      <c r="A122" s="556" t="s">
        <v>498</v>
      </c>
      <c r="B122" s="463"/>
      <c r="C122" s="589"/>
      <c r="D122" s="510"/>
      <c r="E122" s="594"/>
      <c r="F122" s="567"/>
      <c r="G122" s="567"/>
    </row>
    <row r="123" customFormat="false" ht="15" hidden="false" customHeight="false" outlineLevel="0" collapsed="false">
      <c r="A123" s="556" t="s">
        <v>499</v>
      </c>
      <c r="C123" s="589"/>
      <c r="D123" s="567"/>
      <c r="E123" s="593"/>
      <c r="F123" s="567"/>
      <c r="G123" s="567"/>
    </row>
    <row r="124" customFormat="false" ht="28.5" hidden="false" customHeight="false" outlineLevel="0" collapsed="false">
      <c r="A124" s="556" t="s">
        <v>500</v>
      </c>
      <c r="B124" s="463"/>
      <c r="C124" s="589"/>
      <c r="D124" s="510"/>
      <c r="E124" s="490"/>
      <c r="F124" s="567"/>
      <c r="G124" s="567"/>
    </row>
    <row r="125" customFormat="false" ht="15" hidden="false" customHeight="false" outlineLevel="0" collapsed="false">
      <c r="A125" s="556" t="s">
        <v>501</v>
      </c>
      <c r="B125" s="463"/>
      <c r="C125" s="589"/>
      <c r="D125" s="510"/>
      <c r="E125" s="594"/>
      <c r="F125" s="567"/>
      <c r="G125" s="567"/>
    </row>
    <row r="126" customFormat="false" ht="15" hidden="false" customHeight="false" outlineLevel="0" collapsed="false">
      <c r="A126" s="556" t="s">
        <v>502</v>
      </c>
      <c r="B126" s="463"/>
      <c r="C126" s="589"/>
      <c r="D126" s="510"/>
      <c r="E126" s="594"/>
      <c r="F126" s="567"/>
      <c r="G126" s="567"/>
    </row>
    <row r="127" customFormat="false" ht="25.5" hidden="false" customHeight="true" outlineLevel="0" collapsed="false">
      <c r="A127" s="556" t="s">
        <v>503</v>
      </c>
      <c r="B127" s="463"/>
      <c r="C127" s="589"/>
      <c r="D127" s="510"/>
      <c r="E127" s="594"/>
      <c r="F127" s="567"/>
      <c r="G127" s="567"/>
    </row>
    <row r="128" customFormat="false" ht="15" hidden="false" customHeight="false" outlineLevel="0" collapsed="false">
      <c r="A128" s="556" t="s">
        <v>504</v>
      </c>
      <c r="B128" s="463"/>
      <c r="C128" s="589"/>
      <c r="D128" s="510"/>
      <c r="E128" s="594"/>
      <c r="F128" s="567"/>
      <c r="G128" s="567"/>
    </row>
    <row r="129" customFormat="false" ht="15" hidden="false" customHeight="false" outlineLevel="0" collapsed="false">
      <c r="A129" s="556" t="s">
        <v>505</v>
      </c>
      <c r="B129" s="463"/>
      <c r="C129" s="589"/>
      <c r="D129" s="510"/>
      <c r="E129" s="603"/>
      <c r="F129" s="567"/>
      <c r="G129" s="567"/>
    </row>
    <row r="130" customFormat="false" ht="28.5" hidden="false" customHeight="false" outlineLevel="0" collapsed="false">
      <c r="A130" s="556" t="s">
        <v>506</v>
      </c>
      <c r="B130" s="463"/>
      <c r="C130" s="589"/>
      <c r="D130" s="510"/>
      <c r="E130" s="604"/>
      <c r="F130" s="567"/>
      <c r="G130" s="567"/>
    </row>
    <row r="131" customFormat="false" ht="15" hidden="false" customHeight="false" outlineLevel="0" collapsed="false">
      <c r="A131" s="556" t="s">
        <v>507</v>
      </c>
      <c r="B131" s="463"/>
      <c r="C131" s="589"/>
      <c r="D131" s="510"/>
      <c r="E131" s="598"/>
      <c r="F131" s="567"/>
      <c r="G131" s="567"/>
    </row>
    <row r="132" customFormat="false" ht="30" hidden="false" customHeight="true" outlineLevel="0" collapsed="false">
      <c r="A132" s="556" t="s">
        <v>508</v>
      </c>
      <c r="B132" s="463"/>
      <c r="C132" s="589"/>
      <c r="D132" s="510"/>
      <c r="E132" s="594"/>
      <c r="F132" s="567"/>
      <c r="G132" s="567"/>
    </row>
    <row r="133" customFormat="false" ht="15" hidden="false" customHeight="false" outlineLevel="0" collapsed="false">
      <c r="A133" s="556" t="s">
        <v>509</v>
      </c>
      <c r="B133" s="463"/>
      <c r="C133" s="589"/>
      <c r="D133" s="510"/>
      <c r="E133" s="590"/>
      <c r="F133" s="567"/>
      <c r="G133" s="567"/>
    </row>
    <row r="134" customFormat="false" ht="28.5" hidden="false" customHeight="false" outlineLevel="0" collapsed="false">
      <c r="A134" s="556" t="s">
        <v>510</v>
      </c>
      <c r="B134" s="463"/>
      <c r="C134" s="589"/>
      <c r="D134" s="510"/>
      <c r="E134" s="594"/>
      <c r="F134" s="567"/>
      <c r="G134" s="567"/>
    </row>
    <row r="135" customFormat="false" ht="28.5" hidden="false" customHeight="false" outlineLevel="0" collapsed="false">
      <c r="A135" s="556" t="s">
        <v>511</v>
      </c>
      <c r="B135" s="463"/>
      <c r="C135" s="589"/>
      <c r="D135" s="510"/>
      <c r="E135" s="593"/>
      <c r="F135" s="567"/>
      <c r="G135" s="567"/>
    </row>
    <row r="136" customFormat="false" ht="15" hidden="false" customHeight="false" outlineLevel="0" collapsed="false">
      <c r="A136" s="556" t="s">
        <v>512</v>
      </c>
      <c r="B136" s="463"/>
      <c r="C136" s="500"/>
      <c r="D136" s="510"/>
      <c r="E136" s="594"/>
      <c r="F136" s="567"/>
      <c r="G136" s="567"/>
    </row>
    <row r="137" customFormat="false" ht="28.5" hidden="false" customHeight="false" outlineLevel="0" collapsed="false">
      <c r="A137" s="556" t="s">
        <v>513</v>
      </c>
      <c r="B137" s="463"/>
      <c r="C137" s="589"/>
      <c r="D137" s="510"/>
      <c r="E137" s="594"/>
      <c r="F137" s="567"/>
      <c r="G137" s="567"/>
    </row>
    <row r="138" customFormat="false" ht="15" hidden="false" customHeight="false" outlineLevel="0" collapsed="false">
      <c r="A138" s="556" t="s">
        <v>514</v>
      </c>
      <c r="B138" s="463"/>
      <c r="C138" s="589"/>
      <c r="D138" s="510"/>
      <c r="E138" s="598"/>
      <c r="F138" s="567"/>
      <c r="G138" s="567"/>
    </row>
    <row r="139" customFormat="false" ht="14.25" hidden="false" customHeight="false" outlineLevel="0" collapsed="false">
      <c r="A139" s="456"/>
      <c r="C139" s="567"/>
      <c r="D139" s="567"/>
      <c r="E139" s="567"/>
      <c r="F139" s="567"/>
      <c r="G139" s="567"/>
    </row>
    <row r="140" customFormat="false" ht="15" hidden="false" customHeight="false" outlineLevel="0" collapsed="false">
      <c r="A140" s="456"/>
      <c r="C140" s="589"/>
      <c r="D140" s="567"/>
      <c r="E140" s="567"/>
      <c r="F140" s="567"/>
      <c r="G140" s="567"/>
    </row>
    <row r="141" customFormat="false" ht="15" hidden="false" customHeight="false" outlineLevel="0" collapsed="false">
      <c r="A141" s="564" t="s">
        <v>515</v>
      </c>
      <c r="B141" s="463"/>
      <c r="C141" s="589"/>
      <c r="D141" s="567"/>
      <c r="E141" s="510"/>
      <c r="F141" s="567"/>
      <c r="G141" s="567"/>
    </row>
    <row r="142" customFormat="false" ht="15" hidden="false" customHeight="false" outlineLevel="0" collapsed="false">
      <c r="A142" s="556" t="s">
        <v>516</v>
      </c>
      <c r="B142" s="463"/>
      <c r="C142" s="589"/>
      <c r="D142" s="567"/>
      <c r="E142" s="546"/>
      <c r="F142" s="597"/>
      <c r="G142" s="567"/>
    </row>
    <row r="143" customFormat="false" ht="15" hidden="false" customHeight="false" outlineLevel="0" collapsed="false">
      <c r="A143" s="556" t="s">
        <v>517</v>
      </c>
      <c r="C143" s="589"/>
      <c r="D143" s="567"/>
      <c r="E143" s="546"/>
      <c r="F143" s="597"/>
      <c r="G143" s="567"/>
    </row>
    <row r="144" customFormat="false" ht="15" hidden="false" customHeight="false" outlineLevel="0" collapsed="false">
      <c r="A144" s="556" t="s">
        <v>518</v>
      </c>
      <c r="B144" s="463"/>
      <c r="C144" s="589"/>
      <c r="D144" s="567"/>
      <c r="E144" s="605"/>
      <c r="F144" s="567"/>
      <c r="G144" s="567"/>
    </row>
    <row r="145" customFormat="false" ht="15" hidden="false" customHeight="false" outlineLevel="0" collapsed="false">
      <c r="A145" s="556" t="s">
        <v>519</v>
      </c>
      <c r="B145" s="463"/>
      <c r="C145" s="589"/>
      <c r="D145" s="567"/>
      <c r="E145" s="605"/>
      <c r="F145" s="567"/>
      <c r="G145" s="567"/>
    </row>
    <row r="146" customFormat="false" ht="15" hidden="false" customHeight="false" outlineLevel="0" collapsed="false">
      <c r="A146" s="556" t="s">
        <v>520</v>
      </c>
      <c r="B146" s="463"/>
      <c r="C146" s="589"/>
      <c r="D146" s="567"/>
      <c r="E146" s="604"/>
      <c r="F146" s="567"/>
      <c r="G146" s="567"/>
    </row>
    <row r="147" customFormat="false" ht="15" hidden="false" customHeight="false" outlineLevel="0" collapsed="false">
      <c r="A147" s="556" t="s">
        <v>490</v>
      </c>
      <c r="B147" s="463"/>
      <c r="C147" s="589"/>
      <c r="D147" s="567"/>
      <c r="E147" s="606"/>
      <c r="F147" s="597"/>
      <c r="G147" s="567"/>
    </row>
    <row r="148" customFormat="false" ht="15" hidden="false" customHeight="false" outlineLevel="0" collapsed="false">
      <c r="A148" s="556" t="s">
        <v>521</v>
      </c>
      <c r="C148" s="589"/>
      <c r="D148" s="567"/>
      <c r="E148" s="607"/>
      <c r="F148" s="567"/>
      <c r="G148" s="567"/>
    </row>
    <row r="149" customFormat="false" ht="15" hidden="false" customHeight="false" outlineLevel="0" collapsed="false">
      <c r="A149" s="456" t="s">
        <v>522</v>
      </c>
      <c r="B149" s="463"/>
      <c r="C149" s="589"/>
      <c r="D149" s="567"/>
      <c r="E149" s="607"/>
      <c r="F149" s="567"/>
      <c r="G149" s="567"/>
    </row>
    <row r="150" customFormat="false" ht="15" hidden="false" customHeight="false" outlineLevel="0" collapsed="false">
      <c r="A150" s="556" t="s">
        <v>523</v>
      </c>
      <c r="B150" s="463"/>
      <c r="C150" s="589"/>
      <c r="D150" s="567"/>
      <c r="E150" s="607"/>
      <c r="F150" s="567"/>
      <c r="G150" s="567"/>
    </row>
    <row r="151" customFormat="false" ht="15" hidden="false" customHeight="false" outlineLevel="0" collapsed="false">
      <c r="A151" s="556" t="s">
        <v>524</v>
      </c>
      <c r="C151" s="589"/>
      <c r="D151" s="567"/>
      <c r="E151" s="608"/>
      <c r="F151" s="567"/>
      <c r="G151" s="567"/>
    </row>
    <row r="152" customFormat="false" ht="15" hidden="false" customHeight="true" outlineLevel="0" collapsed="false">
      <c r="A152" s="556" t="s">
        <v>525</v>
      </c>
      <c r="C152" s="589"/>
      <c r="D152" s="567"/>
      <c r="E152" s="608"/>
      <c r="F152" s="567"/>
      <c r="G152" s="567"/>
    </row>
    <row r="153" customFormat="false" ht="28.5" hidden="false" customHeight="false" outlineLevel="0" collapsed="false">
      <c r="A153" s="556" t="s">
        <v>526</v>
      </c>
      <c r="B153" s="463"/>
      <c r="C153" s="589"/>
      <c r="D153" s="567"/>
      <c r="E153" s="608"/>
      <c r="F153" s="567"/>
      <c r="G153" s="567"/>
    </row>
    <row r="154" customFormat="false" ht="15" hidden="false" customHeight="true" outlineLevel="0" collapsed="false">
      <c r="A154" s="556" t="s">
        <v>527</v>
      </c>
      <c r="B154" s="463"/>
      <c r="C154" s="589"/>
      <c r="D154" s="567"/>
      <c r="E154" s="608"/>
      <c r="F154" s="567"/>
      <c r="G154" s="567"/>
    </row>
    <row r="155" customFormat="false" ht="15" hidden="false" customHeight="false" outlineLevel="0" collapsed="false">
      <c r="A155" s="556" t="s">
        <v>528</v>
      </c>
      <c r="C155" s="589"/>
      <c r="D155" s="567"/>
      <c r="E155" s="608"/>
      <c r="F155" s="567"/>
      <c r="G155" s="567"/>
    </row>
    <row r="156" customFormat="false" ht="15" hidden="false" customHeight="false" outlineLevel="0" collapsed="false">
      <c r="A156" s="556" t="s">
        <v>529</v>
      </c>
      <c r="C156" s="589"/>
      <c r="D156" s="567"/>
      <c r="E156" s="608"/>
      <c r="F156" s="567"/>
      <c r="G156" s="567"/>
    </row>
  </sheetData>
  <mergeCells count="1">
    <mergeCell ref="A2:G2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9" activeCellId="0" sqref="F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9" width="2.28"/>
    <col collapsed="false" customWidth="true" hidden="false" outlineLevel="0" max="2" min="2" style="610" width="34.85"/>
    <col collapsed="false" customWidth="true" hidden="false" outlineLevel="0" max="3" min="3" style="609" width="1.99"/>
    <col collapsed="false" customWidth="true" hidden="false" outlineLevel="0" max="4" min="4" style="611" width="23.41"/>
    <col collapsed="false" customWidth="true" hidden="false" outlineLevel="0" max="5" min="5" style="609" width="1.99"/>
    <col collapsed="false" customWidth="true" hidden="false" outlineLevel="0" max="6" min="6" style="612" width="24.28"/>
    <col collapsed="false" customWidth="true" hidden="false" outlineLevel="0" max="7" min="7" style="609" width="1.99"/>
    <col collapsed="false" customWidth="true" hidden="false" outlineLevel="0" max="8" min="8" style="612" width="19.14"/>
    <col collapsed="false" customWidth="true" hidden="false" outlineLevel="0" max="9" min="9" style="609" width="1.99"/>
    <col collapsed="false" customWidth="true" hidden="false" outlineLevel="0" max="10" min="10" style="612" width="20.13"/>
    <col collapsed="false" customWidth="true" hidden="false" outlineLevel="0" max="11" min="11" style="609" width="2.28"/>
    <col collapsed="false" customWidth="false" hidden="false" outlineLevel="0" max="257" min="12" style="609" width="9.14"/>
  </cols>
  <sheetData>
    <row r="1" customFormat="false" ht="12.75" hidden="false" customHeight="true" outlineLevel="0" collapsed="false">
      <c r="B1" s="613"/>
      <c r="C1" s="614"/>
      <c r="D1" s="615"/>
      <c r="E1" s="614"/>
      <c r="F1" s="616"/>
      <c r="G1" s="614"/>
      <c r="H1" s="614"/>
      <c r="I1" s="614"/>
      <c r="J1" s="145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2"/>
      <c r="AG1" s="612"/>
      <c r="AH1" s="612"/>
      <c r="AI1" s="612"/>
      <c r="AJ1" s="612"/>
      <c r="AK1" s="612"/>
      <c r="AL1" s="612"/>
      <c r="AM1" s="612"/>
      <c r="AN1" s="612"/>
      <c r="AO1" s="612"/>
      <c r="AP1" s="612"/>
      <c r="AQ1" s="612"/>
      <c r="AR1" s="612"/>
      <c r="AS1" s="612"/>
      <c r="AT1" s="612"/>
      <c r="AU1" s="612"/>
      <c r="AV1" s="612"/>
      <c r="AW1" s="612"/>
      <c r="AX1" s="612"/>
      <c r="AY1" s="612"/>
      <c r="AZ1" s="612"/>
      <c r="BA1" s="612"/>
      <c r="BB1" s="612"/>
      <c r="BC1" s="612"/>
      <c r="BD1" s="612"/>
      <c r="BE1" s="612"/>
      <c r="BF1" s="612"/>
      <c r="BG1" s="612"/>
      <c r="BH1" s="612"/>
      <c r="BI1" s="612"/>
      <c r="BJ1" s="612"/>
      <c r="BK1" s="612"/>
      <c r="BL1" s="612"/>
      <c r="BM1" s="612"/>
      <c r="BN1" s="612"/>
      <c r="BO1" s="612"/>
      <c r="BP1" s="612"/>
      <c r="BQ1" s="612"/>
      <c r="BR1" s="612"/>
      <c r="BS1" s="612"/>
      <c r="BT1" s="612"/>
      <c r="BU1" s="612"/>
      <c r="BV1" s="612"/>
      <c r="BW1" s="612"/>
      <c r="BX1" s="612"/>
      <c r="BY1" s="612"/>
      <c r="BZ1" s="612"/>
      <c r="CA1" s="612"/>
      <c r="CB1" s="612"/>
      <c r="CC1" s="612"/>
      <c r="CD1" s="612"/>
      <c r="CE1" s="617"/>
      <c r="CF1" s="617"/>
      <c r="CG1" s="617"/>
      <c r="CH1" s="617"/>
      <c r="CI1" s="617"/>
      <c r="CJ1" s="617"/>
      <c r="CK1" s="617"/>
      <c r="CL1" s="617"/>
      <c r="CM1" s="617"/>
      <c r="CN1" s="617"/>
      <c r="CO1" s="617"/>
      <c r="CP1" s="617"/>
      <c r="CQ1" s="617"/>
      <c r="CR1" s="617"/>
      <c r="CS1" s="617"/>
      <c r="CT1" s="617"/>
      <c r="CU1" s="617"/>
      <c r="CV1" s="617"/>
      <c r="CW1" s="617"/>
      <c r="CX1" s="617"/>
      <c r="CY1" s="617"/>
      <c r="CZ1" s="617"/>
      <c r="DA1" s="617"/>
      <c r="DB1" s="617"/>
      <c r="DC1" s="617"/>
      <c r="DD1" s="617"/>
      <c r="DE1" s="617"/>
      <c r="DF1" s="617"/>
      <c r="DG1" s="617"/>
      <c r="DH1" s="617"/>
      <c r="DI1" s="617"/>
      <c r="DJ1" s="617"/>
      <c r="DK1" s="617"/>
      <c r="DL1" s="617"/>
      <c r="DM1" s="617"/>
      <c r="DN1" s="617"/>
      <c r="DO1" s="617"/>
      <c r="DP1" s="617"/>
      <c r="DQ1" s="617"/>
      <c r="DR1" s="617"/>
      <c r="DS1" s="617"/>
      <c r="DT1" s="617"/>
      <c r="DU1" s="617"/>
      <c r="DV1" s="617"/>
      <c r="DW1" s="617"/>
      <c r="DX1" s="617"/>
      <c r="DY1" s="617"/>
      <c r="DZ1" s="617"/>
      <c r="EA1" s="617"/>
      <c r="EB1" s="617"/>
      <c r="EC1" s="617"/>
      <c r="ED1" s="617"/>
      <c r="EE1" s="617"/>
      <c r="EF1" s="617"/>
      <c r="EG1" s="617"/>
      <c r="EH1" s="617"/>
      <c r="EI1" s="617"/>
      <c r="EJ1" s="617"/>
      <c r="EK1" s="617"/>
      <c r="EL1" s="617"/>
      <c r="EM1" s="617"/>
      <c r="EN1" s="617"/>
      <c r="EO1" s="617"/>
      <c r="EP1" s="617"/>
      <c r="EQ1" s="617"/>
      <c r="ER1" s="617"/>
      <c r="ES1" s="617"/>
      <c r="ET1" s="617"/>
      <c r="EU1" s="617"/>
      <c r="EV1" s="617"/>
      <c r="EW1" s="617"/>
      <c r="EX1" s="617"/>
      <c r="EY1" s="617"/>
      <c r="EZ1" s="617"/>
      <c r="FA1" s="617"/>
      <c r="FB1" s="617"/>
      <c r="FC1" s="617"/>
      <c r="FD1" s="617"/>
      <c r="FE1" s="617"/>
      <c r="FF1" s="617"/>
      <c r="FG1" s="617"/>
      <c r="FH1" s="617"/>
      <c r="FI1" s="617"/>
      <c r="FJ1" s="617"/>
      <c r="FK1" s="617"/>
      <c r="FL1" s="617"/>
      <c r="FM1" s="617"/>
      <c r="FN1" s="617"/>
      <c r="FO1" s="617"/>
      <c r="FP1" s="617"/>
      <c r="FQ1" s="617"/>
      <c r="FR1" s="617"/>
      <c r="FS1" s="617"/>
      <c r="FT1" s="617"/>
      <c r="FU1" s="617"/>
      <c r="FV1" s="617"/>
      <c r="FW1" s="617"/>
      <c r="FX1" s="617"/>
      <c r="FY1" s="617"/>
      <c r="FZ1" s="617"/>
      <c r="GA1" s="617"/>
      <c r="GB1" s="617"/>
      <c r="GC1" s="617"/>
      <c r="GD1" s="617"/>
      <c r="GE1" s="617"/>
      <c r="GF1" s="617"/>
      <c r="GG1" s="617"/>
      <c r="GH1" s="617"/>
      <c r="GI1" s="617"/>
      <c r="GJ1" s="617"/>
      <c r="GK1" s="617"/>
      <c r="GL1" s="617"/>
      <c r="GM1" s="617"/>
      <c r="GN1" s="617"/>
      <c r="GO1" s="617"/>
      <c r="GP1" s="617"/>
      <c r="GQ1" s="617"/>
      <c r="GR1" s="617"/>
      <c r="GS1" s="617"/>
      <c r="GT1" s="617"/>
      <c r="GU1" s="617"/>
      <c r="GV1" s="617"/>
      <c r="GW1" s="617"/>
      <c r="GX1" s="617"/>
      <c r="GY1" s="617"/>
      <c r="GZ1" s="617"/>
      <c r="HA1" s="617"/>
      <c r="HB1" s="617"/>
      <c r="HC1" s="617"/>
      <c r="HD1" s="617"/>
      <c r="HE1" s="617"/>
      <c r="HF1" s="617"/>
      <c r="HG1" s="617"/>
      <c r="HH1" s="617"/>
      <c r="HI1" s="617"/>
      <c r="HJ1" s="617"/>
      <c r="HK1" s="617"/>
      <c r="HL1" s="617"/>
      <c r="HM1" s="617"/>
      <c r="HN1" s="617"/>
      <c r="HO1" s="617"/>
      <c r="HP1" s="617"/>
      <c r="HQ1" s="617"/>
      <c r="HR1" s="617"/>
      <c r="HS1" s="617"/>
      <c r="HT1" s="617"/>
      <c r="HU1" s="617"/>
      <c r="HV1" s="617"/>
      <c r="HW1" s="617"/>
      <c r="HX1" s="617"/>
      <c r="HY1" s="617"/>
      <c r="HZ1" s="617"/>
      <c r="IA1" s="617"/>
      <c r="IB1" s="617"/>
      <c r="IC1" s="617"/>
      <c r="ID1" s="617"/>
      <c r="IE1" s="617"/>
      <c r="IF1" s="617"/>
      <c r="IG1" s="617"/>
      <c r="IH1" s="617"/>
      <c r="II1" s="617"/>
      <c r="IJ1" s="617"/>
      <c r="IK1" s="617"/>
      <c r="IL1" s="617"/>
      <c r="IM1" s="617"/>
      <c r="IN1" s="617"/>
      <c r="IO1" s="617"/>
      <c r="IP1" s="617"/>
      <c r="IQ1" s="617"/>
      <c r="IR1" s="617"/>
      <c r="IS1" s="617"/>
      <c r="IT1" s="617"/>
      <c r="IU1" s="617"/>
      <c r="IV1" s="617"/>
      <c r="IW1" s="617"/>
    </row>
    <row r="2" customFormat="false" ht="18.75" hidden="false" customHeight="true" outlineLevel="0" collapsed="false">
      <c r="A2" s="618" t="s">
        <v>530</v>
      </c>
      <c r="B2" s="618"/>
      <c r="C2" s="618"/>
      <c r="D2" s="618"/>
      <c r="E2" s="618"/>
      <c r="F2" s="618"/>
      <c r="G2" s="618"/>
      <c r="H2" s="618"/>
      <c r="I2" s="618"/>
      <c r="J2" s="618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612"/>
      <c r="AF2" s="612"/>
      <c r="AG2" s="612"/>
      <c r="AH2" s="612"/>
      <c r="AI2" s="612"/>
      <c r="AJ2" s="612"/>
      <c r="AK2" s="612"/>
      <c r="AL2" s="612"/>
      <c r="AM2" s="612"/>
      <c r="AN2" s="612"/>
      <c r="AO2" s="612"/>
      <c r="AP2" s="612"/>
      <c r="AQ2" s="612"/>
      <c r="AR2" s="612"/>
      <c r="AS2" s="612"/>
      <c r="AT2" s="612"/>
      <c r="AU2" s="612"/>
      <c r="AV2" s="612"/>
      <c r="AW2" s="612"/>
      <c r="AX2" s="612"/>
      <c r="AY2" s="612"/>
      <c r="AZ2" s="612"/>
      <c r="BA2" s="612"/>
      <c r="BB2" s="612"/>
      <c r="BC2" s="612"/>
      <c r="BD2" s="612"/>
      <c r="BE2" s="612"/>
      <c r="BF2" s="612"/>
      <c r="BG2" s="612"/>
      <c r="BH2" s="612"/>
      <c r="BI2" s="612"/>
      <c r="BJ2" s="612"/>
      <c r="BK2" s="612"/>
      <c r="BL2" s="612"/>
      <c r="BM2" s="612"/>
      <c r="BN2" s="612"/>
      <c r="BO2" s="612"/>
      <c r="BP2" s="612"/>
      <c r="BQ2" s="612"/>
      <c r="BR2" s="612"/>
      <c r="BS2" s="612"/>
      <c r="BT2" s="612"/>
      <c r="BU2" s="612"/>
      <c r="BV2" s="612"/>
      <c r="BW2" s="612"/>
      <c r="BX2" s="612"/>
      <c r="BY2" s="612"/>
      <c r="BZ2" s="612"/>
      <c r="CA2" s="612"/>
      <c r="CB2" s="612"/>
      <c r="CC2" s="612"/>
      <c r="CD2" s="612"/>
      <c r="CE2" s="612"/>
      <c r="CF2" s="612"/>
      <c r="CG2" s="612"/>
      <c r="CH2" s="612"/>
      <c r="CI2" s="612"/>
      <c r="CJ2" s="612"/>
      <c r="CK2" s="612"/>
      <c r="CL2" s="612"/>
      <c r="CM2" s="612"/>
      <c r="CN2" s="612"/>
      <c r="CO2" s="612"/>
      <c r="CP2" s="612"/>
      <c r="CQ2" s="612"/>
      <c r="CR2" s="612"/>
      <c r="CS2" s="612"/>
      <c r="CT2" s="612"/>
      <c r="CU2" s="612"/>
      <c r="CV2" s="612"/>
      <c r="CW2" s="612"/>
      <c r="CX2" s="612"/>
      <c r="CY2" s="612"/>
      <c r="CZ2" s="612"/>
      <c r="DA2" s="612"/>
      <c r="DB2" s="612"/>
      <c r="DC2" s="612"/>
      <c r="DD2" s="612"/>
      <c r="DE2" s="612"/>
      <c r="DF2" s="612"/>
      <c r="DG2" s="612"/>
      <c r="DH2" s="612"/>
      <c r="DI2" s="612"/>
      <c r="DJ2" s="612"/>
      <c r="DK2" s="612"/>
      <c r="DL2" s="612"/>
      <c r="DM2" s="612"/>
      <c r="DN2" s="612"/>
      <c r="DO2" s="612"/>
      <c r="DP2" s="612"/>
      <c r="DQ2" s="612"/>
      <c r="DR2" s="612"/>
      <c r="DS2" s="612"/>
      <c r="DT2" s="612"/>
      <c r="DU2" s="612"/>
      <c r="DV2" s="612"/>
      <c r="DW2" s="612"/>
      <c r="DX2" s="612"/>
      <c r="DY2" s="612"/>
      <c r="DZ2" s="612"/>
      <c r="EA2" s="612"/>
      <c r="EB2" s="612"/>
      <c r="EC2" s="612"/>
      <c r="ED2" s="612"/>
      <c r="EE2" s="612"/>
      <c r="EF2" s="612"/>
      <c r="EG2" s="612"/>
      <c r="EH2" s="612"/>
      <c r="EI2" s="612"/>
      <c r="EJ2" s="612"/>
      <c r="EK2" s="612"/>
      <c r="EL2" s="612"/>
      <c r="EM2" s="612"/>
      <c r="EN2" s="612"/>
      <c r="EO2" s="612"/>
      <c r="EP2" s="612"/>
      <c r="EQ2" s="612"/>
      <c r="ER2" s="612"/>
      <c r="ES2" s="612"/>
      <c r="ET2" s="612"/>
      <c r="EU2" s="612"/>
      <c r="EV2" s="612"/>
      <c r="EW2" s="612"/>
      <c r="EX2" s="612"/>
      <c r="EY2" s="612"/>
      <c r="EZ2" s="612"/>
      <c r="FA2" s="612"/>
      <c r="FB2" s="612"/>
      <c r="FC2" s="612"/>
      <c r="FD2" s="612"/>
      <c r="FE2" s="612"/>
      <c r="FF2" s="612"/>
      <c r="FG2" s="612"/>
      <c r="FH2" s="612"/>
      <c r="FI2" s="612"/>
      <c r="FJ2" s="612"/>
      <c r="FK2" s="612"/>
      <c r="FL2" s="612"/>
      <c r="FM2" s="612"/>
      <c r="FN2" s="612"/>
      <c r="FO2" s="612"/>
      <c r="FP2" s="612"/>
      <c r="FQ2" s="612"/>
      <c r="FR2" s="612"/>
      <c r="FS2" s="612"/>
      <c r="FT2" s="612"/>
      <c r="FU2" s="612"/>
      <c r="FV2" s="612"/>
      <c r="FW2" s="612"/>
      <c r="FX2" s="612"/>
      <c r="FY2" s="612"/>
      <c r="FZ2" s="612"/>
      <c r="GA2" s="612"/>
      <c r="GB2" s="612"/>
      <c r="GC2" s="612"/>
      <c r="GD2" s="612"/>
      <c r="GE2" s="612"/>
      <c r="GF2" s="612"/>
      <c r="GG2" s="612"/>
      <c r="GH2" s="612"/>
      <c r="GI2" s="612"/>
      <c r="GJ2" s="612"/>
      <c r="GK2" s="612"/>
      <c r="GL2" s="612"/>
      <c r="GM2" s="612"/>
      <c r="GN2" s="612"/>
      <c r="GO2" s="612"/>
      <c r="GP2" s="612"/>
      <c r="GQ2" s="612"/>
      <c r="GR2" s="612"/>
      <c r="GS2" s="612"/>
      <c r="GT2" s="612"/>
      <c r="GU2" s="612"/>
      <c r="GV2" s="612"/>
      <c r="GW2" s="612"/>
      <c r="GX2" s="612"/>
      <c r="GY2" s="612"/>
      <c r="GZ2" s="612"/>
      <c r="HA2" s="612"/>
      <c r="HB2" s="612"/>
      <c r="HC2" s="612"/>
      <c r="HD2" s="612"/>
      <c r="HE2" s="612"/>
      <c r="HF2" s="612"/>
      <c r="HG2" s="612"/>
      <c r="HH2" s="612"/>
      <c r="HI2" s="612"/>
      <c r="HJ2" s="612"/>
      <c r="HK2" s="612"/>
      <c r="HL2" s="612"/>
      <c r="HM2" s="612"/>
      <c r="HN2" s="612"/>
      <c r="HO2" s="612"/>
      <c r="HP2" s="612"/>
      <c r="HQ2" s="612"/>
      <c r="HR2" s="612"/>
      <c r="HS2" s="612"/>
      <c r="HT2" s="612"/>
      <c r="HU2" s="612"/>
      <c r="HV2" s="612"/>
      <c r="HW2" s="612"/>
      <c r="HX2" s="612"/>
      <c r="HY2" s="612"/>
      <c r="HZ2" s="612"/>
      <c r="IA2" s="612"/>
      <c r="IB2" s="612"/>
      <c r="IC2" s="612"/>
      <c r="ID2" s="612"/>
      <c r="IE2" s="612"/>
      <c r="IF2" s="612"/>
      <c r="IG2" s="612"/>
      <c r="IH2" s="612"/>
      <c r="II2" s="612"/>
      <c r="IJ2" s="612"/>
      <c r="IK2" s="612"/>
      <c r="IL2" s="612"/>
      <c r="IM2" s="612"/>
      <c r="IN2" s="612"/>
      <c r="IO2" s="612"/>
      <c r="IP2" s="612"/>
      <c r="IQ2" s="612"/>
      <c r="IR2" s="612"/>
      <c r="IS2" s="612"/>
      <c r="IT2" s="612"/>
      <c r="IU2" s="612"/>
      <c r="IV2" s="612"/>
      <c r="IW2" s="612"/>
    </row>
    <row r="3" customFormat="false" ht="12.75" hidden="false" customHeight="false" outlineLevel="0" collapsed="false">
      <c r="M3" s="619"/>
    </row>
    <row r="4" customFormat="false" ht="12.75" hidden="false" customHeight="false" outlineLevel="0" collapsed="false">
      <c r="B4" s="620" t="s">
        <v>531</v>
      </c>
      <c r="C4" s="621"/>
      <c r="D4" s="622" t="s">
        <v>398</v>
      </c>
      <c r="E4" s="621"/>
      <c r="F4" s="623" t="s">
        <v>532</v>
      </c>
      <c r="G4" s="624"/>
      <c r="H4" s="623" t="s">
        <v>533</v>
      </c>
      <c r="I4" s="624"/>
      <c r="J4" s="623" t="s">
        <v>534</v>
      </c>
      <c r="M4" s="619"/>
    </row>
    <row r="5" customFormat="false" ht="28.5" hidden="false" customHeight="true" outlineLevel="0" collapsed="false">
      <c r="B5" s="625" t="s">
        <v>535</v>
      </c>
      <c r="C5" s="626"/>
      <c r="D5" s="626"/>
      <c r="F5" s="627" t="s">
        <v>536</v>
      </c>
      <c r="G5" s="628"/>
      <c r="H5" s="629" t="s">
        <v>537</v>
      </c>
      <c r="I5" s="630"/>
      <c r="J5" s="631" t="s">
        <v>538</v>
      </c>
      <c r="M5" s="619"/>
    </row>
    <row r="6" customFormat="false" ht="12.75" hidden="false" customHeight="false" outlineLevel="0" collapsed="false">
      <c r="B6" s="632"/>
      <c r="C6" s="633"/>
      <c r="D6" s="626"/>
      <c r="F6" s="634"/>
      <c r="G6" s="635"/>
      <c r="H6" s="634"/>
      <c r="I6" s="635"/>
      <c r="J6" s="634"/>
    </row>
    <row r="7" customFormat="false" ht="12.75" hidden="false" customHeight="false" outlineLevel="0" collapsed="false">
      <c r="B7" s="610" t="s">
        <v>539</v>
      </c>
      <c r="C7" s="636"/>
      <c r="D7" s="637"/>
      <c r="E7" s="636"/>
      <c r="F7" s="638" t="n">
        <f aca="false">F13/F8</f>
        <v>0</v>
      </c>
      <c r="G7" s="619"/>
      <c r="H7" s="638" t="n">
        <f aca="false">H13/H8</f>
        <v>0</v>
      </c>
      <c r="I7" s="619"/>
      <c r="J7" s="638" t="n">
        <f aca="false">J13/J8</f>
        <v>0</v>
      </c>
    </row>
    <row r="8" customFormat="false" ht="12.75" hidden="false" customHeight="false" outlineLevel="0" collapsed="false">
      <c r="B8" s="610" t="s">
        <v>540</v>
      </c>
      <c r="C8" s="633"/>
      <c r="D8" s="626"/>
      <c r="F8" s="639" t="n">
        <f aca="false">Inc!D15</f>
        <v>11914000000</v>
      </c>
      <c r="G8" s="639"/>
      <c r="H8" s="639" t="n">
        <f aca="false">F8</f>
        <v>11914000000</v>
      </c>
      <c r="I8" s="639"/>
      <c r="J8" s="639" t="n">
        <f aca="false">H8</f>
        <v>11914000000</v>
      </c>
      <c r="K8" s="609" t="s">
        <v>541</v>
      </c>
    </row>
    <row r="9" customFormat="false" ht="12.75" hidden="false" customHeight="false" outlineLevel="0" collapsed="false">
      <c r="B9" s="610" t="s">
        <v>403</v>
      </c>
      <c r="C9" s="633"/>
      <c r="D9" s="626"/>
      <c r="F9" s="639"/>
      <c r="G9" s="639"/>
      <c r="H9" s="639" t="n">
        <f aca="false">F9</f>
        <v>0</v>
      </c>
      <c r="I9" s="639"/>
      <c r="J9" s="639" t="n">
        <f aca="false">H9</f>
        <v>0</v>
      </c>
      <c r="K9" s="609" t="s">
        <v>541</v>
      </c>
    </row>
    <row r="10" customFormat="false" ht="12.75" hidden="false" customHeight="false" outlineLevel="0" collapsed="false">
      <c r="B10" s="610" t="s">
        <v>404</v>
      </c>
      <c r="C10" s="633"/>
      <c r="D10" s="626"/>
      <c r="F10" s="639"/>
      <c r="G10" s="639"/>
      <c r="H10" s="639" t="n">
        <f aca="false">F10</f>
        <v>0</v>
      </c>
      <c r="I10" s="639"/>
      <c r="J10" s="639" t="n">
        <f aca="false">H10</f>
        <v>0</v>
      </c>
      <c r="K10" s="609" t="s">
        <v>541</v>
      </c>
    </row>
    <row r="11" customFormat="false" ht="12.75" hidden="false" customHeight="false" outlineLevel="0" collapsed="false">
      <c r="B11" s="610" t="s">
        <v>405</v>
      </c>
      <c r="C11" s="633"/>
      <c r="D11" s="626"/>
      <c r="F11" s="639"/>
      <c r="G11" s="639"/>
      <c r="H11" s="639" t="n">
        <f aca="false">F11</f>
        <v>0</v>
      </c>
      <c r="I11" s="639"/>
      <c r="J11" s="639" t="n">
        <f aca="false">H11</f>
        <v>0</v>
      </c>
      <c r="K11" s="609" t="s">
        <v>541</v>
      </c>
    </row>
    <row r="12" customFormat="false" ht="12.75" hidden="false" customHeight="false" outlineLevel="0" collapsed="false">
      <c r="B12" s="610" t="s">
        <v>542</v>
      </c>
      <c r="C12" s="633"/>
      <c r="D12" s="626"/>
      <c r="F12" s="639" t="n">
        <f aca="false">Inc!D17</f>
        <v>0</v>
      </c>
      <c r="G12" s="639"/>
      <c r="H12" s="639" t="n">
        <f aca="false">F12</f>
        <v>0</v>
      </c>
      <c r="I12" s="639"/>
      <c r="J12" s="639" t="n">
        <f aca="false">H12</f>
        <v>0</v>
      </c>
    </row>
    <row r="13" customFormat="false" ht="12.75" hidden="false" customHeight="false" outlineLevel="0" collapsed="false">
      <c r="B13" s="610" t="s">
        <v>406</v>
      </c>
      <c r="C13" s="633"/>
      <c r="D13" s="626"/>
      <c r="F13" s="639" t="n">
        <f aca="false">SUM(F9:F12)</f>
        <v>0</v>
      </c>
      <c r="G13" s="639"/>
      <c r="H13" s="639" t="n">
        <f aca="false">SUM(H9:H12)</f>
        <v>0</v>
      </c>
      <c r="I13" s="639"/>
      <c r="J13" s="639" t="n">
        <f aca="false">SUM(J9:J12)</f>
        <v>0</v>
      </c>
    </row>
    <row r="14" customFormat="false" ht="25.5" hidden="false" customHeight="false" outlineLevel="0" collapsed="false">
      <c r="B14" s="613" t="s">
        <v>543</v>
      </c>
      <c r="C14" s="636"/>
      <c r="D14" s="637"/>
      <c r="F14" s="203" t="n">
        <v>0</v>
      </c>
      <c r="G14" s="619"/>
      <c r="H14" s="203" t="n">
        <f aca="false">F14</f>
        <v>0</v>
      </c>
      <c r="I14" s="619"/>
      <c r="J14" s="203" t="n">
        <f aca="false">H14</f>
        <v>0</v>
      </c>
    </row>
    <row r="15" customFormat="false" ht="12.75" hidden="false" customHeight="false" outlineLevel="0" collapsed="false">
      <c r="B15" s="610" t="s">
        <v>454</v>
      </c>
      <c r="C15" s="633"/>
      <c r="D15" s="626"/>
      <c r="F15" s="640" t="n">
        <v>0</v>
      </c>
      <c r="G15" s="641"/>
      <c r="H15" s="640" t="n">
        <f aca="false">F15</f>
        <v>0</v>
      </c>
      <c r="I15" s="641"/>
      <c r="J15" s="640" t="n">
        <f aca="false">H15</f>
        <v>0</v>
      </c>
    </row>
    <row r="16" customFormat="false" ht="25.5" hidden="false" customHeight="false" outlineLevel="0" collapsed="false">
      <c r="B16" s="610" t="s">
        <v>544</v>
      </c>
      <c r="C16" s="633"/>
      <c r="D16" s="626"/>
      <c r="F16" s="640" t="n">
        <v>0</v>
      </c>
      <c r="G16" s="641"/>
      <c r="H16" s="640" t="n">
        <f aca="false">F16</f>
        <v>0</v>
      </c>
      <c r="I16" s="641"/>
      <c r="J16" s="640" t="n">
        <f aca="false">H16</f>
        <v>0</v>
      </c>
    </row>
    <row r="17" customFormat="false" ht="25.5" hidden="false" customHeight="false" outlineLevel="0" collapsed="false">
      <c r="B17" s="610" t="s">
        <v>545</v>
      </c>
      <c r="C17" s="633"/>
      <c r="D17" s="626"/>
      <c r="F17" s="642" t="n">
        <v>0</v>
      </c>
      <c r="G17" s="643"/>
      <c r="H17" s="642" t="n">
        <f aca="false">F17</f>
        <v>0</v>
      </c>
      <c r="I17" s="643"/>
      <c r="J17" s="642" t="n">
        <f aca="false">H17</f>
        <v>0</v>
      </c>
    </row>
    <row r="18" customFormat="false" ht="12" hidden="false" customHeight="true" outlineLevel="0" collapsed="false">
      <c r="B18" s="610" t="s">
        <v>546</v>
      </c>
      <c r="C18" s="636"/>
      <c r="E18" s="636"/>
      <c r="F18" s="644" t="n">
        <v>0</v>
      </c>
      <c r="G18" s="619"/>
      <c r="H18" s="644" t="n">
        <f aca="false">F18</f>
        <v>0</v>
      </c>
      <c r="I18" s="619"/>
      <c r="J18" s="644" t="n">
        <f aca="false">H18</f>
        <v>0</v>
      </c>
    </row>
    <row r="19" customFormat="false" ht="12.75" hidden="false" customHeight="false" outlineLevel="0" collapsed="false">
      <c r="B19" s="610" t="s">
        <v>473</v>
      </c>
      <c r="C19" s="633"/>
      <c r="D19" s="626"/>
      <c r="F19" s="645" t="n">
        <v>0</v>
      </c>
      <c r="G19" s="641"/>
      <c r="H19" s="645" t="n">
        <f aca="false">F19</f>
        <v>0</v>
      </c>
      <c r="I19" s="641"/>
      <c r="J19" s="645" t="n">
        <f aca="false">H19</f>
        <v>0</v>
      </c>
    </row>
    <row r="20" customFormat="false" ht="12.75" hidden="false" customHeight="false" outlineLevel="0" collapsed="false">
      <c r="B20" s="610" t="s">
        <v>474</v>
      </c>
      <c r="C20" s="633"/>
      <c r="D20" s="626"/>
      <c r="F20" s="646" t="n">
        <v>0</v>
      </c>
      <c r="G20" s="641"/>
      <c r="H20" s="646" t="n">
        <f aca="false">F20</f>
        <v>0</v>
      </c>
      <c r="I20" s="641"/>
      <c r="J20" s="646" t="n">
        <f aca="false">H20</f>
        <v>0</v>
      </c>
    </row>
    <row r="21" customFormat="false" ht="12.75" hidden="false" customHeight="false" outlineLevel="0" collapsed="false">
      <c r="B21" s="613" t="s">
        <v>475</v>
      </c>
      <c r="C21" s="636"/>
      <c r="D21" s="637"/>
      <c r="E21" s="636"/>
      <c r="F21" s="646" t="n">
        <v>0</v>
      </c>
      <c r="G21" s="641"/>
      <c r="H21" s="646" t="n">
        <f aca="false">F21</f>
        <v>0</v>
      </c>
      <c r="I21" s="641"/>
      <c r="J21" s="646" t="n">
        <f aca="false">H21</f>
        <v>0</v>
      </c>
    </row>
    <row r="22" customFormat="false" ht="12.75" hidden="false" customHeight="false" outlineLevel="0" collapsed="false">
      <c r="B22" s="610" t="s">
        <v>476</v>
      </c>
      <c r="C22" s="633"/>
      <c r="D22" s="626"/>
      <c r="F22" s="640" t="n">
        <v>0</v>
      </c>
      <c r="G22" s="641"/>
      <c r="H22" s="640" t="n">
        <f aca="false">F22</f>
        <v>0</v>
      </c>
      <c r="I22" s="641"/>
      <c r="J22" s="640" t="n">
        <f aca="false">H22</f>
        <v>0</v>
      </c>
    </row>
    <row r="23" customFormat="false" ht="25.5" hidden="false" customHeight="false" outlineLevel="0" collapsed="false">
      <c r="B23" s="610" t="s">
        <v>477</v>
      </c>
      <c r="C23" s="636"/>
      <c r="E23" s="636"/>
      <c r="F23" s="203" t="n">
        <v>0</v>
      </c>
      <c r="G23" s="619"/>
      <c r="H23" s="203" t="n">
        <f aca="false">F23</f>
        <v>0</v>
      </c>
      <c r="I23" s="619"/>
      <c r="J23" s="203" t="n">
        <f aca="false">H23</f>
        <v>0</v>
      </c>
    </row>
    <row r="24" customFormat="false" ht="12.75" hidden="false" customHeight="false" outlineLevel="0" collapsed="false">
      <c r="B24" s="610" t="s">
        <v>547</v>
      </c>
      <c r="F24" s="152" t="n">
        <f aca="false">BS!B17</f>
        <v>360000000</v>
      </c>
      <c r="G24" s="647"/>
      <c r="H24" s="152" t="n">
        <f aca="false">F24</f>
        <v>360000000</v>
      </c>
      <c r="I24" s="647"/>
      <c r="J24" s="152" t="n">
        <f aca="false">H24</f>
        <v>360000000</v>
      </c>
    </row>
    <row r="25" customFormat="false" ht="12.75" hidden="false" customHeight="false" outlineLevel="0" collapsed="false">
      <c r="B25" s="610" t="s">
        <v>548</v>
      </c>
      <c r="F25" s="203" t="n">
        <v>0.325</v>
      </c>
      <c r="G25" s="619"/>
      <c r="H25" s="203" t="n">
        <f aca="false">F25</f>
        <v>0.325</v>
      </c>
      <c r="I25" s="619"/>
      <c r="J25" s="203" t="n">
        <f aca="false">H25</f>
        <v>0.325</v>
      </c>
    </row>
    <row r="26" customFormat="false" ht="25.5" hidden="false" customHeight="false" outlineLevel="0" collapsed="false">
      <c r="B26" s="648" t="s">
        <v>549</v>
      </c>
      <c r="F26" s="649" t="n">
        <v>0</v>
      </c>
      <c r="G26" s="619"/>
      <c r="H26" s="649" t="n">
        <f aca="false">F26</f>
        <v>0</v>
      </c>
      <c r="I26" s="649"/>
      <c r="J26" s="649" t="n">
        <f aca="false">H26</f>
        <v>0</v>
      </c>
    </row>
    <row r="27" customFormat="false" ht="13.5" hidden="false" customHeight="true" outlineLevel="0" collapsed="false">
      <c r="B27" s="610" t="s">
        <v>550</v>
      </c>
      <c r="F27" s="51" t="n">
        <v>0</v>
      </c>
      <c r="G27" s="619"/>
      <c r="H27" s="51" t="n">
        <f aca="false">F27</f>
        <v>0</v>
      </c>
      <c r="I27" s="619"/>
      <c r="J27" s="51" t="n">
        <f aca="false">H27</f>
        <v>0</v>
      </c>
    </row>
    <row r="28" customFormat="false" ht="12.75" hidden="false" customHeight="false" outlineLevel="0" collapsed="false">
      <c r="B28" s="610" t="s">
        <v>551</v>
      </c>
      <c r="C28" s="633"/>
      <c r="D28" s="626"/>
      <c r="F28" s="51" t="n">
        <v>0</v>
      </c>
      <c r="G28" s="639"/>
      <c r="H28" s="51" t="n">
        <f aca="false">F28</f>
        <v>0</v>
      </c>
      <c r="I28" s="619"/>
      <c r="J28" s="51" t="n">
        <f aca="false">H28</f>
        <v>0</v>
      </c>
    </row>
    <row r="29" customFormat="false" ht="12.75" hidden="false" customHeight="false" outlineLevel="0" collapsed="false">
      <c r="B29" s="610" t="s">
        <v>478</v>
      </c>
      <c r="C29" s="636"/>
      <c r="E29" s="636"/>
      <c r="F29" s="638" t="n">
        <v>0</v>
      </c>
      <c r="G29" s="649"/>
      <c r="H29" s="51" t="n">
        <f aca="false">F29</f>
        <v>0</v>
      </c>
      <c r="I29" s="619"/>
      <c r="J29" s="51" t="n">
        <f aca="false">H29</f>
        <v>0</v>
      </c>
    </row>
    <row r="30" customFormat="false" ht="12.75" hidden="false" customHeight="false" outlineLevel="0" collapsed="false">
      <c r="B30" s="610" t="s">
        <v>479</v>
      </c>
      <c r="F30" s="650"/>
      <c r="G30" s="647"/>
      <c r="H30" s="650" t="n">
        <f aca="false">F30</f>
        <v>0</v>
      </c>
      <c r="I30" s="647"/>
      <c r="J30" s="650" t="n">
        <f aca="false">H30</f>
        <v>0</v>
      </c>
    </row>
    <row r="31" customFormat="false" ht="12.75" hidden="false" customHeight="false" outlineLevel="0" collapsed="false">
      <c r="B31" s="610" t="s">
        <v>480</v>
      </c>
      <c r="F31" s="650"/>
      <c r="G31" s="647"/>
      <c r="H31" s="650" t="n">
        <f aca="false">F31</f>
        <v>0</v>
      </c>
      <c r="I31" s="647"/>
      <c r="J31" s="650" t="n">
        <f aca="false">H31</f>
        <v>0</v>
      </c>
    </row>
    <row r="32" customFormat="false" ht="12.75" hidden="false" customHeight="false" outlineLevel="0" collapsed="false">
      <c r="B32" s="610" t="s">
        <v>552</v>
      </c>
      <c r="F32" s="152"/>
      <c r="G32" s="647"/>
      <c r="H32" s="650" t="n">
        <f aca="false">F32</f>
        <v>0</v>
      </c>
      <c r="I32" s="647"/>
      <c r="J32" s="650" t="n">
        <f aca="false">H32</f>
        <v>0</v>
      </c>
    </row>
    <row r="33" customFormat="false" ht="12.75" hidden="false" customHeight="false" outlineLevel="0" collapsed="false">
      <c r="B33" s="610" t="s">
        <v>553</v>
      </c>
      <c r="F33" s="651" t="n">
        <v>100000</v>
      </c>
      <c r="G33" s="647"/>
      <c r="H33" s="651" t="n">
        <f aca="false">F33</f>
        <v>100000</v>
      </c>
      <c r="I33" s="647"/>
      <c r="J33" s="651" t="n">
        <f aca="false">H33</f>
        <v>100000</v>
      </c>
    </row>
    <row r="34" customFormat="false" ht="25.5" hidden="false" customHeight="true" outlineLevel="0" collapsed="false">
      <c r="B34" s="610" t="s">
        <v>460</v>
      </c>
      <c r="C34" s="633"/>
      <c r="D34" s="626"/>
      <c r="F34" s="640" t="n">
        <v>0</v>
      </c>
      <c r="G34" s="641"/>
      <c r="H34" s="640" t="n">
        <f aca="false">F34</f>
        <v>0</v>
      </c>
      <c r="I34" s="641"/>
      <c r="J34" s="640" t="n">
        <f aca="false">H34</f>
        <v>0</v>
      </c>
    </row>
    <row r="35" customFormat="false" ht="38.25" hidden="false" customHeight="false" outlineLevel="0" collapsed="false">
      <c r="B35" s="610" t="s">
        <v>481</v>
      </c>
      <c r="C35" s="636"/>
      <c r="D35" s="637"/>
      <c r="E35" s="636"/>
      <c r="F35" s="640" t="n">
        <v>0</v>
      </c>
      <c r="G35" s="641"/>
      <c r="H35" s="640" t="n">
        <f aca="false">F35</f>
        <v>0</v>
      </c>
      <c r="I35" s="641"/>
      <c r="J35" s="640" t="n">
        <f aca="false">H35</f>
        <v>0</v>
      </c>
    </row>
    <row r="36" customFormat="false" ht="25.5" hidden="false" customHeight="false" outlineLevel="0" collapsed="false">
      <c r="B36" s="610" t="s">
        <v>482</v>
      </c>
      <c r="F36" s="152" t="n">
        <v>0</v>
      </c>
      <c r="G36" s="647"/>
      <c r="H36" s="152" t="n">
        <f aca="false">F36</f>
        <v>0</v>
      </c>
      <c r="I36" s="647"/>
      <c r="J36" s="152" t="n">
        <f aca="false">H36</f>
        <v>0</v>
      </c>
    </row>
    <row r="37" customFormat="false" ht="25.5" hidden="false" customHeight="false" outlineLevel="0" collapsed="false">
      <c r="B37" s="610" t="s">
        <v>483</v>
      </c>
      <c r="C37" s="636"/>
      <c r="D37" s="637"/>
      <c r="E37" s="636"/>
      <c r="F37" s="152" t="n">
        <v>0</v>
      </c>
      <c r="G37" s="647"/>
      <c r="H37" s="152" t="n">
        <f aca="false">F37</f>
        <v>0</v>
      </c>
      <c r="I37" s="647"/>
      <c r="J37" s="152" t="n">
        <f aca="false">H37</f>
        <v>0</v>
      </c>
    </row>
    <row r="38" customFormat="false" ht="25.5" hidden="false" customHeight="false" outlineLevel="0" collapsed="false">
      <c r="B38" s="610" t="s">
        <v>485</v>
      </c>
      <c r="C38" s="636"/>
      <c r="E38" s="636"/>
      <c r="F38" s="644" t="n">
        <v>0</v>
      </c>
      <c r="G38" s="619"/>
      <c r="H38" s="644" t="n">
        <f aca="false">F38</f>
        <v>0</v>
      </c>
      <c r="I38" s="619"/>
      <c r="J38" s="644" t="n">
        <f aca="false">H38</f>
        <v>0</v>
      </c>
    </row>
    <row r="39" customFormat="false" ht="12.75" hidden="false" customHeight="false" outlineLevel="0" collapsed="false">
      <c r="B39" s="613" t="s">
        <v>442</v>
      </c>
      <c r="C39" s="636"/>
      <c r="E39" s="636"/>
      <c r="F39" s="652" t="n">
        <v>0.1</v>
      </c>
      <c r="G39" s="653"/>
      <c r="H39" s="652" t="n">
        <f aca="false">F39</f>
        <v>0.1</v>
      </c>
      <c r="I39" s="653"/>
      <c r="J39" s="652" t="n">
        <f aca="false">H39</f>
        <v>0.1</v>
      </c>
    </row>
    <row r="40" customFormat="false" ht="12.75" hidden="false" customHeight="false" outlineLevel="0" collapsed="false">
      <c r="B40" s="610" t="s">
        <v>486</v>
      </c>
      <c r="C40" s="636"/>
      <c r="E40" s="636"/>
      <c r="F40" s="644" t="n">
        <v>0</v>
      </c>
      <c r="G40" s="619"/>
      <c r="H40" s="644" t="n">
        <f aca="false">F40</f>
        <v>0</v>
      </c>
      <c r="I40" s="619"/>
      <c r="J40" s="644" t="n">
        <f aca="false">H40</f>
        <v>0</v>
      </c>
    </row>
    <row r="41" customFormat="false" ht="12.75" hidden="false" customHeight="false" outlineLevel="0" collapsed="false">
      <c r="B41" s="610" t="s">
        <v>487</v>
      </c>
      <c r="C41" s="636"/>
      <c r="E41" s="636"/>
      <c r="F41" s="152" t="n">
        <v>0</v>
      </c>
      <c r="G41" s="647"/>
      <c r="H41" s="152" t="n">
        <f aca="false">F41</f>
        <v>0</v>
      </c>
      <c r="I41" s="647"/>
      <c r="J41" s="152" t="n">
        <f aca="false">H41</f>
        <v>0</v>
      </c>
    </row>
    <row r="42" customFormat="false" ht="26.25" hidden="false" customHeight="true" outlineLevel="0" collapsed="false">
      <c r="B42" s="613" t="s">
        <v>488</v>
      </c>
      <c r="C42" s="636"/>
      <c r="E42" s="636"/>
      <c r="F42" s="638" t="n">
        <v>0</v>
      </c>
      <c r="G42" s="619"/>
      <c r="H42" s="638" t="n">
        <f aca="false">F42</f>
        <v>0</v>
      </c>
      <c r="I42" s="619"/>
      <c r="J42" s="638" t="n">
        <f aca="false">H42</f>
        <v>0</v>
      </c>
    </row>
    <row r="43" customFormat="false" ht="12.75" hidden="false" customHeight="false" outlineLevel="0" collapsed="false">
      <c r="B43" s="610" t="s">
        <v>489</v>
      </c>
      <c r="F43" s="638" t="n">
        <v>0</v>
      </c>
      <c r="G43" s="619"/>
      <c r="H43" s="638" t="n">
        <f aca="false">F43</f>
        <v>0</v>
      </c>
      <c r="I43" s="619"/>
      <c r="J43" s="638" t="n">
        <f aca="false">H43</f>
        <v>0</v>
      </c>
    </row>
    <row r="44" customFormat="false" ht="12.75" hidden="false" customHeight="false" outlineLevel="0" collapsed="false">
      <c r="B44" s="613" t="s">
        <v>554</v>
      </c>
      <c r="C44" s="636"/>
      <c r="E44" s="636"/>
      <c r="F44" s="152" t="n">
        <v>155000</v>
      </c>
      <c r="G44" s="647"/>
      <c r="H44" s="152" t="n">
        <f aca="false">F44</f>
        <v>155000</v>
      </c>
      <c r="I44" s="647"/>
      <c r="J44" s="152" t="n">
        <f aca="false">H44</f>
        <v>155000</v>
      </c>
    </row>
    <row r="45" customFormat="false" ht="12.75" hidden="false" customHeight="false" outlineLevel="0" collapsed="false">
      <c r="B45" s="613" t="s">
        <v>234</v>
      </c>
      <c r="C45" s="636"/>
      <c r="E45" s="636"/>
      <c r="F45" s="152" t="n">
        <f aca="false">BS!B10</f>
        <v>597000000</v>
      </c>
      <c r="G45" s="647"/>
      <c r="H45" s="152" t="n">
        <f aca="false">F45</f>
        <v>597000000</v>
      </c>
      <c r="I45" s="647"/>
      <c r="J45" s="152" t="n">
        <f aca="false">H45</f>
        <v>597000000</v>
      </c>
    </row>
    <row r="46" customFormat="false" ht="12.75" hidden="false" customHeight="false" outlineLevel="0" collapsed="false">
      <c r="B46" s="613" t="s">
        <v>239</v>
      </c>
      <c r="C46" s="636"/>
      <c r="E46" s="636"/>
      <c r="F46" s="152" t="n">
        <f aca="false">BS!B15</f>
        <v>0</v>
      </c>
      <c r="G46" s="647"/>
      <c r="H46" s="152" t="n">
        <f aca="false">F46</f>
        <v>0</v>
      </c>
      <c r="I46" s="647"/>
      <c r="J46" s="152" t="n">
        <f aca="false">H46</f>
        <v>0</v>
      </c>
    </row>
    <row r="47" customFormat="false" ht="12.75" hidden="false" customHeight="false" outlineLevel="0" collapsed="false">
      <c r="B47" s="613" t="s">
        <v>375</v>
      </c>
      <c r="C47" s="636"/>
      <c r="E47" s="636"/>
      <c r="F47" s="152" t="n">
        <f aca="false">Assumptions!E41</f>
        <v>0</v>
      </c>
      <c r="G47" s="647"/>
      <c r="H47" s="152" t="n">
        <f aca="false">F47</f>
        <v>0</v>
      </c>
      <c r="I47" s="647"/>
      <c r="J47" s="152" t="n">
        <f aca="false">H47</f>
        <v>0</v>
      </c>
    </row>
    <row r="48" customFormat="false" ht="12.75" hidden="false" customHeight="false" outlineLevel="0" collapsed="false">
      <c r="B48" s="613"/>
      <c r="C48" s="636"/>
      <c r="E48" s="636"/>
      <c r="F48" s="638"/>
      <c r="G48" s="619"/>
      <c r="H48" s="638"/>
      <c r="I48" s="619"/>
      <c r="J48" s="638"/>
    </row>
    <row r="49" customFormat="false" ht="12.75" hidden="false" customHeight="false" outlineLevel="0" collapsed="false">
      <c r="F49" s="65"/>
      <c r="G49" s="619"/>
      <c r="H49" s="65"/>
      <c r="I49" s="619"/>
      <c r="J49" s="65"/>
    </row>
    <row r="50" customFormat="false" ht="12.75" hidden="false" customHeight="false" outlineLevel="0" collapsed="false">
      <c r="B50" s="632" t="s">
        <v>492</v>
      </c>
      <c r="C50" s="636"/>
      <c r="F50" s="65"/>
      <c r="G50" s="619"/>
      <c r="H50" s="65"/>
      <c r="I50" s="619"/>
      <c r="J50" s="65"/>
    </row>
    <row r="51" customFormat="false" ht="25.5" hidden="false" customHeight="false" outlineLevel="0" collapsed="false">
      <c r="B51" s="613" t="s">
        <v>493</v>
      </c>
      <c r="C51" s="636"/>
      <c r="E51" s="636"/>
      <c r="F51" s="638" t="n">
        <v>0</v>
      </c>
      <c r="G51" s="619"/>
      <c r="H51" s="638" t="n">
        <f aca="false">F51</f>
        <v>0</v>
      </c>
      <c r="I51" s="619"/>
      <c r="J51" s="638" t="n">
        <f aca="false">H51</f>
        <v>0</v>
      </c>
    </row>
    <row r="52" customFormat="false" ht="25.5" hidden="false" customHeight="true" outlineLevel="0" collapsed="false">
      <c r="B52" s="610" t="s">
        <v>494</v>
      </c>
      <c r="C52" s="636"/>
      <c r="E52" s="636"/>
      <c r="F52" s="638" t="n">
        <v>0</v>
      </c>
      <c r="G52" s="619"/>
      <c r="H52" s="638" t="n">
        <f aca="false">F52</f>
        <v>0</v>
      </c>
      <c r="I52" s="619"/>
      <c r="J52" s="638" t="n">
        <f aca="false">H52</f>
        <v>0</v>
      </c>
    </row>
    <row r="53" customFormat="false" ht="25.5" hidden="false" customHeight="false" outlineLevel="0" collapsed="false">
      <c r="B53" s="610" t="s">
        <v>495</v>
      </c>
      <c r="C53" s="636"/>
      <c r="D53" s="637"/>
      <c r="E53" s="636"/>
      <c r="F53" s="638" t="n">
        <v>0</v>
      </c>
      <c r="G53" s="619"/>
      <c r="H53" s="638" t="n">
        <f aca="false">F53</f>
        <v>0</v>
      </c>
      <c r="I53" s="619"/>
      <c r="J53" s="638" t="n">
        <f aca="false">H53</f>
        <v>0</v>
      </c>
    </row>
    <row r="54" customFormat="false" ht="25.5" hidden="false" customHeight="true" outlineLevel="0" collapsed="false">
      <c r="B54" s="610" t="s">
        <v>496</v>
      </c>
      <c r="D54" s="637"/>
      <c r="E54" s="636"/>
      <c r="F54" s="654" t="n">
        <v>0</v>
      </c>
      <c r="G54" s="619"/>
      <c r="H54" s="654" t="n">
        <f aca="false">F54</f>
        <v>0</v>
      </c>
      <c r="I54" s="649"/>
      <c r="J54" s="654" t="n">
        <f aca="false">H54</f>
        <v>0</v>
      </c>
    </row>
    <row r="55" customFormat="false" ht="25.5" hidden="false" customHeight="true" outlineLevel="0" collapsed="false">
      <c r="B55" s="610" t="s">
        <v>497</v>
      </c>
      <c r="D55" s="637"/>
      <c r="E55" s="636"/>
      <c r="F55" s="654" t="n">
        <v>0</v>
      </c>
      <c r="G55" s="619"/>
      <c r="H55" s="654" t="n">
        <f aca="false">F55</f>
        <v>0</v>
      </c>
      <c r="I55" s="649"/>
      <c r="J55" s="654" t="n">
        <f aca="false">H55</f>
        <v>0</v>
      </c>
    </row>
    <row r="56" customFormat="false" ht="25.5" hidden="false" customHeight="false" outlineLevel="0" collapsed="false">
      <c r="B56" s="610" t="s">
        <v>498</v>
      </c>
      <c r="C56" s="636"/>
      <c r="E56" s="636"/>
      <c r="F56" s="638" t="n">
        <v>0</v>
      </c>
      <c r="G56" s="619"/>
      <c r="H56" s="638" t="n">
        <f aca="false">F56</f>
        <v>0</v>
      </c>
      <c r="I56" s="649"/>
      <c r="J56" s="638" t="n">
        <f aca="false">H56</f>
        <v>0</v>
      </c>
    </row>
    <row r="57" customFormat="false" ht="12.75" hidden="false" customHeight="false" outlineLevel="0" collapsed="false">
      <c r="B57" s="610" t="s">
        <v>499</v>
      </c>
      <c r="C57" s="655"/>
      <c r="E57" s="655"/>
      <c r="F57" s="203" t="n">
        <v>0</v>
      </c>
      <c r="G57" s="619"/>
      <c r="H57" s="203" t="n">
        <f aca="false">F57</f>
        <v>0</v>
      </c>
      <c r="I57" s="619"/>
      <c r="J57" s="203" t="n">
        <f aca="false">H57</f>
        <v>0</v>
      </c>
    </row>
    <row r="58" customFormat="false" ht="25.5" hidden="false" customHeight="false" outlineLevel="0" collapsed="false">
      <c r="B58" s="610" t="s">
        <v>555</v>
      </c>
      <c r="C58" s="636"/>
      <c r="E58" s="636"/>
      <c r="F58" s="656" t="n">
        <v>0</v>
      </c>
      <c r="G58" s="619"/>
      <c r="H58" s="656" t="n">
        <f aca="false">F58</f>
        <v>0</v>
      </c>
      <c r="I58" s="649"/>
      <c r="J58" s="656" t="n">
        <f aca="false">H58</f>
        <v>0</v>
      </c>
    </row>
    <row r="59" customFormat="false" ht="12.75" hidden="false" customHeight="false" outlineLevel="0" collapsed="false">
      <c r="B59" s="610" t="s">
        <v>501</v>
      </c>
      <c r="C59" s="636"/>
      <c r="E59" s="636"/>
      <c r="F59" s="638" t="n">
        <f aca="false">+F71+F79</f>
        <v>0</v>
      </c>
      <c r="G59" s="619"/>
      <c r="H59" s="638" t="n">
        <f aca="false">+H71+H79</f>
        <v>0</v>
      </c>
      <c r="I59" s="619"/>
      <c r="J59" s="638" t="n">
        <f aca="false">+J71+J79</f>
        <v>0</v>
      </c>
    </row>
    <row r="60" customFormat="false" ht="12.75" hidden="false" customHeight="false" outlineLevel="0" collapsed="false">
      <c r="B60" s="610" t="s">
        <v>502</v>
      </c>
      <c r="C60" s="636"/>
      <c r="E60" s="636"/>
      <c r="F60" s="656" t="n">
        <v>0</v>
      </c>
      <c r="G60" s="619"/>
      <c r="H60" s="656" t="n">
        <f aca="false">F60</f>
        <v>0</v>
      </c>
      <c r="I60" s="649"/>
      <c r="J60" s="656" t="n">
        <f aca="false">H60</f>
        <v>0</v>
      </c>
    </row>
    <row r="61" customFormat="false" ht="25.5" hidden="false" customHeight="true" outlineLevel="0" collapsed="false">
      <c r="B61" s="610" t="s">
        <v>503</v>
      </c>
      <c r="C61" s="636"/>
      <c r="E61" s="636"/>
      <c r="F61" s="638" t="n">
        <v>0</v>
      </c>
      <c r="G61" s="619"/>
      <c r="H61" s="638" t="n">
        <f aca="false">F61</f>
        <v>0</v>
      </c>
      <c r="I61" s="649"/>
      <c r="J61" s="638" t="n">
        <f aca="false">H61</f>
        <v>0</v>
      </c>
    </row>
    <row r="62" customFormat="false" ht="25.5" hidden="false" customHeight="false" outlineLevel="0" collapsed="false">
      <c r="B62" s="610" t="s">
        <v>504</v>
      </c>
      <c r="C62" s="636"/>
      <c r="E62" s="636"/>
      <c r="F62" s="638" t="n">
        <v>0</v>
      </c>
      <c r="G62" s="619"/>
      <c r="H62" s="638" t="n">
        <f aca="false">F62</f>
        <v>0</v>
      </c>
      <c r="I62" s="649"/>
      <c r="J62" s="638" t="n">
        <f aca="false">H62</f>
        <v>0</v>
      </c>
    </row>
    <row r="63" customFormat="false" ht="12.75" hidden="false" customHeight="false" outlineLevel="0" collapsed="false">
      <c r="B63" s="610" t="s">
        <v>505</v>
      </c>
      <c r="C63" s="636"/>
      <c r="E63" s="636"/>
      <c r="F63" s="657" t="n">
        <v>0</v>
      </c>
      <c r="G63" s="619"/>
      <c r="H63" s="657" t="n">
        <f aca="false">F63</f>
        <v>0</v>
      </c>
      <c r="I63" s="619"/>
      <c r="J63" s="657" t="n">
        <f aca="false">H63</f>
        <v>0</v>
      </c>
    </row>
    <row r="64" customFormat="false" ht="25.5" hidden="false" customHeight="false" outlineLevel="0" collapsed="false">
      <c r="B64" s="610" t="s">
        <v>506</v>
      </c>
      <c r="C64" s="636"/>
      <c r="E64" s="636"/>
      <c r="F64" s="657" t="n">
        <v>0</v>
      </c>
      <c r="G64" s="619"/>
      <c r="H64" s="657" t="n">
        <f aca="false">F64</f>
        <v>0</v>
      </c>
      <c r="I64" s="619"/>
      <c r="J64" s="657" t="n">
        <f aca="false">H64</f>
        <v>0</v>
      </c>
    </row>
    <row r="65" customFormat="false" ht="12.75" hidden="false" customHeight="false" outlineLevel="0" collapsed="false">
      <c r="B65" s="610" t="s">
        <v>507</v>
      </c>
      <c r="C65" s="636"/>
      <c r="E65" s="636"/>
      <c r="F65" s="658" t="n">
        <f aca="false">F67*8</f>
        <v>2080</v>
      </c>
      <c r="G65" s="619"/>
      <c r="H65" s="658" t="n">
        <f aca="false">H67*8</f>
        <v>2080</v>
      </c>
      <c r="I65" s="619"/>
      <c r="J65" s="658" t="n">
        <f aca="false">J67*8</f>
        <v>2080</v>
      </c>
    </row>
    <row r="66" customFormat="false" ht="30" hidden="false" customHeight="true" outlineLevel="0" collapsed="false">
      <c r="B66" s="610" t="s">
        <v>508</v>
      </c>
      <c r="C66" s="636"/>
      <c r="E66" s="636"/>
      <c r="F66" s="638" t="n">
        <v>0</v>
      </c>
      <c r="G66" s="619"/>
      <c r="H66" s="638" t="n">
        <f aca="false">F66</f>
        <v>0</v>
      </c>
      <c r="I66" s="619"/>
      <c r="J66" s="638" t="n">
        <f aca="false">H66</f>
        <v>0</v>
      </c>
    </row>
    <row r="67" customFormat="false" ht="12.75" hidden="false" customHeight="false" outlineLevel="0" collapsed="false">
      <c r="B67" s="610" t="s">
        <v>509</v>
      </c>
      <c r="C67" s="636"/>
      <c r="E67" s="636"/>
      <c r="F67" s="644" t="n">
        <f aca="false">52*5</f>
        <v>260</v>
      </c>
      <c r="G67" s="619"/>
      <c r="H67" s="644" t="n">
        <f aca="false">52*5</f>
        <v>260</v>
      </c>
      <c r="I67" s="619"/>
      <c r="J67" s="644" t="n">
        <f aca="false">52*5</f>
        <v>260</v>
      </c>
    </row>
    <row r="68" customFormat="false" ht="25.5" hidden="false" customHeight="false" outlineLevel="0" collapsed="false">
      <c r="B68" s="610" t="s">
        <v>510</v>
      </c>
      <c r="C68" s="636"/>
      <c r="E68" s="636"/>
      <c r="F68" s="638" t="n">
        <v>0</v>
      </c>
      <c r="G68" s="619"/>
      <c r="H68" s="638" t="n">
        <f aca="false">F68</f>
        <v>0</v>
      </c>
      <c r="I68" s="619"/>
      <c r="J68" s="638" t="n">
        <f aca="false">H68</f>
        <v>0</v>
      </c>
    </row>
    <row r="69" customFormat="false" ht="25.5" hidden="false" customHeight="false" outlineLevel="0" collapsed="false">
      <c r="B69" s="610" t="s">
        <v>511</v>
      </c>
      <c r="C69" s="636"/>
      <c r="E69" s="636"/>
      <c r="F69" s="638" t="n">
        <v>0</v>
      </c>
      <c r="G69" s="619"/>
      <c r="H69" s="638" t="n">
        <f aca="false">F69</f>
        <v>0</v>
      </c>
      <c r="I69" s="619"/>
      <c r="J69" s="638" t="n">
        <f aca="false">H69</f>
        <v>0</v>
      </c>
    </row>
    <row r="70" customFormat="false" ht="25.5" hidden="false" customHeight="false" outlineLevel="0" collapsed="false">
      <c r="B70" s="610" t="s">
        <v>512</v>
      </c>
      <c r="C70" s="636"/>
      <c r="D70" s="637"/>
      <c r="E70" s="636"/>
      <c r="F70" s="638" t="n">
        <v>0</v>
      </c>
      <c r="G70" s="619"/>
      <c r="H70" s="638" t="n">
        <f aca="false">F70</f>
        <v>0</v>
      </c>
      <c r="I70" s="619"/>
      <c r="J70" s="638" t="n">
        <f aca="false">H70</f>
        <v>0</v>
      </c>
    </row>
    <row r="71" customFormat="false" ht="25.5" hidden="false" customHeight="false" outlineLevel="0" collapsed="false">
      <c r="B71" s="610" t="s">
        <v>513</v>
      </c>
      <c r="C71" s="636"/>
      <c r="E71" s="636"/>
      <c r="F71" s="638" t="n">
        <v>0</v>
      </c>
      <c r="G71" s="619"/>
      <c r="H71" s="638" t="n">
        <f aca="false">F71</f>
        <v>0</v>
      </c>
      <c r="I71" s="649"/>
      <c r="J71" s="638" t="n">
        <f aca="false">H71</f>
        <v>0</v>
      </c>
    </row>
    <row r="72" customFormat="false" ht="12.75" hidden="false" customHeight="false" outlineLevel="0" collapsed="false">
      <c r="B72" s="610" t="s">
        <v>514</v>
      </c>
      <c r="C72" s="636"/>
      <c r="E72" s="636"/>
      <c r="F72" s="658" t="n">
        <v>0</v>
      </c>
      <c r="G72" s="619"/>
      <c r="H72" s="658" t="n">
        <f aca="false">F72</f>
        <v>0</v>
      </c>
      <c r="I72" s="619"/>
      <c r="J72" s="658" t="n">
        <f aca="false">H72</f>
        <v>0</v>
      </c>
    </row>
    <row r="73" customFormat="false" ht="12.75" hidden="false" customHeight="false" outlineLevel="0" collapsed="false">
      <c r="B73" s="648"/>
      <c r="D73" s="609"/>
      <c r="F73" s="619"/>
      <c r="G73" s="619"/>
      <c r="H73" s="619"/>
      <c r="I73" s="619"/>
      <c r="J73" s="619"/>
    </row>
    <row r="74" customFormat="false" ht="12.75" hidden="false" customHeight="false" outlineLevel="0" collapsed="false">
      <c r="B74" s="648"/>
      <c r="F74" s="619"/>
      <c r="G74" s="619"/>
      <c r="H74" s="619"/>
      <c r="I74" s="619"/>
      <c r="J74" s="619"/>
    </row>
    <row r="75" customFormat="false" ht="12.75" hidden="false" customHeight="false" outlineLevel="0" collapsed="false">
      <c r="B75" s="632" t="s">
        <v>515</v>
      </c>
      <c r="C75" s="636"/>
      <c r="F75" s="65"/>
      <c r="G75" s="619"/>
      <c r="H75" s="65"/>
      <c r="I75" s="619"/>
      <c r="J75" s="65"/>
    </row>
    <row r="76" customFormat="false" ht="12.75" hidden="false" customHeight="false" outlineLevel="0" collapsed="false">
      <c r="B76" s="610" t="s">
        <v>516</v>
      </c>
      <c r="C76" s="636"/>
      <c r="F76" s="651" t="n">
        <f aca="false">IF(F18=0,0,F8/F18)</f>
        <v>0</v>
      </c>
      <c r="G76" s="647"/>
      <c r="H76" s="651" t="n">
        <f aca="false">IF(H18=0,0,H8/H18)</f>
        <v>0</v>
      </c>
      <c r="I76" s="647"/>
      <c r="J76" s="651" t="n">
        <f aca="false">IF(J18=0,0,J8/J18)</f>
        <v>0</v>
      </c>
    </row>
    <row r="77" customFormat="false" ht="12.75" hidden="false" customHeight="false" outlineLevel="0" collapsed="false">
      <c r="B77" s="610" t="s">
        <v>517</v>
      </c>
      <c r="F77" s="651" t="n">
        <f aca="false">IF(F19=0,0,F8/F19)</f>
        <v>0</v>
      </c>
      <c r="G77" s="647"/>
      <c r="H77" s="651" t="n">
        <f aca="false">IF(H19=0,0,H8/H19)</f>
        <v>0</v>
      </c>
      <c r="I77" s="647"/>
      <c r="J77" s="651" t="n">
        <f aca="false">IF(J19=0,0,J8/J19)</f>
        <v>0</v>
      </c>
    </row>
    <row r="78" customFormat="false" ht="12.75" hidden="false" customHeight="false" outlineLevel="0" collapsed="false">
      <c r="B78" s="610" t="s">
        <v>556</v>
      </c>
      <c r="C78" s="636"/>
      <c r="F78" s="659" t="n">
        <f aca="false">IF(F83=0,0,F19/F83)</f>
        <v>0</v>
      </c>
      <c r="G78" s="619"/>
      <c r="H78" s="659" t="n">
        <f aca="false">IF(H83=0,0,H19/H83)</f>
        <v>0</v>
      </c>
      <c r="I78" s="619"/>
      <c r="J78" s="659" t="n">
        <f aca="false">IF(J83=0,0,J19/J83)</f>
        <v>0</v>
      </c>
    </row>
    <row r="79" customFormat="false" ht="25.5" hidden="false" customHeight="false" outlineLevel="0" collapsed="false">
      <c r="B79" s="610" t="s">
        <v>557</v>
      </c>
      <c r="C79" s="636"/>
      <c r="F79" s="638" t="n">
        <f aca="false">IF(F19=0,0,((F78*F84)/F19)-1)</f>
        <v>0</v>
      </c>
      <c r="G79" s="619"/>
      <c r="H79" s="638" t="n">
        <f aca="false">IF(H19=0,0,((H78*H84)/H19)-1)</f>
        <v>0</v>
      </c>
      <c r="I79" s="649"/>
      <c r="J79" s="638" t="n">
        <f aca="false">IF(J19=0,0,((J78*J84)/J19)-1)</f>
        <v>0</v>
      </c>
    </row>
    <row r="80" customFormat="false" ht="12.75" hidden="false" customHeight="false" outlineLevel="0" collapsed="false">
      <c r="B80" s="610" t="s">
        <v>558</v>
      </c>
      <c r="C80" s="636"/>
      <c r="F80" s="638" t="n">
        <v>0</v>
      </c>
      <c r="G80" s="619"/>
      <c r="H80" s="638" t="n">
        <v>0.193548387096774</v>
      </c>
      <c r="I80" s="638"/>
      <c r="J80" s="638" t="n">
        <v>0.494949494949495</v>
      </c>
    </row>
    <row r="81" customFormat="false" ht="12.75" hidden="false" customHeight="false" outlineLevel="0" collapsed="false">
      <c r="B81" s="610" t="s">
        <v>559</v>
      </c>
      <c r="C81" s="636"/>
      <c r="F81" s="660" t="n">
        <f aca="false">IF(F19=0,0,(F8*F7)/F19)</f>
        <v>0</v>
      </c>
      <c r="G81" s="647"/>
      <c r="H81" s="660" t="n">
        <f aca="false">IF(H19=0,0,(H8*H7)/H19)</f>
        <v>0</v>
      </c>
      <c r="I81" s="647"/>
      <c r="J81" s="660" t="n">
        <f aca="false">IF(J19=0,0,(J8*J7)/J19)</f>
        <v>0</v>
      </c>
    </row>
    <row r="82" customFormat="false" ht="12.75" hidden="false" customHeight="false" outlineLevel="0" collapsed="false">
      <c r="B82" s="610" t="s">
        <v>560</v>
      </c>
      <c r="F82" s="619" t="n">
        <f aca="false">IF(F65=0,0,F28/F65)</f>
        <v>0</v>
      </c>
      <c r="G82" s="619"/>
      <c r="H82" s="619" t="n">
        <f aca="false">IF(H65=0,0,H28/H65)</f>
        <v>0</v>
      </c>
      <c r="I82" s="619"/>
      <c r="J82" s="619" t="n">
        <f aca="false">IF(J65=0,0,J28/J65)</f>
        <v>0</v>
      </c>
    </row>
    <row r="83" customFormat="false" ht="12.75" hidden="false" customHeight="false" outlineLevel="0" collapsed="false">
      <c r="B83" s="610" t="s">
        <v>490</v>
      </c>
      <c r="C83" s="636"/>
      <c r="F83" s="659" t="n">
        <f aca="false">IF(F24=0,0,(F8*F7)/F24)</f>
        <v>0</v>
      </c>
      <c r="G83" s="619"/>
      <c r="H83" s="659" t="n">
        <f aca="false">IF(H24=0,0,(H8*H7)/H24)</f>
        <v>0</v>
      </c>
      <c r="I83" s="619"/>
      <c r="J83" s="659" t="n">
        <f aca="false">IF(J24=0,0,(J8*J7)/J24)</f>
        <v>0</v>
      </c>
    </row>
    <row r="84" customFormat="false" ht="12.75" hidden="false" customHeight="false" outlineLevel="0" collapsed="false">
      <c r="B84" s="610" t="s">
        <v>561</v>
      </c>
      <c r="C84" s="636"/>
      <c r="F84" s="659" t="n">
        <f aca="false">+F83*(1+F70)</f>
        <v>0</v>
      </c>
      <c r="G84" s="619"/>
      <c r="H84" s="659" t="n">
        <f aca="false">+H83*(1+H70)</f>
        <v>0</v>
      </c>
      <c r="I84" s="619"/>
      <c r="J84" s="659" t="n">
        <f aca="false">+J83*(1+J70)</f>
        <v>0</v>
      </c>
    </row>
    <row r="85" customFormat="false" ht="12.75" hidden="false" customHeight="false" outlineLevel="0" collapsed="false">
      <c r="B85" s="610" t="s">
        <v>562</v>
      </c>
      <c r="F85" s="661" t="n">
        <f aca="false">365/(F8/(F45+F46))</f>
        <v>18.2898270941749</v>
      </c>
      <c r="G85" s="619"/>
      <c r="H85" s="661" t="n">
        <f aca="false">365/(H8/(H45+H46))</f>
        <v>18.2898270941749</v>
      </c>
      <c r="I85" s="619"/>
      <c r="J85" s="661" t="n">
        <f aca="false">365/(J8/(J45+J46))</f>
        <v>18.2898270941749</v>
      </c>
    </row>
    <row r="86" customFormat="false" ht="12.75" hidden="false" customHeight="false" outlineLevel="0" collapsed="false">
      <c r="F86" s="65"/>
      <c r="G86" s="619"/>
      <c r="H86" s="65"/>
      <c r="I86" s="619"/>
      <c r="J86" s="65"/>
    </row>
    <row r="87" customFormat="false" ht="12.75" hidden="false" customHeight="false" outlineLevel="0" collapsed="false">
      <c r="C87" s="636"/>
      <c r="F87" s="65"/>
      <c r="G87" s="619"/>
      <c r="H87" s="65"/>
      <c r="I87" s="619"/>
      <c r="J87" s="65"/>
    </row>
    <row r="88" customFormat="false" ht="12.75" hidden="false" customHeight="false" outlineLevel="0" collapsed="false">
      <c r="C88" s="636"/>
      <c r="F88" s="619"/>
      <c r="G88" s="619"/>
      <c r="H88" s="619"/>
      <c r="I88" s="619"/>
      <c r="J88" s="619"/>
    </row>
    <row r="89" customFormat="false" ht="12.75" hidden="false" customHeight="false" outlineLevel="0" collapsed="false">
      <c r="F89" s="619"/>
      <c r="G89" s="619"/>
      <c r="H89" s="619"/>
      <c r="I89" s="619"/>
      <c r="J89" s="619"/>
    </row>
    <row r="90" customFormat="false" ht="12.75" hidden="false" customHeight="false" outlineLevel="0" collapsed="false">
      <c r="F90" s="619"/>
      <c r="G90" s="619"/>
      <c r="H90" s="619"/>
      <c r="I90" s="619"/>
      <c r="J90" s="619"/>
    </row>
    <row r="91" customFormat="false" ht="12.75" hidden="false" customHeight="false" outlineLevel="0" collapsed="false">
      <c r="F91" s="619"/>
      <c r="G91" s="619"/>
      <c r="H91" s="619"/>
      <c r="I91" s="619"/>
      <c r="J91" s="619"/>
    </row>
    <row r="92" customFormat="false" ht="12.75" hidden="false" customHeight="false" outlineLevel="0" collapsed="false">
      <c r="F92" s="619"/>
      <c r="G92" s="619"/>
      <c r="H92" s="619"/>
      <c r="I92" s="619"/>
      <c r="J92" s="619"/>
    </row>
    <row r="93" customFormat="false" ht="12.75" hidden="false" customHeight="false" outlineLevel="0" collapsed="false">
      <c r="F93" s="65"/>
      <c r="G93" s="619"/>
      <c r="H93" s="65"/>
      <c r="I93" s="619"/>
      <c r="J93" s="65"/>
    </row>
    <row r="94" customFormat="false" ht="12.75" hidden="false" customHeight="false" outlineLevel="0" collapsed="false">
      <c r="F94" s="65"/>
      <c r="G94" s="619"/>
      <c r="H94" s="65"/>
      <c r="I94" s="619"/>
      <c r="J94" s="65"/>
    </row>
    <row r="95" customFormat="false" ht="12.75" hidden="false" customHeight="false" outlineLevel="0" collapsed="false">
      <c r="F95" s="65"/>
      <c r="G95" s="619"/>
      <c r="H95" s="65"/>
      <c r="I95" s="619"/>
      <c r="J95" s="65"/>
    </row>
    <row r="96" customFormat="false" ht="12.75" hidden="false" customHeight="false" outlineLevel="0" collapsed="false">
      <c r="F96" s="65"/>
      <c r="G96" s="619"/>
      <c r="H96" s="65"/>
      <c r="I96" s="619"/>
      <c r="J96" s="65"/>
    </row>
    <row r="97" customFormat="false" ht="12.75" hidden="false" customHeight="false" outlineLevel="0" collapsed="false">
      <c r="F97" s="65"/>
      <c r="G97" s="619"/>
      <c r="H97" s="65"/>
      <c r="I97" s="619"/>
      <c r="J97" s="65"/>
    </row>
    <row r="98" customFormat="false" ht="12.75" hidden="false" customHeight="false" outlineLevel="0" collapsed="false">
      <c r="F98" s="65"/>
      <c r="G98" s="619"/>
      <c r="H98" s="65"/>
      <c r="I98" s="619"/>
      <c r="J98" s="65"/>
    </row>
    <row r="99" customFormat="false" ht="12.75" hidden="false" customHeight="false" outlineLevel="0" collapsed="false">
      <c r="F99" s="65"/>
      <c r="G99" s="619"/>
      <c r="H99" s="65"/>
      <c r="I99" s="619"/>
      <c r="J99" s="65"/>
    </row>
    <row r="100" customFormat="false" ht="12.75" hidden="false" customHeight="false" outlineLevel="0" collapsed="false">
      <c r="F100" s="65"/>
      <c r="G100" s="619"/>
      <c r="H100" s="65"/>
      <c r="I100" s="619"/>
      <c r="J100" s="65"/>
    </row>
    <row r="101" customFormat="false" ht="12.75" hidden="false" customHeight="false" outlineLevel="0" collapsed="false">
      <c r="F101" s="65"/>
      <c r="G101" s="619"/>
      <c r="H101" s="65"/>
      <c r="I101" s="619"/>
      <c r="J101" s="65"/>
    </row>
    <row r="102" customFormat="false" ht="12.75" hidden="false" customHeight="false" outlineLevel="0" collapsed="false">
      <c r="F102" s="65"/>
      <c r="G102" s="619"/>
      <c r="H102" s="65"/>
      <c r="I102" s="619"/>
      <c r="J102" s="65"/>
    </row>
    <row r="103" customFormat="false" ht="12.75" hidden="false" customHeight="false" outlineLevel="0" collapsed="false">
      <c r="F103" s="65"/>
      <c r="G103" s="619"/>
      <c r="H103" s="65"/>
      <c r="I103" s="619"/>
      <c r="J103" s="65"/>
    </row>
    <row r="104" customFormat="false" ht="12.75" hidden="false" customHeight="false" outlineLevel="0" collapsed="false">
      <c r="F104" s="65"/>
      <c r="G104" s="619"/>
      <c r="H104" s="65"/>
      <c r="I104" s="619"/>
      <c r="J104" s="65"/>
    </row>
    <row r="105" customFormat="false" ht="12.75" hidden="false" customHeight="false" outlineLevel="0" collapsed="false">
      <c r="F105" s="65"/>
      <c r="G105" s="619"/>
      <c r="H105" s="65"/>
      <c r="I105" s="619"/>
      <c r="J105" s="65"/>
    </row>
    <row r="106" customFormat="false" ht="12.75" hidden="false" customHeight="false" outlineLevel="0" collapsed="false">
      <c r="F106" s="65"/>
      <c r="G106" s="619"/>
      <c r="H106" s="65"/>
      <c r="I106" s="619"/>
      <c r="J106" s="65"/>
    </row>
    <row r="107" customFormat="false" ht="12.75" hidden="false" customHeight="false" outlineLevel="0" collapsed="false">
      <c r="F107" s="65"/>
      <c r="G107" s="619"/>
      <c r="H107" s="65"/>
      <c r="I107" s="619"/>
      <c r="J107" s="65"/>
    </row>
    <row r="108" customFormat="false" ht="12.75" hidden="false" customHeight="false" outlineLevel="0" collapsed="false">
      <c r="F108" s="65"/>
      <c r="G108" s="619"/>
      <c r="H108" s="65"/>
      <c r="I108" s="619"/>
      <c r="J108" s="65"/>
    </row>
    <row r="109" customFormat="false" ht="12.75" hidden="false" customHeight="false" outlineLevel="0" collapsed="false">
      <c r="F109" s="65"/>
      <c r="G109" s="619"/>
      <c r="H109" s="65"/>
      <c r="I109" s="619"/>
      <c r="J109" s="65"/>
    </row>
    <row r="110" customFormat="false" ht="12.75" hidden="false" customHeight="false" outlineLevel="0" collapsed="false">
      <c r="F110" s="65"/>
      <c r="G110" s="619"/>
      <c r="H110" s="65"/>
      <c r="I110" s="619"/>
      <c r="J110" s="65"/>
    </row>
    <row r="111" customFormat="false" ht="12.75" hidden="false" customHeight="false" outlineLevel="0" collapsed="false">
      <c r="F111" s="65"/>
      <c r="G111" s="619"/>
      <c r="H111" s="65"/>
      <c r="I111" s="619"/>
      <c r="J111" s="65"/>
    </row>
    <row r="112" customFormat="false" ht="12.75" hidden="false" customHeight="false" outlineLevel="0" collapsed="false">
      <c r="F112" s="65"/>
      <c r="G112" s="619"/>
      <c r="H112" s="65"/>
      <c r="I112" s="619"/>
      <c r="J112" s="65"/>
    </row>
    <row r="113" customFormat="false" ht="12.75" hidden="false" customHeight="false" outlineLevel="0" collapsed="false">
      <c r="F113" s="65"/>
      <c r="G113" s="619"/>
      <c r="H113" s="65"/>
      <c r="I113" s="619"/>
      <c r="J113" s="65"/>
    </row>
    <row r="114" customFormat="false" ht="12.75" hidden="false" customHeight="false" outlineLevel="0" collapsed="false">
      <c r="F114" s="65"/>
      <c r="G114" s="619"/>
      <c r="H114" s="65"/>
      <c r="I114" s="619"/>
      <c r="J114" s="65"/>
    </row>
    <row r="115" customFormat="false" ht="12.75" hidden="false" customHeight="false" outlineLevel="0" collapsed="false">
      <c r="F115" s="65"/>
      <c r="G115" s="619"/>
      <c r="H115" s="65"/>
      <c r="I115" s="619"/>
      <c r="J115" s="65"/>
    </row>
    <row r="116" customFormat="false" ht="12.75" hidden="false" customHeight="false" outlineLevel="0" collapsed="false">
      <c r="F116" s="65"/>
      <c r="G116" s="619"/>
      <c r="H116" s="65"/>
      <c r="I116" s="619"/>
      <c r="J116" s="65"/>
    </row>
    <row r="117" customFormat="false" ht="12.75" hidden="false" customHeight="false" outlineLevel="0" collapsed="false">
      <c r="F117" s="65"/>
      <c r="G117" s="619"/>
      <c r="H117" s="65"/>
      <c r="I117" s="619"/>
      <c r="J117" s="65"/>
    </row>
    <row r="118" customFormat="false" ht="12.75" hidden="false" customHeight="false" outlineLevel="0" collapsed="false">
      <c r="F118" s="65"/>
      <c r="G118" s="619"/>
      <c r="H118" s="65"/>
      <c r="I118" s="619"/>
      <c r="J118" s="65"/>
    </row>
    <row r="119" customFormat="false" ht="12.75" hidden="false" customHeight="false" outlineLevel="0" collapsed="false">
      <c r="F119" s="65"/>
      <c r="G119" s="619"/>
      <c r="H119" s="65"/>
      <c r="I119" s="619"/>
      <c r="J119" s="65"/>
    </row>
    <row r="120" customFormat="false" ht="12.75" hidden="false" customHeight="false" outlineLevel="0" collapsed="false">
      <c r="F120" s="65"/>
      <c r="G120" s="619"/>
      <c r="H120" s="65"/>
      <c r="I120" s="619"/>
      <c r="J120" s="65"/>
    </row>
    <row r="121" customFormat="false" ht="12.75" hidden="false" customHeight="false" outlineLevel="0" collapsed="false">
      <c r="F121" s="65"/>
      <c r="G121" s="619"/>
      <c r="H121" s="65"/>
      <c r="I121" s="619"/>
      <c r="J121" s="65"/>
    </row>
    <row r="122" customFormat="false" ht="12.75" hidden="false" customHeight="false" outlineLevel="0" collapsed="false">
      <c r="F122" s="65"/>
      <c r="G122" s="619"/>
      <c r="H122" s="65"/>
      <c r="I122" s="619"/>
      <c r="J122" s="65"/>
    </row>
    <row r="123" customFormat="false" ht="12.75" hidden="false" customHeight="false" outlineLevel="0" collapsed="false">
      <c r="F123" s="65"/>
      <c r="G123" s="619"/>
      <c r="H123" s="65"/>
      <c r="I123" s="619"/>
      <c r="J123" s="65"/>
    </row>
    <row r="124" customFormat="false" ht="12.75" hidden="false" customHeight="false" outlineLevel="0" collapsed="false">
      <c r="F124" s="65"/>
      <c r="G124" s="619"/>
      <c r="H124" s="65"/>
      <c r="I124" s="619"/>
      <c r="J124" s="65"/>
    </row>
    <row r="125" customFormat="false" ht="12.75" hidden="false" customHeight="false" outlineLevel="0" collapsed="false">
      <c r="F125" s="65"/>
      <c r="G125" s="619"/>
      <c r="H125" s="65"/>
      <c r="I125" s="619"/>
      <c r="J125" s="65"/>
    </row>
    <row r="126" customFormat="false" ht="12.75" hidden="false" customHeight="false" outlineLevel="0" collapsed="false">
      <c r="F126" s="65"/>
      <c r="G126" s="619"/>
      <c r="H126" s="65"/>
      <c r="I126" s="619"/>
      <c r="J126" s="65"/>
    </row>
    <row r="127" customFormat="false" ht="12.75" hidden="false" customHeight="false" outlineLevel="0" collapsed="false">
      <c r="F127" s="65"/>
      <c r="G127" s="619"/>
      <c r="H127" s="65"/>
      <c r="I127" s="619"/>
      <c r="J127" s="65"/>
    </row>
    <row r="128" customFormat="false" ht="12.75" hidden="false" customHeight="false" outlineLevel="0" collapsed="false">
      <c r="F128" s="65"/>
      <c r="G128" s="619"/>
      <c r="H128" s="65"/>
      <c r="I128" s="619"/>
      <c r="J128" s="65"/>
    </row>
    <row r="129" customFormat="false" ht="12.75" hidden="false" customHeight="false" outlineLevel="0" collapsed="false">
      <c r="F129" s="65"/>
      <c r="G129" s="619"/>
      <c r="H129" s="65"/>
      <c r="I129" s="619"/>
      <c r="J129" s="65"/>
    </row>
    <row r="130" customFormat="false" ht="12.75" hidden="false" customHeight="false" outlineLevel="0" collapsed="false">
      <c r="F130" s="65"/>
      <c r="G130" s="619"/>
      <c r="H130" s="65"/>
      <c r="I130" s="619"/>
      <c r="J130" s="65"/>
    </row>
    <row r="131" customFormat="false" ht="12.75" hidden="false" customHeight="false" outlineLevel="0" collapsed="false">
      <c r="E131" s="636"/>
      <c r="F131" s="638"/>
      <c r="G131" s="619"/>
      <c r="H131" s="65"/>
      <c r="I131" s="619"/>
      <c r="J131" s="65"/>
    </row>
    <row r="132" customFormat="false" ht="12.75" hidden="false" customHeight="false" outlineLevel="0" collapsed="false">
      <c r="F132" s="65"/>
      <c r="G132" s="619"/>
      <c r="H132" s="65"/>
      <c r="I132" s="619"/>
      <c r="J132" s="65"/>
    </row>
    <row r="133" customFormat="false" ht="12.75" hidden="false" customHeight="false" outlineLevel="0" collapsed="false">
      <c r="F133" s="65"/>
      <c r="G133" s="619"/>
      <c r="H133" s="65"/>
      <c r="I133" s="619"/>
      <c r="J133" s="65"/>
    </row>
    <row r="134" customFormat="false" ht="12.75" hidden="false" customHeight="false" outlineLevel="0" collapsed="false">
      <c r="F134" s="65"/>
      <c r="G134" s="619"/>
      <c r="H134" s="65"/>
      <c r="I134" s="619"/>
      <c r="J134" s="65"/>
    </row>
    <row r="135" customFormat="false" ht="12.75" hidden="false" customHeight="false" outlineLevel="0" collapsed="false">
      <c r="C135" s="636"/>
      <c r="F135" s="65"/>
      <c r="G135" s="619"/>
      <c r="H135" s="65"/>
      <c r="I135" s="619"/>
      <c r="J135" s="65"/>
    </row>
    <row r="136" customFormat="false" ht="12.75" hidden="false" customHeight="false" outlineLevel="0" collapsed="false">
      <c r="F136" s="65"/>
      <c r="G136" s="619"/>
      <c r="H136" s="65"/>
      <c r="I136" s="619"/>
      <c r="J136" s="65"/>
    </row>
    <row r="137" customFormat="false" ht="12.75" hidden="false" customHeight="false" outlineLevel="0" collapsed="false">
      <c r="F137" s="65"/>
      <c r="G137" s="619"/>
      <c r="H137" s="65"/>
      <c r="I137" s="619"/>
      <c r="J137" s="65"/>
    </row>
    <row r="138" customFormat="false" ht="12.75" hidden="false" customHeight="false" outlineLevel="0" collapsed="false">
      <c r="F138" s="65"/>
      <c r="G138" s="619"/>
      <c r="H138" s="65"/>
      <c r="I138" s="619"/>
      <c r="J138" s="65"/>
    </row>
    <row r="139" customFormat="false" ht="12.75" hidden="false" customHeight="false" outlineLevel="0" collapsed="false">
      <c r="F139" s="619"/>
      <c r="G139" s="619"/>
      <c r="H139" s="65"/>
      <c r="I139" s="619"/>
      <c r="J139" s="65"/>
    </row>
    <row r="140" customFormat="false" ht="12.75" hidden="false" customHeight="false" outlineLevel="0" collapsed="false">
      <c r="F140" s="619"/>
      <c r="G140" s="619"/>
      <c r="H140" s="65"/>
      <c r="I140" s="619"/>
      <c r="J140" s="65"/>
    </row>
    <row r="141" customFormat="false" ht="12.75" hidden="false" customHeight="false" outlineLevel="0" collapsed="false">
      <c r="F141" s="619"/>
      <c r="G141" s="619"/>
      <c r="H141" s="65"/>
      <c r="I141" s="619"/>
      <c r="J141" s="65"/>
    </row>
    <row r="142" customFormat="false" ht="12.75" hidden="false" customHeight="false" outlineLevel="0" collapsed="false">
      <c r="F142" s="619"/>
      <c r="G142" s="619"/>
      <c r="H142" s="65"/>
      <c r="I142" s="619"/>
      <c r="J142" s="65"/>
    </row>
    <row r="143" customFormat="false" ht="12.75" hidden="false" customHeight="false" outlineLevel="0" collapsed="false">
      <c r="F143" s="65"/>
      <c r="G143" s="619"/>
      <c r="H143" s="65"/>
      <c r="I143" s="619"/>
      <c r="J143" s="65"/>
    </row>
    <row r="144" customFormat="false" ht="12.75" hidden="false" customHeight="false" outlineLevel="0" collapsed="false">
      <c r="F144" s="65"/>
      <c r="G144" s="619"/>
      <c r="H144" s="65"/>
      <c r="I144" s="619"/>
      <c r="J144" s="65"/>
    </row>
    <row r="145" customFormat="false" ht="12.75" hidden="false" customHeight="false" outlineLevel="0" collapsed="false">
      <c r="F145" s="65"/>
      <c r="G145" s="619"/>
      <c r="H145" s="65"/>
      <c r="I145" s="619"/>
      <c r="J145" s="65"/>
    </row>
    <row r="146" customFormat="false" ht="12.75" hidden="false" customHeight="false" outlineLevel="0" collapsed="false">
      <c r="F146" s="65"/>
      <c r="G146" s="619"/>
      <c r="H146" s="65"/>
      <c r="I146" s="619"/>
      <c r="J146" s="65"/>
    </row>
    <row r="147" customFormat="false" ht="12.75" hidden="false" customHeight="false" outlineLevel="0" collapsed="false">
      <c r="F147" s="65"/>
      <c r="G147" s="619"/>
      <c r="H147" s="65"/>
      <c r="I147" s="619"/>
      <c r="J147" s="65"/>
    </row>
    <row r="148" customFormat="false" ht="12.75" hidden="false" customHeight="false" outlineLevel="0" collapsed="false">
      <c r="F148" s="65"/>
      <c r="G148" s="619"/>
      <c r="H148" s="65"/>
      <c r="I148" s="619"/>
      <c r="J148" s="65"/>
    </row>
    <row r="149" customFormat="false" ht="12.75" hidden="false" customHeight="false" outlineLevel="0" collapsed="false">
      <c r="F149" s="65"/>
      <c r="G149" s="619"/>
      <c r="H149" s="65"/>
      <c r="I149" s="619"/>
      <c r="J149" s="65"/>
    </row>
    <row r="150" customFormat="false" ht="12.75" hidden="false" customHeight="false" outlineLevel="0" collapsed="false">
      <c r="F150" s="65"/>
      <c r="G150" s="619"/>
      <c r="H150" s="65"/>
      <c r="I150" s="619"/>
      <c r="J150" s="65"/>
    </row>
    <row r="151" customFormat="false" ht="12.75" hidden="false" customHeight="false" outlineLevel="0" collapsed="false">
      <c r="F151" s="65"/>
      <c r="G151" s="619"/>
      <c r="H151" s="65"/>
      <c r="I151" s="619"/>
      <c r="J151" s="65"/>
    </row>
    <row r="152" customFormat="false" ht="12.75" hidden="false" customHeight="false" outlineLevel="0" collapsed="false">
      <c r="F152" s="65"/>
      <c r="G152" s="619"/>
      <c r="H152" s="65"/>
      <c r="I152" s="619"/>
      <c r="J152" s="65"/>
    </row>
    <row r="153" customFormat="false" ht="12.75" hidden="false" customHeight="false" outlineLevel="0" collapsed="false">
      <c r="F153" s="65"/>
      <c r="G153" s="619"/>
      <c r="H153" s="65"/>
      <c r="I153" s="619"/>
      <c r="J153" s="65"/>
    </row>
    <row r="154" customFormat="false" ht="12.75" hidden="false" customHeight="false" outlineLevel="0" collapsed="false">
      <c r="F154" s="65"/>
      <c r="G154" s="619"/>
      <c r="H154" s="65"/>
      <c r="I154" s="619"/>
      <c r="J154" s="65"/>
    </row>
    <row r="155" customFormat="false" ht="12.75" hidden="false" customHeight="false" outlineLevel="0" collapsed="false">
      <c r="F155" s="65"/>
      <c r="G155" s="619"/>
      <c r="H155" s="65"/>
      <c r="I155" s="619"/>
      <c r="J155" s="65"/>
    </row>
    <row r="156" customFormat="false" ht="12.75" hidden="false" customHeight="false" outlineLevel="0" collapsed="false">
      <c r="F156" s="65"/>
      <c r="G156" s="619"/>
      <c r="H156" s="65"/>
      <c r="I156" s="619"/>
      <c r="J156" s="65"/>
    </row>
    <row r="157" customFormat="false" ht="12.75" hidden="false" customHeight="false" outlineLevel="0" collapsed="false">
      <c r="F157" s="65"/>
      <c r="G157" s="619"/>
      <c r="H157" s="65"/>
      <c r="I157" s="619"/>
      <c r="J157" s="65"/>
    </row>
    <row r="158" customFormat="false" ht="12.75" hidden="false" customHeight="false" outlineLevel="0" collapsed="false">
      <c r="F158" s="65"/>
      <c r="G158" s="619"/>
      <c r="H158" s="65"/>
      <c r="I158" s="619"/>
      <c r="J158" s="65"/>
    </row>
    <row r="159" customFormat="false" ht="12.75" hidden="false" customHeight="false" outlineLevel="0" collapsed="false">
      <c r="F159" s="65"/>
      <c r="G159" s="619"/>
      <c r="H159" s="65"/>
      <c r="I159" s="619"/>
      <c r="J159" s="65"/>
    </row>
    <row r="160" customFormat="false" ht="12.75" hidden="false" customHeight="false" outlineLevel="0" collapsed="false">
      <c r="F160" s="65"/>
      <c r="G160" s="619"/>
      <c r="H160" s="65"/>
      <c r="I160" s="619"/>
      <c r="J160" s="65"/>
    </row>
    <row r="161" customFormat="false" ht="12.75" hidden="false" customHeight="false" outlineLevel="0" collapsed="false">
      <c r="F161" s="65"/>
      <c r="G161" s="619"/>
      <c r="H161" s="65"/>
      <c r="I161" s="619"/>
      <c r="J161" s="65"/>
    </row>
    <row r="162" customFormat="false" ht="12.75" hidden="false" customHeight="false" outlineLevel="0" collapsed="false">
      <c r="F162" s="65"/>
      <c r="G162" s="619"/>
      <c r="H162" s="65"/>
      <c r="I162" s="619"/>
      <c r="J162" s="65"/>
    </row>
    <row r="163" customFormat="false" ht="12.75" hidden="false" customHeight="false" outlineLevel="0" collapsed="false">
      <c r="F163" s="65"/>
      <c r="G163" s="619"/>
      <c r="H163" s="65"/>
      <c r="I163" s="619"/>
      <c r="J163" s="65"/>
    </row>
    <row r="164" customFormat="false" ht="12.75" hidden="false" customHeight="false" outlineLevel="0" collapsed="false">
      <c r="F164" s="65"/>
      <c r="G164" s="619"/>
      <c r="H164" s="65"/>
      <c r="I164" s="619"/>
      <c r="J164" s="65"/>
    </row>
    <row r="165" customFormat="false" ht="12.75" hidden="false" customHeight="false" outlineLevel="0" collapsed="false">
      <c r="F165" s="65"/>
      <c r="G165" s="619"/>
      <c r="H165" s="65"/>
      <c r="I165" s="619"/>
      <c r="J165" s="65"/>
    </row>
    <row r="166" customFormat="false" ht="12.75" hidden="false" customHeight="false" outlineLevel="0" collapsed="false">
      <c r="F166" s="65"/>
      <c r="G166" s="619"/>
      <c r="H166" s="65"/>
      <c r="I166" s="619"/>
      <c r="J166" s="65"/>
    </row>
    <row r="167" customFormat="false" ht="12.75" hidden="false" customHeight="false" outlineLevel="0" collapsed="false">
      <c r="F167" s="65"/>
      <c r="G167" s="619"/>
      <c r="H167" s="65"/>
      <c r="I167" s="619"/>
      <c r="J167" s="65"/>
    </row>
    <row r="168" customFormat="false" ht="12.75" hidden="false" customHeight="false" outlineLevel="0" collapsed="false">
      <c r="F168" s="65"/>
      <c r="G168" s="619"/>
      <c r="H168" s="65"/>
      <c r="I168" s="619"/>
      <c r="J168" s="65"/>
    </row>
    <row r="169" customFormat="false" ht="12.75" hidden="false" customHeight="false" outlineLevel="0" collapsed="false">
      <c r="F169" s="65"/>
      <c r="G169" s="619"/>
      <c r="H169" s="65"/>
      <c r="I169" s="619"/>
      <c r="J169" s="65"/>
    </row>
    <row r="170" customFormat="false" ht="12.75" hidden="false" customHeight="false" outlineLevel="0" collapsed="false">
      <c r="F170" s="65"/>
      <c r="G170" s="619"/>
      <c r="H170" s="65"/>
      <c r="I170" s="619"/>
      <c r="J170" s="65"/>
    </row>
    <row r="171" customFormat="false" ht="12.75" hidden="false" customHeight="false" outlineLevel="0" collapsed="false">
      <c r="F171" s="65"/>
      <c r="G171" s="619"/>
      <c r="H171" s="65"/>
      <c r="I171" s="619"/>
      <c r="J171" s="65"/>
    </row>
    <row r="172" customFormat="false" ht="12.75" hidden="false" customHeight="false" outlineLevel="0" collapsed="false">
      <c r="F172" s="65"/>
      <c r="G172" s="619"/>
      <c r="H172" s="65"/>
      <c r="I172" s="619"/>
      <c r="J172" s="65"/>
    </row>
    <row r="173" customFormat="false" ht="12.75" hidden="false" customHeight="false" outlineLevel="0" collapsed="false">
      <c r="F173" s="65"/>
      <c r="G173" s="619"/>
      <c r="H173" s="65"/>
      <c r="I173" s="619"/>
      <c r="J173" s="65"/>
    </row>
    <row r="174" customFormat="false" ht="12.75" hidden="false" customHeight="false" outlineLevel="0" collapsed="false">
      <c r="F174" s="65"/>
      <c r="G174" s="619"/>
      <c r="H174" s="65"/>
      <c r="I174" s="619"/>
      <c r="J174" s="65"/>
    </row>
    <row r="175" customFormat="false" ht="12.75" hidden="false" customHeight="false" outlineLevel="0" collapsed="false">
      <c r="F175" s="65"/>
      <c r="G175" s="619"/>
      <c r="H175" s="65"/>
      <c r="I175" s="619"/>
      <c r="J175" s="65"/>
    </row>
    <row r="176" customFormat="false" ht="12.75" hidden="false" customHeight="false" outlineLevel="0" collapsed="false">
      <c r="F176" s="65"/>
      <c r="G176" s="619"/>
      <c r="H176" s="65"/>
      <c r="I176" s="619"/>
      <c r="J176" s="65"/>
    </row>
    <row r="177" customFormat="false" ht="12.75" hidden="false" customHeight="false" outlineLevel="0" collapsed="false">
      <c r="F177" s="65"/>
      <c r="G177" s="619"/>
      <c r="H177" s="65"/>
      <c r="I177" s="619"/>
      <c r="J177" s="65"/>
    </row>
    <row r="178" customFormat="false" ht="12.75" hidden="false" customHeight="false" outlineLevel="0" collapsed="false">
      <c r="F178" s="65"/>
      <c r="G178" s="619"/>
      <c r="H178" s="65"/>
      <c r="I178" s="619"/>
      <c r="J178" s="65"/>
    </row>
    <row r="179" customFormat="false" ht="12.75" hidden="false" customHeight="false" outlineLevel="0" collapsed="false">
      <c r="F179" s="65"/>
      <c r="G179" s="619"/>
      <c r="H179" s="65"/>
      <c r="I179" s="619"/>
      <c r="J179" s="65"/>
    </row>
    <row r="180" customFormat="false" ht="12.75" hidden="false" customHeight="false" outlineLevel="0" collapsed="false">
      <c r="F180" s="65"/>
      <c r="G180" s="619"/>
      <c r="H180" s="65"/>
      <c r="I180" s="619"/>
      <c r="J180" s="65"/>
    </row>
    <row r="181" customFormat="false" ht="12.75" hidden="false" customHeight="false" outlineLevel="0" collapsed="false">
      <c r="F181" s="65"/>
      <c r="G181" s="619"/>
      <c r="H181" s="65"/>
      <c r="I181" s="619"/>
      <c r="J181" s="65"/>
    </row>
    <row r="182" customFormat="false" ht="12.75" hidden="false" customHeight="false" outlineLevel="0" collapsed="false">
      <c r="F182" s="65"/>
      <c r="G182" s="619"/>
      <c r="H182" s="65"/>
      <c r="I182" s="619"/>
      <c r="J182" s="65"/>
    </row>
  </sheetData>
  <mergeCells count="1">
    <mergeCell ref="A2:J2"/>
  </mergeCells>
  <printOptions headings="false" gridLines="true" gridLinesSet="true" horizontalCentered="false" verticalCentered="false"/>
  <pageMargins left="0.5" right="0.5" top="0.5" bottom="0.5" header="0.25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>&amp;LConfidential to &amp;C='CD Input'!d7&amp;R&amp;D</oddHeader>
    <oddFooter/>
  </headerFooter>
  <rowBreaks count="2" manualBreakCount="2">
    <brk id="42" man="true" max="16383" min="0"/>
    <brk id="67" man="true" max="16383" min="0"/>
  </row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48.99"/>
    <col collapsed="false" customWidth="true" hidden="false" outlineLevel="0" max="3" min="3" style="0" width="21.84"/>
    <col collapsed="false" customWidth="true" hidden="false" outlineLevel="0" max="4" min="4" style="0" width="18.56"/>
    <col collapsed="false" customWidth="true" hidden="false" outlineLevel="0" max="5" min="5" style="0" width="19.85"/>
  </cols>
  <sheetData>
    <row r="2" customFormat="false" ht="12.75" hidden="false" customHeight="false" outlineLevel="0" collapsed="false">
      <c r="B2" s="662" t="s">
        <v>9</v>
      </c>
      <c r="C2" s="663"/>
      <c r="D2" s="663"/>
      <c r="E2" s="663"/>
    </row>
    <row r="3" customFormat="false" ht="12.75" hidden="false" customHeight="false" outlineLevel="0" collapsed="false">
      <c r="B3" s="664"/>
      <c r="C3" s="665" t="s">
        <v>361</v>
      </c>
      <c r="D3" s="665"/>
      <c r="E3" s="665"/>
    </row>
    <row r="4" customFormat="false" ht="12.75" hidden="false" customHeight="false" outlineLevel="0" collapsed="false">
      <c r="B4" s="666" t="s">
        <v>563</v>
      </c>
      <c r="C4" s="667" t="s">
        <v>564</v>
      </c>
      <c r="D4" s="668" t="s">
        <v>565</v>
      </c>
      <c r="E4" s="669" t="s">
        <v>331</v>
      </c>
    </row>
    <row r="5" customFormat="false" ht="25.5" hidden="false" customHeight="false" outlineLevel="0" collapsed="false">
      <c r="B5" s="670" t="str">
        <f aca="false">+R1!B2</f>
        <v>Revenue Enhancement due to better customer service and account management</v>
      </c>
      <c r="C5" s="25" t="n">
        <f aca="false">R1!$L$29*1000</f>
        <v>0</v>
      </c>
      <c r="D5" s="25" t="n">
        <f aca="false">R1!$L$30*1000</f>
        <v>0</v>
      </c>
      <c r="E5" s="25" t="n">
        <f aca="false">R1!$L$31*1000</f>
        <v>0</v>
      </c>
    </row>
    <row r="6" customFormat="false" ht="25.5" hidden="false" customHeight="false" outlineLevel="0" collapsed="false">
      <c r="B6" s="670" t="str">
        <f aca="false">+R2!B2</f>
        <v>Revenue Enhancement due to better margin and discount management</v>
      </c>
      <c r="C6" s="671" t="n">
        <f aca="false">R2!$L$27*1000</f>
        <v>0</v>
      </c>
      <c r="D6" s="671" t="n">
        <f aca="false">R2!$L$28*1000</f>
        <v>0</v>
      </c>
      <c r="E6" s="671" t="n">
        <f aca="false">R2!$L$29*1000</f>
        <v>0</v>
      </c>
    </row>
    <row r="7" customFormat="false" ht="12.75" hidden="false" customHeight="false" outlineLevel="0" collapsed="false">
      <c r="B7" s="670"/>
      <c r="C7" s="671"/>
      <c r="D7" s="671"/>
      <c r="E7" s="671"/>
    </row>
    <row r="8" customFormat="false" ht="13.5" hidden="false" customHeight="false" outlineLevel="0" collapsed="false">
      <c r="B8" s="672" t="s">
        <v>566</v>
      </c>
      <c r="C8" s="673" t="n">
        <f aca="false">SUM(C5:C6)</f>
        <v>0</v>
      </c>
      <c r="D8" s="673" t="n">
        <f aca="false">SUM(D5:D6)</f>
        <v>0</v>
      </c>
      <c r="E8" s="673" t="n">
        <f aca="false">SUM(E5:E6)</f>
        <v>0</v>
      </c>
    </row>
    <row r="9" customFormat="false" ht="13.5" hidden="false" customHeight="false" outlineLevel="0" collapsed="false">
      <c r="B9" s="674"/>
      <c r="E9" s="113"/>
    </row>
    <row r="10" customFormat="false" ht="12.75" hidden="false" customHeight="false" outlineLevel="0" collapsed="false">
      <c r="B10" s="674"/>
      <c r="E10" s="113"/>
    </row>
    <row r="11" customFormat="false" ht="12.75" hidden="false" customHeight="false" outlineLevel="0" collapsed="false">
      <c r="B11" s="662" t="s">
        <v>9</v>
      </c>
      <c r="C11" s="663"/>
      <c r="D11" s="663"/>
      <c r="E11" s="675"/>
    </row>
    <row r="12" customFormat="false" ht="12.75" hidden="false" customHeight="false" outlineLevel="0" collapsed="false">
      <c r="B12" s="664"/>
      <c r="C12" s="665" t="s">
        <v>361</v>
      </c>
      <c r="D12" s="665"/>
      <c r="E12" s="665"/>
    </row>
    <row r="13" customFormat="false" ht="12.75" hidden="false" customHeight="false" outlineLevel="0" collapsed="false">
      <c r="B13" s="666" t="s">
        <v>563</v>
      </c>
      <c r="C13" s="667" t="s">
        <v>564</v>
      </c>
      <c r="D13" s="668" t="s">
        <v>565</v>
      </c>
      <c r="E13" s="669" t="s">
        <v>331</v>
      </c>
    </row>
    <row r="14" customFormat="false" ht="12.75" hidden="false" customHeight="false" outlineLevel="0" collapsed="false">
      <c r="A14" s="676"/>
      <c r="B14" s="677"/>
      <c r="C14" s="678"/>
      <c r="D14" s="678"/>
      <c r="E14" s="678"/>
    </row>
    <row r="15" customFormat="false" ht="12.75" hidden="false" customHeight="false" outlineLevel="0" collapsed="false">
      <c r="A15" s="676"/>
      <c r="B15" s="677"/>
      <c r="C15" s="678"/>
      <c r="D15" s="678"/>
      <c r="E15" s="678"/>
    </row>
    <row r="16" customFormat="false" ht="12.75" hidden="false" customHeight="false" outlineLevel="0" collapsed="false">
      <c r="B16" s="0" t="str">
        <f aca="false">+E1!A2</f>
        <v>Cost of Sales</v>
      </c>
      <c r="C16" s="25" t="n">
        <f aca="false">E1!$L$26</f>
        <v>0</v>
      </c>
      <c r="D16" s="25" t="n">
        <f aca="false">E1!$L$27</f>
        <v>0</v>
      </c>
      <c r="E16" s="25" t="n">
        <f aca="false">E1!$L$28</f>
        <v>0</v>
      </c>
    </row>
    <row r="17" customFormat="false" ht="12.75" hidden="false" customHeight="false" outlineLevel="0" collapsed="false">
      <c r="B17" s="0" t="str">
        <f aca="false">+E2!A2</f>
        <v>Better Vendor Matching</v>
      </c>
      <c r="C17" s="671" t="n">
        <f aca="false">E2!H17</f>
        <v>20915200</v>
      </c>
      <c r="D17" s="671" t="n">
        <f aca="false">E2!J17</f>
        <v>77222500</v>
      </c>
      <c r="E17" s="671" t="n">
        <f aca="false">E2!L17</f>
        <v>204540000</v>
      </c>
    </row>
    <row r="18" customFormat="false" ht="12.75" hidden="false" customHeight="false" outlineLevel="0" collapsed="false">
      <c r="B18" s="0" t="str">
        <f aca="false">+E3!A2</f>
        <v>Reduction in Maverick Spend</v>
      </c>
      <c r="C18" s="671" t="n">
        <f aca="false">E3!H17</f>
        <v>20915200</v>
      </c>
      <c r="D18" s="671" t="n">
        <f aca="false">E3!J17</f>
        <v>77222500</v>
      </c>
      <c r="E18" s="671" t="n">
        <f aca="false">E3!L17</f>
        <v>204540000</v>
      </c>
    </row>
    <row r="19" customFormat="false" ht="12.75" hidden="false" customHeight="false" outlineLevel="0" collapsed="false">
      <c r="B19" s="0" t="str">
        <f aca="false">+E5!A2</f>
        <v>Purchase Price reduction - Aggregation</v>
      </c>
      <c r="C19" s="671" t="n">
        <f aca="false">E5!H16</f>
        <v>20915200</v>
      </c>
      <c r="D19" s="671" t="n">
        <f aca="false">E5!J16</f>
        <v>61778000</v>
      </c>
      <c r="E19" s="671" t="n">
        <f aca="false">E5!L16</f>
        <v>122724000</v>
      </c>
    </row>
    <row r="20" customFormat="false" ht="12.75" hidden="false" customHeight="false" outlineLevel="0" collapsed="false">
      <c r="A20" s="679"/>
      <c r="B20" s="679" t="s">
        <v>567</v>
      </c>
      <c r="C20" s="680" t="n">
        <f aca="false">SUM(C16:C19)</f>
        <v>62745600</v>
      </c>
      <c r="D20" s="680" t="n">
        <f aca="false">SUM(D16:D19)</f>
        <v>216223000</v>
      </c>
      <c r="E20" s="680" t="n">
        <f aca="false">SUM(E16:E19)</f>
        <v>531804000</v>
      </c>
    </row>
    <row r="21" customFormat="false" ht="12.75" hidden="false" customHeight="false" outlineLevel="0" collapsed="false">
      <c r="B21" s="0" t="s">
        <v>568</v>
      </c>
      <c r="C21" s="671" t="n">
        <f aca="false">Assumptions!E90</f>
        <v>1045760000</v>
      </c>
      <c r="D21" s="671" t="n">
        <f aca="false">Assumptions!G90</f>
        <v>1544450000</v>
      </c>
      <c r="E21" s="671" t="n">
        <f aca="false">Assumptions!I90</f>
        <v>2045400000</v>
      </c>
    </row>
    <row r="22" customFormat="false" ht="12.75" hidden="false" customHeight="false" outlineLevel="0" collapsed="false">
      <c r="A22" s="679"/>
      <c r="B22" s="679" t="s">
        <v>569</v>
      </c>
      <c r="C22" s="681" t="n">
        <f aca="false">C20/C21</f>
        <v>0.06</v>
      </c>
      <c r="D22" s="681" t="n">
        <f aca="false">D20/D21</f>
        <v>0.14</v>
      </c>
      <c r="E22" s="681" t="n">
        <f aca="false">E20/E21</f>
        <v>0.26</v>
      </c>
    </row>
    <row r="23" customFormat="false" ht="12.75" hidden="false" customHeight="false" outlineLevel="0" collapsed="false">
      <c r="C23" s="671"/>
      <c r="D23" s="671"/>
      <c r="E23" s="671"/>
    </row>
    <row r="24" customFormat="false" ht="12.75" hidden="false" customHeight="false" outlineLevel="0" collapsed="false">
      <c r="B24" s="0" t="str">
        <f aca="false">+E6!A2</f>
        <v>Purchasing Labor Reduction (Automation)</v>
      </c>
      <c r="C24" s="671" t="n">
        <f aca="false">E6!H17</f>
        <v>839200</v>
      </c>
      <c r="D24" s="671" t="n">
        <f aca="false">E6!J17</f>
        <v>2517600</v>
      </c>
      <c r="E24" s="671" t="n">
        <f aca="false">E6!L17</f>
        <v>6294000</v>
      </c>
    </row>
    <row r="25" customFormat="false" ht="12.75" hidden="false" customHeight="false" outlineLevel="0" collapsed="false">
      <c r="B25" s="682" t="s">
        <v>362</v>
      </c>
      <c r="C25" s="671" t="n">
        <f aca="false">E4!H18</f>
        <v>6466480</v>
      </c>
      <c r="D25" s="671" t="n">
        <f aca="false">E4!J18</f>
        <v>22144060</v>
      </c>
      <c r="E25" s="671" t="n">
        <f aca="false">E4!L18</f>
        <v>54349800</v>
      </c>
    </row>
    <row r="26" customFormat="false" ht="12.75" hidden="false" customHeight="false" outlineLevel="0" collapsed="false">
      <c r="C26" s="671"/>
      <c r="D26" s="671"/>
      <c r="E26" s="671"/>
    </row>
    <row r="27" customFormat="false" ht="12.75" hidden="false" customHeight="false" outlineLevel="0" collapsed="false">
      <c r="C27" s="671"/>
      <c r="D27" s="671"/>
      <c r="E27" s="671"/>
    </row>
    <row r="29" customFormat="false" ht="13.5" hidden="false" customHeight="false" outlineLevel="0" collapsed="false">
      <c r="B29" s="683" t="s">
        <v>570</v>
      </c>
      <c r="C29" s="673" t="n">
        <f aca="false">C20+C24+C25</f>
        <v>70051280</v>
      </c>
      <c r="D29" s="673" t="n">
        <f aca="false">D20+D24+D25</f>
        <v>240884660</v>
      </c>
      <c r="E29" s="673" t="n">
        <f aca="false">E20+E24+E25</f>
        <v>592447800</v>
      </c>
    </row>
    <row r="30" customFormat="false" ht="13.5" hidden="false" customHeight="false" outlineLevel="0" collapsed="false"/>
  </sheetData>
  <mergeCells count="2">
    <mergeCell ref="C3:E3"/>
    <mergeCell ref="C12:E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4"/>
  <sheetViews>
    <sheetView showFormulas="false" showGridLines="false" showRowColHeaders="true" showZeros="true" rightToLeft="false" tabSelected="false" showOutlineSymbols="true" defaultGridColor="true" view="normal" topLeftCell="A46" colorId="64" zoomScale="100" zoomScaleNormal="100" zoomScalePageLayoutView="100" workbookViewId="0">
      <selection pane="topLeft" activeCell="E58" activeCellId="0" sqref="E58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13" width="1.28"/>
    <col collapsed="false" customWidth="true" hidden="false" outlineLevel="0" max="2" min="2" style="113" width="2.42"/>
    <col collapsed="false" customWidth="true" hidden="false" outlineLevel="0" max="3" min="3" style="113" width="38.85"/>
    <col collapsed="false" customWidth="true" hidden="false" outlineLevel="0" max="4" min="4" style="113" width="2.7"/>
    <col collapsed="false" customWidth="true" hidden="false" outlineLevel="0" max="5" min="5" style="113" width="12.7"/>
    <col collapsed="false" customWidth="true" hidden="false" outlineLevel="0" max="6" min="6" style="113" width="2.28"/>
    <col collapsed="false" customWidth="true" hidden="false" outlineLevel="0" max="7" min="7" style="113" width="12.7"/>
    <col collapsed="false" customWidth="true" hidden="false" outlineLevel="0" max="8" min="8" style="113" width="1.7"/>
    <col collapsed="false" customWidth="true" hidden="false" outlineLevel="0" max="9" min="9" style="113" width="12.7"/>
    <col collapsed="false" customWidth="true" hidden="false" outlineLevel="0" max="10" min="10" style="113" width="1.56"/>
    <col collapsed="false" customWidth="true" hidden="false" outlineLevel="0" max="11" min="11" style="113" width="12.7"/>
    <col collapsed="false" customWidth="true" hidden="false" outlineLevel="0" max="12" min="12" style="113" width="2.42"/>
    <col collapsed="false" customWidth="true" hidden="false" outlineLevel="0" max="13" min="13" style="113" width="12.7"/>
    <col collapsed="false" customWidth="true" hidden="false" outlineLevel="0" max="14" min="14" style="113" width="2.56"/>
    <col collapsed="false" customWidth="false" hidden="false" outlineLevel="0" max="257" min="15" style="113" width="9.14"/>
  </cols>
  <sheetData>
    <row r="1" customFormat="false" ht="12" hidden="false" customHeight="false" outlineLevel="0" collapsed="false"/>
    <row r="2" customFormat="false" ht="18.75" hidden="false" customHeight="false" outlineLevel="0" collapsed="false">
      <c r="C2" s="684" t="s">
        <v>571</v>
      </c>
      <c r="E2" s="314" t="s">
        <v>175</v>
      </c>
    </row>
    <row r="4" customFormat="false" ht="11.25" hidden="false" customHeight="false" outlineLevel="0" collapsed="false">
      <c r="B4" s="685"/>
      <c r="C4" s="686" t="s">
        <v>342</v>
      </c>
      <c r="D4" s="247"/>
      <c r="E4" s="243" t="s">
        <v>3</v>
      </c>
      <c r="F4" s="247"/>
      <c r="G4" s="243" t="s">
        <v>4</v>
      </c>
      <c r="H4" s="247"/>
      <c r="I4" s="243" t="s">
        <v>5</v>
      </c>
      <c r="J4" s="247"/>
      <c r="K4" s="243" t="s">
        <v>6</v>
      </c>
      <c r="L4" s="243"/>
      <c r="M4" s="243" t="s">
        <v>7</v>
      </c>
      <c r="N4" s="245"/>
    </row>
    <row r="5" customFormat="false" ht="11.25" hidden="false" customHeight="false" outlineLevel="0" collapsed="false">
      <c r="B5" s="687"/>
      <c r="C5" s="688"/>
      <c r="D5" s="688"/>
      <c r="E5" s="688"/>
      <c r="F5" s="688"/>
      <c r="G5" s="688"/>
      <c r="H5" s="688"/>
      <c r="I5" s="688"/>
      <c r="J5" s="688"/>
      <c r="K5" s="688"/>
      <c r="L5" s="688"/>
      <c r="M5" s="688"/>
      <c r="N5" s="689"/>
    </row>
    <row r="6" customFormat="false" ht="11.25" hidden="false" customHeight="false" outlineLevel="0" collapsed="false">
      <c r="B6" s="250"/>
      <c r="C6" s="690" t="str">
        <f aca="false">+E12</f>
        <v>Conservative Estimate</v>
      </c>
      <c r="D6" s="251"/>
      <c r="E6" s="691" t="n">
        <v>0.5</v>
      </c>
      <c r="F6" s="691"/>
      <c r="G6" s="691" t="n">
        <v>1</v>
      </c>
      <c r="H6" s="691"/>
      <c r="I6" s="691" t="n">
        <v>1</v>
      </c>
      <c r="J6" s="691"/>
      <c r="K6" s="691" t="n">
        <v>1</v>
      </c>
      <c r="L6" s="691"/>
      <c r="M6" s="691" t="n">
        <v>1</v>
      </c>
      <c r="N6" s="252"/>
    </row>
    <row r="7" customFormat="false" ht="11.25" hidden="false" customHeight="false" outlineLevel="0" collapsed="false">
      <c r="B7" s="250"/>
      <c r="C7" s="692" t="str">
        <f aca="false">+G12</f>
        <v>Average Estimate</v>
      </c>
      <c r="D7" s="251"/>
      <c r="E7" s="691" t="n">
        <v>0.6</v>
      </c>
      <c r="F7" s="691"/>
      <c r="G7" s="691" t="n">
        <v>1</v>
      </c>
      <c r="H7" s="691"/>
      <c r="I7" s="691" t="n">
        <v>1</v>
      </c>
      <c r="J7" s="691"/>
      <c r="K7" s="691" t="n">
        <v>1</v>
      </c>
      <c r="L7" s="691"/>
      <c r="M7" s="691" t="n">
        <v>1</v>
      </c>
      <c r="N7" s="252"/>
    </row>
    <row r="8" customFormat="false" ht="11.25" hidden="false" customHeight="false" outlineLevel="0" collapsed="false">
      <c r="B8" s="250"/>
      <c r="C8" s="693" t="str">
        <f aca="false">+I12</f>
        <v>Peak Performance</v>
      </c>
      <c r="D8" s="251"/>
      <c r="E8" s="691" t="n">
        <v>0.7</v>
      </c>
      <c r="F8" s="691"/>
      <c r="G8" s="691" t="n">
        <v>1</v>
      </c>
      <c r="H8" s="691"/>
      <c r="I8" s="691" t="n">
        <v>1</v>
      </c>
      <c r="J8" s="691"/>
      <c r="K8" s="691" t="n">
        <v>1</v>
      </c>
      <c r="L8" s="691"/>
      <c r="M8" s="691" t="n">
        <v>1</v>
      </c>
      <c r="N8" s="252"/>
    </row>
    <row r="9" customFormat="false" ht="11.25" hidden="false" customHeight="false" outlineLevel="0" collapsed="false">
      <c r="B9" s="279"/>
      <c r="C9" s="694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1"/>
    </row>
    <row r="12" customFormat="false" ht="25.5" hidden="false" customHeight="true" outlineLevel="0" collapsed="false">
      <c r="B12" s="297"/>
      <c r="C12" s="299"/>
      <c r="D12" s="299"/>
      <c r="E12" s="695" t="s">
        <v>564</v>
      </c>
      <c r="F12" s="306"/>
      <c r="G12" s="695" t="s">
        <v>565</v>
      </c>
      <c r="H12" s="306"/>
      <c r="I12" s="695" t="s">
        <v>331</v>
      </c>
      <c r="J12" s="696"/>
    </row>
    <row r="13" customFormat="false" ht="12.75" hidden="false" customHeight="true" outlineLevel="0" collapsed="false">
      <c r="A13" s="303"/>
      <c r="B13" s="303"/>
      <c r="C13" s="303"/>
      <c r="D13" s="303"/>
      <c r="E13" s="697"/>
      <c r="F13" s="284"/>
      <c r="G13" s="697"/>
      <c r="H13" s="284"/>
      <c r="I13" s="697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  <c r="IW13" s="303"/>
    </row>
    <row r="14" customFormat="false" ht="11.25" hidden="false" customHeight="false" outlineLevel="0" collapsed="false">
      <c r="B14" s="687"/>
      <c r="C14" s="688"/>
      <c r="D14" s="688"/>
      <c r="E14" s="688"/>
      <c r="F14" s="688"/>
      <c r="G14" s="688"/>
      <c r="H14" s="688"/>
      <c r="I14" s="688"/>
      <c r="J14" s="689"/>
    </row>
    <row r="15" customFormat="false" ht="11.25" hidden="false" customHeight="false" outlineLevel="0" collapsed="false">
      <c r="B15" s="698"/>
      <c r="C15" s="699" t="s">
        <v>15</v>
      </c>
      <c r="D15" s="251"/>
      <c r="E15" s="700" t="s">
        <v>9</v>
      </c>
      <c r="F15" s="251"/>
      <c r="G15" s="700" t="s">
        <v>9</v>
      </c>
      <c r="H15" s="700" t="s">
        <v>9</v>
      </c>
      <c r="I15" s="700" t="s">
        <v>9</v>
      </c>
      <c r="J15" s="252"/>
    </row>
    <row r="16" customFormat="false" ht="11.25" hidden="false" customHeight="false" outlineLevel="0" collapsed="false">
      <c r="B16" s="250"/>
      <c r="C16" s="251"/>
      <c r="D16" s="251"/>
      <c r="E16" s="251"/>
      <c r="F16" s="251"/>
      <c r="G16" s="251"/>
      <c r="H16" s="251"/>
      <c r="I16" s="251"/>
      <c r="J16" s="252"/>
    </row>
    <row r="17" customFormat="false" ht="11.25" hidden="false" customHeight="false" outlineLevel="0" collapsed="false">
      <c r="B17" s="250"/>
      <c r="C17" s="251" t="s">
        <v>572</v>
      </c>
      <c r="D17" s="251"/>
      <c r="E17" s="701" t="n">
        <f aca="false">+Inc!D15</f>
        <v>11914000000</v>
      </c>
      <c r="F17" s="701"/>
      <c r="G17" s="701" t="n">
        <f aca="false">+E17</f>
        <v>11914000000</v>
      </c>
      <c r="H17" s="701"/>
      <c r="I17" s="701" t="n">
        <f aca="false">+E17</f>
        <v>11914000000</v>
      </c>
      <c r="J17" s="252"/>
    </row>
    <row r="18" customFormat="false" ht="11.25" hidden="false" customHeight="false" outlineLevel="0" collapsed="false">
      <c r="B18" s="250"/>
      <c r="C18" s="251" t="s">
        <v>573</v>
      </c>
      <c r="D18" s="251"/>
      <c r="E18" s="701" t="n">
        <f aca="false">+Inc!D17</f>
        <v>0</v>
      </c>
      <c r="F18" s="701"/>
      <c r="G18" s="701" t="n">
        <f aca="false">+E18</f>
        <v>0</v>
      </c>
      <c r="H18" s="701"/>
      <c r="I18" s="701" t="n">
        <f aca="false">+E18</f>
        <v>0</v>
      </c>
      <c r="J18" s="252"/>
    </row>
    <row r="19" customFormat="false" ht="22.5" hidden="false" customHeight="false" outlineLevel="0" collapsed="false">
      <c r="B19" s="250"/>
      <c r="C19" s="702" t="s">
        <v>574</v>
      </c>
      <c r="D19" s="251" t="s">
        <v>575</v>
      </c>
      <c r="E19" s="703" t="n">
        <v>0</v>
      </c>
      <c r="F19" s="691"/>
      <c r="G19" s="703" t="n">
        <v>0</v>
      </c>
      <c r="H19" s="704"/>
      <c r="I19" s="703" t="n">
        <v>0</v>
      </c>
      <c r="J19" s="252"/>
    </row>
    <row r="20" customFormat="false" ht="22.5" hidden="false" customHeight="false" outlineLevel="0" collapsed="false">
      <c r="B20" s="250"/>
      <c r="C20" s="702" t="str">
        <f aca="false">+R2!B2</f>
        <v>Revenue Enhancement due to better margin and discount management</v>
      </c>
      <c r="D20" s="251" t="s">
        <v>576</v>
      </c>
      <c r="E20" s="703" t="n">
        <v>0</v>
      </c>
      <c r="F20" s="691"/>
      <c r="G20" s="703" t="n">
        <v>0</v>
      </c>
      <c r="H20" s="704"/>
      <c r="I20" s="703" t="n">
        <v>0</v>
      </c>
      <c r="J20" s="252"/>
    </row>
    <row r="21" customFormat="false" ht="11.25" hidden="false" customHeight="false" outlineLevel="0" collapsed="false">
      <c r="B21" s="279"/>
      <c r="C21" s="280"/>
      <c r="D21" s="280"/>
      <c r="E21" s="280"/>
      <c r="F21" s="280"/>
      <c r="G21" s="280"/>
      <c r="H21" s="280"/>
      <c r="I21" s="280"/>
      <c r="J21" s="281"/>
    </row>
    <row r="24" customFormat="false" ht="11.25" hidden="false" customHeight="false" outlineLevel="0" collapsed="false">
      <c r="B24" s="687"/>
      <c r="C24" s="688"/>
      <c r="D24" s="688"/>
      <c r="E24" s="688"/>
      <c r="F24" s="688"/>
      <c r="G24" s="688"/>
      <c r="H24" s="688"/>
      <c r="I24" s="688"/>
      <c r="J24" s="689"/>
    </row>
    <row r="25" customFormat="false" ht="11.25" hidden="false" customHeight="false" outlineLevel="0" collapsed="false">
      <c r="B25" s="250"/>
      <c r="C25" s="699" t="s">
        <v>577</v>
      </c>
      <c r="D25" s="251"/>
      <c r="E25" s="251"/>
      <c r="F25" s="251"/>
      <c r="G25" s="251"/>
      <c r="H25" s="251"/>
      <c r="I25" s="251"/>
      <c r="J25" s="252"/>
    </row>
    <row r="26" customFormat="false" ht="11.25" hidden="false" customHeight="false" outlineLevel="0" collapsed="false">
      <c r="B26" s="250"/>
      <c r="C26" s="251"/>
      <c r="D26" s="251"/>
      <c r="E26" s="251"/>
      <c r="F26" s="251"/>
      <c r="G26" s="251"/>
      <c r="H26" s="251"/>
      <c r="I26" s="251"/>
      <c r="J26" s="252"/>
    </row>
    <row r="27" customFormat="false" ht="11.25" hidden="false" customHeight="false" outlineLevel="0" collapsed="false">
      <c r="B27" s="250"/>
      <c r="C27" s="251" t="str">
        <f aca="false">+E1!A2</f>
        <v>Cost of Sales</v>
      </c>
      <c r="D27" s="251" t="s">
        <v>578</v>
      </c>
      <c r="E27" s="703" t="n">
        <v>0</v>
      </c>
      <c r="F27" s="691"/>
      <c r="G27" s="703" t="n">
        <v>0</v>
      </c>
      <c r="H27" s="704"/>
      <c r="I27" s="703" t="n">
        <v>0</v>
      </c>
      <c r="J27" s="252"/>
    </row>
    <row r="28" customFormat="false" ht="11.25" hidden="false" customHeight="false" outlineLevel="0" collapsed="false">
      <c r="B28" s="250"/>
      <c r="C28" s="251"/>
      <c r="D28" s="251"/>
      <c r="E28" s="303"/>
      <c r="F28" s="303"/>
      <c r="G28" s="303"/>
      <c r="H28" s="303"/>
      <c r="I28" s="303"/>
      <c r="J28" s="252"/>
    </row>
    <row r="29" customFormat="false" ht="11.25" hidden="false" customHeight="false" outlineLevel="0" collapsed="false">
      <c r="B29" s="250"/>
      <c r="C29" s="251" t="str">
        <f aca="false">+E2!A2</f>
        <v>Better Vendor Matching</v>
      </c>
      <c r="D29" s="251" t="s">
        <v>579</v>
      </c>
      <c r="E29" s="703" t="n">
        <v>0.02</v>
      </c>
      <c r="F29" s="691"/>
      <c r="G29" s="703" t="n">
        <v>0.05</v>
      </c>
      <c r="H29" s="704"/>
      <c r="I29" s="703" t="n">
        <v>0.1</v>
      </c>
      <c r="J29" s="252"/>
    </row>
    <row r="30" customFormat="false" ht="11.25" hidden="false" customHeight="false" outlineLevel="0" collapsed="false">
      <c r="B30" s="250"/>
      <c r="C30" s="251"/>
      <c r="D30" s="251"/>
      <c r="E30" s="303"/>
      <c r="F30" s="303"/>
      <c r="G30" s="303"/>
      <c r="H30" s="303"/>
      <c r="I30" s="303"/>
      <c r="J30" s="252"/>
    </row>
    <row r="31" customFormat="false" ht="11.25" hidden="false" customHeight="false" outlineLevel="0" collapsed="false">
      <c r="B31" s="250"/>
      <c r="C31" s="251" t="str">
        <f aca="false">+E3!A2</f>
        <v>Reduction in Maverick Spend</v>
      </c>
      <c r="D31" s="251" t="s">
        <v>580</v>
      </c>
      <c r="E31" s="703" t="n">
        <v>0.02</v>
      </c>
      <c r="F31" s="691"/>
      <c r="G31" s="703" t="n">
        <v>0.05</v>
      </c>
      <c r="H31" s="704"/>
      <c r="I31" s="703" t="n">
        <v>0.1</v>
      </c>
      <c r="J31" s="252"/>
    </row>
    <row r="32" customFormat="false" ht="11.25" hidden="false" customHeight="false" outlineLevel="0" collapsed="false">
      <c r="B32" s="250"/>
      <c r="C32" s="251"/>
      <c r="D32" s="251"/>
      <c r="E32" s="303"/>
      <c r="F32" s="303"/>
      <c r="G32" s="303"/>
      <c r="H32" s="303"/>
      <c r="I32" s="303"/>
      <c r="J32" s="252"/>
    </row>
    <row r="33" customFormat="false" ht="11.25" hidden="false" customHeight="false" outlineLevel="0" collapsed="false">
      <c r="B33" s="250"/>
      <c r="C33" s="251" t="str">
        <f aca="false">+E4!B16</f>
        <v>Times Cost of Capital</v>
      </c>
      <c r="D33" s="251" t="s">
        <v>581</v>
      </c>
      <c r="E33" s="705" t="n">
        <f aca="false">+I!F39</f>
        <v>0.1</v>
      </c>
      <c r="F33" s="706"/>
      <c r="G33" s="705" t="n">
        <f aca="false">+I!H39</f>
        <v>0.1</v>
      </c>
      <c r="H33" s="706"/>
      <c r="I33" s="705" t="n">
        <f aca="false">+I!J39</f>
        <v>0.1</v>
      </c>
      <c r="J33" s="252"/>
    </row>
    <row r="34" customFormat="false" ht="11.25" hidden="false" customHeight="false" outlineLevel="0" collapsed="false">
      <c r="B34" s="250"/>
      <c r="C34" s="251"/>
      <c r="D34" s="251"/>
      <c r="E34" s="303"/>
      <c r="F34" s="303"/>
      <c r="G34" s="303"/>
      <c r="H34" s="303"/>
      <c r="I34" s="303"/>
      <c r="J34" s="252"/>
    </row>
    <row r="35" customFormat="false" ht="11.25" hidden="false" customHeight="false" outlineLevel="0" collapsed="false">
      <c r="B35" s="250"/>
      <c r="C35" s="251" t="str">
        <f aca="false">+E5!A2</f>
        <v>Purchase Price reduction - Aggregation</v>
      </c>
      <c r="D35" s="251" t="s">
        <v>582</v>
      </c>
      <c r="E35" s="703" t="n">
        <v>0.02</v>
      </c>
      <c r="F35" s="691"/>
      <c r="G35" s="703" t="n">
        <v>0.04</v>
      </c>
      <c r="H35" s="704"/>
      <c r="I35" s="703" t="n">
        <v>0.06</v>
      </c>
      <c r="J35" s="252"/>
    </row>
    <row r="36" customFormat="false" ht="11.25" hidden="false" customHeight="false" outlineLevel="0" collapsed="false">
      <c r="B36" s="250"/>
      <c r="C36" s="251"/>
      <c r="D36" s="251"/>
      <c r="E36" s="707"/>
      <c r="F36" s="303"/>
      <c r="G36" s="707"/>
      <c r="H36" s="708"/>
      <c r="I36" s="707"/>
      <c r="J36" s="252"/>
    </row>
    <row r="37" customFormat="false" ht="11.25" hidden="false" customHeight="false" outlineLevel="0" collapsed="false">
      <c r="B37" s="250"/>
      <c r="C37" s="251" t="s">
        <v>583</v>
      </c>
      <c r="D37" s="251" t="s">
        <v>584</v>
      </c>
      <c r="E37" s="709" t="n">
        <f aca="false">Inc!B22</f>
        <v>4196000000</v>
      </c>
      <c r="F37" s="691"/>
      <c r="G37" s="709" t="n">
        <f aca="false">E37</f>
        <v>4196000000</v>
      </c>
      <c r="H37" s="691"/>
      <c r="I37" s="709" t="n">
        <f aca="false">G37</f>
        <v>4196000000</v>
      </c>
      <c r="J37" s="252"/>
    </row>
    <row r="38" customFormat="false" ht="11.25" hidden="false" customHeight="false" outlineLevel="0" collapsed="false">
      <c r="B38" s="250"/>
      <c r="C38" s="251" t="s">
        <v>585</v>
      </c>
      <c r="D38" s="251" t="s">
        <v>584</v>
      </c>
      <c r="E38" s="710" t="n">
        <v>0.002</v>
      </c>
      <c r="F38" s="703"/>
      <c r="G38" s="703" t="n">
        <v>0.003</v>
      </c>
      <c r="H38" s="703"/>
      <c r="I38" s="703" t="n">
        <v>0.005</v>
      </c>
      <c r="J38" s="252"/>
    </row>
    <row r="39" customFormat="false" ht="11.25" hidden="false" customHeight="false" outlineLevel="0" collapsed="false">
      <c r="B39" s="250"/>
      <c r="C39" s="251" t="str">
        <f aca="false">+E6!A2</f>
        <v>Purchasing Labor Reduction (Automation)</v>
      </c>
      <c r="D39" s="251" t="s">
        <v>584</v>
      </c>
      <c r="E39" s="711" t="n">
        <v>0.1</v>
      </c>
      <c r="F39" s="691"/>
      <c r="G39" s="711" t="n">
        <v>0.2</v>
      </c>
      <c r="H39" s="691"/>
      <c r="I39" s="711" t="n">
        <v>0.3</v>
      </c>
      <c r="J39" s="252"/>
    </row>
    <row r="40" customFormat="false" ht="11.25" hidden="false" customHeight="false" outlineLevel="0" collapsed="false">
      <c r="B40" s="250"/>
      <c r="C40" s="251"/>
      <c r="D40" s="251"/>
      <c r="E40" s="303"/>
      <c r="F40" s="303"/>
      <c r="G40" s="303"/>
      <c r="H40" s="303"/>
      <c r="I40" s="303"/>
      <c r="J40" s="252"/>
    </row>
    <row r="41" customFormat="false" ht="11.25" hidden="false" customHeight="false" outlineLevel="0" collapsed="false">
      <c r="B41" s="250"/>
      <c r="C41" s="251" t="str">
        <f aca="false">+I!B47</f>
        <v>Selling &amp; Administrative Expense</v>
      </c>
      <c r="D41" s="251" t="s">
        <v>586</v>
      </c>
      <c r="E41" s="712" t="n">
        <v>0</v>
      </c>
      <c r="F41" s="713"/>
      <c r="G41" s="712" t="n">
        <f aca="false">E41</f>
        <v>0</v>
      </c>
      <c r="H41" s="713"/>
      <c r="I41" s="712" t="n">
        <f aca="false">G41</f>
        <v>0</v>
      </c>
      <c r="J41" s="252"/>
    </row>
    <row r="42" customFormat="false" ht="11.25" hidden="false" customHeight="false" outlineLevel="0" collapsed="false">
      <c r="B42" s="250"/>
      <c r="C42" s="251" t="str">
        <f aca="false">+E7!B2</f>
        <v>Improved Planning and Budgeting and Expense Management (SG &amp; A)</v>
      </c>
      <c r="D42" s="251" t="s">
        <v>586</v>
      </c>
      <c r="E42" s="703" t="n">
        <v>0</v>
      </c>
      <c r="F42" s="691"/>
      <c r="G42" s="703" t="n">
        <v>0</v>
      </c>
      <c r="H42" s="704"/>
      <c r="I42" s="703" t="n">
        <v>0</v>
      </c>
      <c r="J42" s="252"/>
    </row>
    <row r="43" customFormat="false" ht="11.25" hidden="false" customHeight="false" outlineLevel="0" collapsed="false">
      <c r="B43" s="250"/>
      <c r="C43" s="251"/>
      <c r="D43" s="251"/>
      <c r="E43" s="707"/>
      <c r="F43" s="303"/>
      <c r="G43" s="707"/>
      <c r="H43" s="708"/>
      <c r="I43" s="707"/>
      <c r="J43" s="252"/>
    </row>
    <row r="44" customFormat="false" ht="11.25" hidden="false" customHeight="false" outlineLevel="0" collapsed="false">
      <c r="B44" s="250"/>
      <c r="C44" s="251" t="str">
        <f aca="false">+E8!B4</f>
        <v>Reduction of one full time person performing consolidated reporting</v>
      </c>
      <c r="D44" s="251" t="s">
        <v>587</v>
      </c>
      <c r="E44" s="714" t="n">
        <v>0</v>
      </c>
      <c r="F44" s="714"/>
      <c r="G44" s="714" t="n">
        <f aca="false">E44</f>
        <v>0</v>
      </c>
      <c r="H44" s="714"/>
      <c r="I44" s="714" t="n">
        <f aca="false">G44</f>
        <v>0</v>
      </c>
      <c r="J44" s="252"/>
    </row>
    <row r="45" customFormat="false" ht="11.25" hidden="false" customHeight="false" outlineLevel="0" collapsed="false">
      <c r="B45" s="250"/>
      <c r="C45" s="251" t="str">
        <f aca="false">+E8!B2</f>
        <v>Sales Labor Reduction</v>
      </c>
      <c r="D45" s="251" t="s">
        <v>587</v>
      </c>
      <c r="E45" s="711" t="n">
        <v>0</v>
      </c>
      <c r="F45" s="691"/>
      <c r="G45" s="711" t="n">
        <v>0</v>
      </c>
      <c r="H45" s="691"/>
      <c r="I45" s="711" t="n">
        <v>0</v>
      </c>
      <c r="J45" s="252"/>
    </row>
    <row r="46" customFormat="false" ht="11.25" hidden="false" customHeight="false" outlineLevel="0" collapsed="false">
      <c r="B46" s="279"/>
      <c r="C46" s="280"/>
      <c r="D46" s="280"/>
      <c r="E46" s="280"/>
      <c r="F46" s="280"/>
      <c r="G46" s="280"/>
      <c r="H46" s="280"/>
      <c r="I46" s="280"/>
      <c r="J46" s="281"/>
    </row>
    <row r="49" customFormat="false" ht="11.25" hidden="false" customHeight="false" outlineLevel="0" collapsed="false">
      <c r="B49" s="687"/>
      <c r="C49" s="688"/>
      <c r="D49" s="688"/>
      <c r="E49" s="688"/>
      <c r="F49" s="688"/>
      <c r="G49" s="688"/>
      <c r="H49" s="688"/>
      <c r="I49" s="688"/>
      <c r="J49" s="689"/>
    </row>
    <row r="50" customFormat="false" ht="11.25" hidden="false" customHeight="false" outlineLevel="0" collapsed="false">
      <c r="B50" s="250"/>
      <c r="C50" s="699" t="s">
        <v>588</v>
      </c>
      <c r="D50" s="251"/>
      <c r="E50" s="251"/>
      <c r="F50" s="251"/>
      <c r="G50" s="251"/>
      <c r="H50" s="251"/>
      <c r="I50" s="251"/>
      <c r="J50" s="252"/>
    </row>
    <row r="51" customFormat="false" ht="11.25" hidden="false" customHeight="false" outlineLevel="0" collapsed="false">
      <c r="B51" s="250"/>
      <c r="C51" s="251"/>
      <c r="D51" s="251"/>
      <c r="E51" s="251"/>
      <c r="F51" s="251"/>
      <c r="G51" s="251"/>
      <c r="H51" s="251"/>
      <c r="I51" s="251"/>
      <c r="J51" s="252"/>
    </row>
    <row r="52" customFormat="false" ht="11.25" hidden="false" customHeight="false" outlineLevel="0" collapsed="false">
      <c r="B52" s="250"/>
      <c r="C52" s="251" t="s">
        <v>234</v>
      </c>
      <c r="D52" s="251"/>
      <c r="E52" s="715" t="n">
        <f aca="false">+BS!B10</f>
        <v>597000000</v>
      </c>
      <c r="F52" s="303"/>
      <c r="G52" s="716" t="n">
        <f aca="false">+E52</f>
        <v>597000000</v>
      </c>
      <c r="H52" s="303"/>
      <c r="I52" s="716" t="n">
        <f aca="false">+E52</f>
        <v>597000000</v>
      </c>
      <c r="J52" s="252"/>
    </row>
    <row r="53" customFormat="false" ht="11.25" hidden="false" customHeight="false" outlineLevel="0" collapsed="false">
      <c r="B53" s="250"/>
      <c r="C53" s="251" t="s">
        <v>239</v>
      </c>
      <c r="D53" s="251"/>
      <c r="E53" s="717" t="n">
        <f aca="false">-BS!B15/1000</f>
        <v>-0</v>
      </c>
      <c r="F53" s="303"/>
      <c r="G53" s="716" t="n">
        <f aca="false">+E53</f>
        <v>-0</v>
      </c>
      <c r="H53" s="303"/>
      <c r="I53" s="716" t="n">
        <f aca="false">+E53</f>
        <v>-0</v>
      </c>
      <c r="J53" s="252"/>
    </row>
    <row r="54" customFormat="false" ht="11.25" hidden="false" customHeight="false" outlineLevel="0" collapsed="false">
      <c r="B54" s="250"/>
      <c r="C54" s="240" t="s">
        <v>385</v>
      </c>
      <c r="D54" s="251" t="s">
        <v>589</v>
      </c>
      <c r="E54" s="718" t="n">
        <v>0</v>
      </c>
      <c r="F54" s="691"/>
      <c r="G54" s="719" t="n">
        <f aca="false">+E54</f>
        <v>0</v>
      </c>
      <c r="H54" s="691"/>
      <c r="I54" s="719" t="n">
        <f aca="false">+E54</f>
        <v>0</v>
      </c>
      <c r="J54" s="252"/>
    </row>
    <row r="55" customFormat="false" ht="11.25" hidden="false" customHeight="false" outlineLevel="0" collapsed="false">
      <c r="B55" s="250"/>
      <c r="C55" s="240" t="s">
        <v>386</v>
      </c>
      <c r="D55" s="251" t="s">
        <v>589</v>
      </c>
      <c r="E55" s="703" t="n">
        <v>0</v>
      </c>
      <c r="F55" s="691"/>
      <c r="G55" s="703" t="n">
        <v>0</v>
      </c>
      <c r="H55" s="704"/>
      <c r="I55" s="703" t="n">
        <v>0</v>
      </c>
      <c r="J55" s="252"/>
    </row>
    <row r="56" customFormat="false" ht="11.25" hidden="false" customHeight="false" outlineLevel="0" collapsed="false">
      <c r="B56" s="250"/>
      <c r="C56" s="240" t="s">
        <v>442</v>
      </c>
      <c r="D56" s="251" t="s">
        <v>589</v>
      </c>
      <c r="E56" s="720" t="n">
        <f aca="false">E33</f>
        <v>0.1</v>
      </c>
      <c r="F56" s="721"/>
      <c r="G56" s="720" t="n">
        <f aca="false">G33</f>
        <v>0.1</v>
      </c>
      <c r="H56" s="722"/>
      <c r="I56" s="720" t="n">
        <f aca="false">I33</f>
        <v>0.1</v>
      </c>
      <c r="J56" s="252"/>
    </row>
    <row r="57" customFormat="false" ht="11.25" hidden="false" customHeight="false" outlineLevel="0" collapsed="false">
      <c r="B57" s="250"/>
      <c r="C57" s="251"/>
      <c r="D57" s="251"/>
      <c r="E57" s="303"/>
      <c r="F57" s="303"/>
      <c r="G57" s="303"/>
      <c r="H57" s="303"/>
      <c r="I57" s="303"/>
      <c r="J57" s="252"/>
    </row>
    <row r="58" customFormat="false" ht="11.25" hidden="false" customHeight="false" outlineLevel="0" collapsed="false">
      <c r="B58" s="250"/>
      <c r="C58" s="251" t="str">
        <f aca="false">+A2!B6</f>
        <v>Inventory</v>
      </c>
      <c r="D58" s="251"/>
      <c r="E58" s="715" t="n">
        <f aca="false">+BS!B17</f>
        <v>360000000</v>
      </c>
      <c r="F58" s="715"/>
      <c r="G58" s="715" t="n">
        <f aca="false">+E58</f>
        <v>360000000</v>
      </c>
      <c r="H58" s="715"/>
      <c r="I58" s="715" t="n">
        <f aca="false">+E58</f>
        <v>360000000</v>
      </c>
      <c r="J58" s="252"/>
    </row>
    <row r="59" customFormat="false" ht="11.25" hidden="false" customHeight="false" outlineLevel="0" collapsed="false">
      <c r="B59" s="250"/>
      <c r="C59" s="251" t="str">
        <f aca="false">+A2!B11</f>
        <v>Inventory Reduction Percentage</v>
      </c>
      <c r="D59" s="251" t="s">
        <v>590</v>
      </c>
      <c r="E59" s="703" t="n">
        <v>0.02</v>
      </c>
      <c r="F59" s="703"/>
      <c r="G59" s="703" t="n">
        <v>0.05</v>
      </c>
      <c r="H59" s="703"/>
      <c r="I59" s="703" t="n">
        <v>0.1</v>
      </c>
      <c r="J59" s="252"/>
    </row>
    <row r="60" customFormat="false" ht="11.25" hidden="false" customHeight="false" outlineLevel="0" collapsed="false">
      <c r="B60" s="250"/>
      <c r="C60" s="251" t="str">
        <f aca="false">+A2!B15</f>
        <v>Times Inventory Carrying Cost</v>
      </c>
      <c r="D60" s="251" t="s">
        <v>590</v>
      </c>
      <c r="E60" s="720" t="n">
        <v>0.15</v>
      </c>
      <c r="F60" s="721"/>
      <c r="G60" s="720" t="n">
        <f aca="false">E60</f>
        <v>0.15</v>
      </c>
      <c r="H60" s="722"/>
      <c r="I60" s="720" t="n">
        <f aca="false">G60</f>
        <v>0.15</v>
      </c>
      <c r="J60" s="252"/>
    </row>
    <row r="61" customFormat="false" ht="11.25" hidden="false" customHeight="false" outlineLevel="0" collapsed="false">
      <c r="B61" s="279"/>
      <c r="C61" s="280"/>
      <c r="D61" s="280"/>
      <c r="E61" s="280"/>
      <c r="F61" s="280"/>
      <c r="G61" s="280"/>
      <c r="H61" s="280"/>
      <c r="I61" s="280"/>
      <c r="J61" s="281"/>
    </row>
    <row r="63" customFormat="false" ht="11.25" hidden="false" customHeight="false" outlineLevel="0" collapsed="false">
      <c r="B63" s="687"/>
      <c r="C63" s="688"/>
      <c r="D63" s="688"/>
      <c r="E63" s="688"/>
      <c r="F63" s="688"/>
      <c r="G63" s="688"/>
      <c r="H63" s="688"/>
      <c r="I63" s="688"/>
      <c r="J63" s="689"/>
    </row>
    <row r="64" customFormat="false" ht="11.25" hidden="false" customHeight="false" outlineLevel="0" collapsed="false">
      <c r="B64" s="250"/>
      <c r="C64" s="699" t="s">
        <v>591</v>
      </c>
      <c r="D64" s="251"/>
      <c r="E64" s="251"/>
      <c r="F64" s="251"/>
      <c r="G64" s="251"/>
      <c r="H64" s="251"/>
      <c r="I64" s="251"/>
      <c r="J64" s="252"/>
    </row>
    <row r="65" customFormat="false" ht="11.25" hidden="false" customHeight="false" outlineLevel="0" collapsed="false">
      <c r="B65" s="250"/>
      <c r="C65" s="251"/>
      <c r="D65" s="251"/>
      <c r="E65" s="251"/>
      <c r="F65" s="251"/>
      <c r="G65" s="251"/>
      <c r="H65" s="251"/>
      <c r="I65" s="251"/>
      <c r="J65" s="252"/>
    </row>
    <row r="66" customFormat="false" ht="11.25" hidden="false" customHeight="false" outlineLevel="0" collapsed="false">
      <c r="B66" s="250"/>
      <c r="C66" s="251" t="s">
        <v>194</v>
      </c>
      <c r="D66" s="251" t="s">
        <v>9</v>
      </c>
      <c r="E66" s="723" t="n">
        <v>592000000</v>
      </c>
      <c r="F66" s="723"/>
      <c r="G66" s="723" t="n">
        <f aca="false">E66</f>
        <v>592000000</v>
      </c>
      <c r="H66" s="723"/>
      <c r="I66" s="723" t="n">
        <f aca="false">G66</f>
        <v>592000000</v>
      </c>
      <c r="J66" s="252"/>
    </row>
    <row r="67" customFormat="false" ht="11.25" hidden="false" customHeight="false" outlineLevel="0" collapsed="false">
      <c r="B67" s="250"/>
      <c r="C67" s="251" t="s">
        <v>592</v>
      </c>
      <c r="D67" s="251"/>
      <c r="E67" s="704" t="n">
        <v>0.25</v>
      </c>
      <c r="F67" s="704"/>
      <c r="G67" s="704" t="n">
        <v>0.35</v>
      </c>
      <c r="H67" s="704"/>
      <c r="I67" s="704" t="n">
        <v>0.45</v>
      </c>
      <c r="J67" s="252"/>
    </row>
    <row r="68" customFormat="false" ht="11.25" hidden="false" customHeight="false" outlineLevel="0" collapsed="false">
      <c r="B68" s="250"/>
      <c r="C68" s="251" t="s">
        <v>593</v>
      </c>
      <c r="D68" s="251"/>
      <c r="E68" s="723" t="n">
        <f aca="false">E66*E67</f>
        <v>148000000</v>
      </c>
      <c r="F68" s="723"/>
      <c r="G68" s="723" t="n">
        <f aca="false">G66*G67</f>
        <v>207200000</v>
      </c>
      <c r="H68" s="723"/>
      <c r="I68" s="723" t="n">
        <f aca="false">I66*I67</f>
        <v>266400000</v>
      </c>
      <c r="J68" s="252"/>
    </row>
    <row r="69" customFormat="false" ht="11.25" hidden="false" customHeight="false" outlineLevel="0" collapsed="false">
      <c r="B69" s="250"/>
      <c r="C69" s="251"/>
      <c r="D69" s="251"/>
      <c r="E69" s="724"/>
      <c r="F69" s="724"/>
      <c r="G69" s="724"/>
      <c r="H69" s="724"/>
      <c r="I69" s="724"/>
      <c r="J69" s="252"/>
    </row>
    <row r="70" customFormat="false" ht="11.25" hidden="false" customHeight="false" outlineLevel="0" collapsed="false">
      <c r="B70" s="250"/>
      <c r="C70" s="251" t="s">
        <v>219</v>
      </c>
      <c r="D70" s="251" t="s">
        <v>9</v>
      </c>
      <c r="E70" s="723" t="n">
        <v>1237000000</v>
      </c>
      <c r="F70" s="723"/>
      <c r="G70" s="723" t="n">
        <f aca="false">E70</f>
        <v>1237000000</v>
      </c>
      <c r="H70" s="723"/>
      <c r="I70" s="723" t="n">
        <f aca="false">G70</f>
        <v>1237000000</v>
      </c>
      <c r="J70" s="252"/>
    </row>
    <row r="71" customFormat="false" ht="11.25" hidden="false" customHeight="false" outlineLevel="0" collapsed="false">
      <c r="B71" s="250"/>
      <c r="C71" s="251" t="s">
        <v>592</v>
      </c>
      <c r="D71" s="251" t="s">
        <v>9</v>
      </c>
      <c r="E71" s="704" t="n">
        <v>0.1</v>
      </c>
      <c r="F71" s="704"/>
      <c r="G71" s="704" t="n">
        <v>0.15</v>
      </c>
      <c r="H71" s="704"/>
      <c r="I71" s="704" t="n">
        <v>0.2</v>
      </c>
      <c r="J71" s="252"/>
    </row>
    <row r="72" customFormat="false" ht="11.25" hidden="false" customHeight="false" outlineLevel="0" collapsed="false">
      <c r="B72" s="250"/>
      <c r="C72" s="251" t="s">
        <v>593</v>
      </c>
      <c r="D72" s="251"/>
      <c r="E72" s="723" t="n">
        <f aca="false">E70*E71</f>
        <v>123700000</v>
      </c>
      <c r="F72" s="723"/>
      <c r="G72" s="723" t="n">
        <f aca="false">G70*G71</f>
        <v>185550000</v>
      </c>
      <c r="H72" s="723"/>
      <c r="I72" s="723" t="n">
        <f aca="false">I70*I71</f>
        <v>247400000</v>
      </c>
      <c r="J72" s="252"/>
    </row>
    <row r="73" customFormat="false" ht="11.25" hidden="false" customHeight="false" outlineLevel="0" collapsed="false">
      <c r="B73" s="250"/>
      <c r="C73" s="251"/>
      <c r="D73" s="251"/>
      <c r="E73" s="724"/>
      <c r="F73" s="724"/>
      <c r="G73" s="724"/>
      <c r="H73" s="724"/>
      <c r="I73" s="724"/>
      <c r="J73" s="252"/>
    </row>
    <row r="74" customFormat="false" ht="11.25" hidden="false" customHeight="false" outlineLevel="0" collapsed="false">
      <c r="B74" s="250"/>
      <c r="C74" s="251" t="s">
        <v>220</v>
      </c>
      <c r="D74" s="251" t="s">
        <v>9</v>
      </c>
      <c r="E74" s="723" t="n">
        <v>113000000</v>
      </c>
      <c r="F74" s="723"/>
      <c r="G74" s="723" t="n">
        <f aca="false">E74</f>
        <v>113000000</v>
      </c>
      <c r="H74" s="723"/>
      <c r="I74" s="723" t="n">
        <f aca="false">G74</f>
        <v>113000000</v>
      </c>
      <c r="J74" s="252"/>
    </row>
    <row r="75" customFormat="false" ht="11.25" hidden="false" customHeight="false" outlineLevel="0" collapsed="false">
      <c r="B75" s="250"/>
      <c r="C75" s="251" t="s">
        <v>592</v>
      </c>
      <c r="D75" s="251" t="s">
        <v>9</v>
      </c>
      <c r="E75" s="704" t="n">
        <v>0.02</v>
      </c>
      <c r="F75" s="704" t="s">
        <v>9</v>
      </c>
      <c r="G75" s="704" t="n">
        <v>0.05</v>
      </c>
      <c r="H75" s="704"/>
      <c r="I75" s="704" t="n">
        <v>0.1</v>
      </c>
      <c r="J75" s="252"/>
    </row>
    <row r="76" customFormat="false" ht="11.25" hidden="false" customHeight="false" outlineLevel="0" collapsed="false">
      <c r="B76" s="250"/>
      <c r="C76" s="251" t="s">
        <v>593</v>
      </c>
      <c r="D76" s="251"/>
      <c r="E76" s="723" t="n">
        <f aca="false">E74*E75</f>
        <v>2260000</v>
      </c>
      <c r="F76" s="723"/>
      <c r="G76" s="723" t="n">
        <f aca="false">G74*G75</f>
        <v>5650000</v>
      </c>
      <c r="H76" s="723"/>
      <c r="I76" s="723" t="n">
        <f aca="false">I74*I75</f>
        <v>11300000</v>
      </c>
      <c r="J76" s="252"/>
    </row>
    <row r="77" customFormat="false" ht="11.25" hidden="false" customHeight="false" outlineLevel="0" collapsed="false">
      <c r="B77" s="250"/>
      <c r="C77" s="251"/>
      <c r="D77" s="251"/>
      <c r="E77" s="724"/>
      <c r="F77" s="724"/>
      <c r="G77" s="724"/>
      <c r="H77" s="724"/>
      <c r="I77" s="724"/>
      <c r="J77" s="252"/>
    </row>
    <row r="78" customFormat="false" ht="11.25" hidden="false" customHeight="false" outlineLevel="0" collapsed="false">
      <c r="B78" s="250"/>
      <c r="C78" s="251" t="s">
        <v>221</v>
      </c>
      <c r="D78" s="251" t="s">
        <v>9</v>
      </c>
      <c r="E78" s="723" t="n">
        <v>1317000000</v>
      </c>
      <c r="F78" s="723"/>
      <c r="G78" s="723" t="n">
        <f aca="false">E78</f>
        <v>1317000000</v>
      </c>
      <c r="H78" s="723"/>
      <c r="I78" s="723" t="n">
        <f aca="false">G78</f>
        <v>1317000000</v>
      </c>
      <c r="J78" s="252"/>
    </row>
    <row r="79" customFormat="false" ht="11.25" hidden="false" customHeight="false" outlineLevel="0" collapsed="false">
      <c r="B79" s="250"/>
      <c r="C79" s="251" t="s">
        <v>592</v>
      </c>
      <c r="D79" s="251" t="s">
        <v>9</v>
      </c>
      <c r="E79" s="704" t="n">
        <v>0.05</v>
      </c>
      <c r="F79" s="704" t="s">
        <v>9</v>
      </c>
      <c r="G79" s="704" t="n">
        <v>0.1</v>
      </c>
      <c r="H79" s="704"/>
      <c r="I79" s="704" t="n">
        <v>0.15</v>
      </c>
      <c r="J79" s="252"/>
    </row>
    <row r="80" customFormat="false" ht="11.25" hidden="false" customHeight="false" outlineLevel="0" collapsed="false">
      <c r="B80" s="250"/>
      <c r="C80" s="251" t="s">
        <v>593</v>
      </c>
      <c r="D80" s="251"/>
      <c r="E80" s="723" t="n">
        <f aca="false">E78*E79</f>
        <v>65850000</v>
      </c>
      <c r="F80" s="723"/>
      <c r="G80" s="723" t="n">
        <f aca="false">G78*G79</f>
        <v>131700000</v>
      </c>
      <c r="H80" s="723"/>
      <c r="I80" s="723" t="n">
        <f aca="false">I78*I79</f>
        <v>197550000</v>
      </c>
      <c r="J80" s="252"/>
    </row>
    <row r="81" customFormat="false" ht="12.75" hidden="false" customHeight="false" outlineLevel="0" collapsed="false">
      <c r="B81" s="250"/>
      <c r="C81" s="251"/>
      <c r="D81" s="251"/>
      <c r="E81" s="0"/>
      <c r="F81" s="0"/>
      <c r="G81" s="0"/>
      <c r="H81" s="0"/>
      <c r="I81" s="0"/>
      <c r="J81" s="252"/>
    </row>
    <row r="82" customFormat="false" ht="11.25" hidden="false" customHeight="false" outlineLevel="0" collapsed="false">
      <c r="B82" s="250"/>
      <c r="C82" s="251" t="s">
        <v>222</v>
      </c>
      <c r="D82" s="251" t="s">
        <v>9</v>
      </c>
      <c r="E82" s="723" t="n">
        <v>1301000000</v>
      </c>
      <c r="F82" s="723"/>
      <c r="G82" s="723" t="n">
        <f aca="false">E82</f>
        <v>1301000000</v>
      </c>
      <c r="H82" s="723"/>
      <c r="I82" s="723" t="n">
        <f aca="false">G82</f>
        <v>1301000000</v>
      </c>
      <c r="J82" s="252"/>
    </row>
    <row r="83" customFormat="false" ht="11.25" hidden="false" customHeight="false" outlineLevel="0" collapsed="false">
      <c r="B83" s="250"/>
      <c r="C83" s="251" t="s">
        <v>592</v>
      </c>
      <c r="D83" s="251" t="s">
        <v>9</v>
      </c>
      <c r="E83" s="704" t="n">
        <v>0.2</v>
      </c>
      <c r="F83" s="704" t="s">
        <v>9</v>
      </c>
      <c r="G83" s="704" t="n">
        <v>0.3</v>
      </c>
      <c r="H83" s="704"/>
      <c r="I83" s="704" t="n">
        <v>0.4</v>
      </c>
      <c r="J83" s="252"/>
    </row>
    <row r="84" customFormat="false" ht="11.25" hidden="false" customHeight="false" outlineLevel="0" collapsed="false">
      <c r="B84" s="250"/>
      <c r="C84" s="251" t="s">
        <v>593</v>
      </c>
      <c r="D84" s="251"/>
      <c r="E84" s="723" t="n">
        <f aca="false">E82*E83</f>
        <v>260200000</v>
      </c>
      <c r="F84" s="723"/>
      <c r="G84" s="723" t="n">
        <f aca="false">G82*G83</f>
        <v>390300000</v>
      </c>
      <c r="H84" s="723"/>
      <c r="I84" s="723" t="n">
        <f aca="false">I82*I83</f>
        <v>520400000</v>
      </c>
      <c r="J84" s="252"/>
    </row>
    <row r="85" customFormat="false" ht="11.25" hidden="false" customHeight="false" outlineLevel="0" collapsed="false">
      <c r="B85" s="250"/>
      <c r="C85" s="251"/>
      <c r="D85" s="251"/>
      <c r="E85" s="724"/>
      <c r="F85" s="724"/>
      <c r="G85" s="724"/>
      <c r="H85" s="724"/>
      <c r="I85" s="724"/>
      <c r="J85" s="252"/>
    </row>
    <row r="86" customFormat="false" ht="11.25" hidden="false" customHeight="false" outlineLevel="0" collapsed="false">
      <c r="B86" s="250"/>
      <c r="C86" s="251" t="s">
        <v>594</v>
      </c>
      <c r="D86" s="251" t="s">
        <v>9</v>
      </c>
      <c r="E86" s="723" t="n">
        <v>1783000000</v>
      </c>
      <c r="F86" s="723"/>
      <c r="G86" s="723" t="n">
        <f aca="false">E86</f>
        <v>1783000000</v>
      </c>
      <c r="H86" s="723"/>
      <c r="I86" s="723" t="n">
        <f aca="false">G86</f>
        <v>1783000000</v>
      </c>
      <c r="J86" s="252"/>
    </row>
    <row r="87" customFormat="false" ht="11.25" hidden="false" customHeight="false" outlineLevel="0" collapsed="false">
      <c r="B87" s="250"/>
      <c r="C87" s="251" t="s">
        <v>592</v>
      </c>
      <c r="D87" s="251" t="s">
        <v>9</v>
      </c>
      <c r="E87" s="704" t="n">
        <v>0.25</v>
      </c>
      <c r="F87" s="704" t="s">
        <v>9</v>
      </c>
      <c r="G87" s="704" t="n">
        <v>0.35</v>
      </c>
      <c r="H87" s="704"/>
      <c r="I87" s="704" t="n">
        <v>0.45</v>
      </c>
      <c r="J87" s="252"/>
    </row>
    <row r="88" customFormat="false" ht="11.25" hidden="false" customHeight="false" outlineLevel="0" collapsed="false">
      <c r="B88" s="250"/>
      <c r="C88" s="251" t="s">
        <v>593</v>
      </c>
      <c r="D88" s="251"/>
      <c r="E88" s="723" t="n">
        <f aca="false">E86*E87</f>
        <v>445750000</v>
      </c>
      <c r="F88" s="723"/>
      <c r="G88" s="723" t="n">
        <f aca="false">G86*G87</f>
        <v>624050000</v>
      </c>
      <c r="H88" s="723"/>
      <c r="I88" s="723" t="n">
        <f aca="false">I86*I87</f>
        <v>802350000</v>
      </c>
      <c r="J88" s="252"/>
    </row>
    <row r="89" customFormat="false" ht="12.75" hidden="false" customHeight="false" outlineLevel="0" collapsed="false">
      <c r="B89" s="250"/>
      <c r="C89" s="251"/>
      <c r="D89" s="251"/>
      <c r="E89" s="0"/>
      <c r="F89" s="0"/>
      <c r="G89" s="0"/>
      <c r="H89" s="0"/>
      <c r="I89" s="0"/>
      <c r="J89" s="252"/>
    </row>
    <row r="90" customFormat="false" ht="11.25" hidden="false" customHeight="false" outlineLevel="0" collapsed="false">
      <c r="B90" s="250"/>
      <c r="C90" s="251" t="s">
        <v>595</v>
      </c>
      <c r="D90" s="251"/>
      <c r="E90" s="723" t="n">
        <f aca="false">E88+E84+E80+E76+E72+E68</f>
        <v>1045760000</v>
      </c>
      <c r="F90" s="723"/>
      <c r="G90" s="723" t="n">
        <f aca="false">G88+G84+G80+G76+G72+G68</f>
        <v>1544450000</v>
      </c>
      <c r="H90" s="723"/>
      <c r="I90" s="723" t="n">
        <f aca="false">I88+I84+I80+I76+I72+I68</f>
        <v>2045400000</v>
      </c>
      <c r="J90" s="252"/>
    </row>
    <row r="91" customFormat="false" ht="11.25" hidden="false" customHeight="false" outlineLevel="0" collapsed="false">
      <c r="B91" s="250"/>
      <c r="C91" s="251"/>
      <c r="D91" s="251"/>
      <c r="E91" s="723"/>
      <c r="F91" s="723"/>
      <c r="G91" s="723"/>
      <c r="H91" s="723"/>
      <c r="I91" s="723"/>
      <c r="J91" s="252"/>
    </row>
    <row r="92" customFormat="false" ht="11.25" hidden="false" customHeight="false" outlineLevel="0" collapsed="false">
      <c r="B92" s="250"/>
      <c r="C92" s="251"/>
      <c r="D92" s="251"/>
      <c r="E92" s="724"/>
      <c r="F92" s="724"/>
      <c r="G92" s="724"/>
      <c r="H92" s="724"/>
      <c r="I92" s="724"/>
      <c r="J92" s="252"/>
    </row>
    <row r="93" customFormat="false" ht="11.25" hidden="false" customHeight="false" outlineLevel="0" collapsed="false">
      <c r="B93" s="250"/>
      <c r="C93" s="251"/>
      <c r="D93" s="251"/>
      <c r="E93" s="724"/>
      <c r="F93" s="724"/>
      <c r="G93" s="724"/>
      <c r="H93" s="724"/>
      <c r="I93" s="724"/>
      <c r="J93" s="252"/>
    </row>
    <row r="94" customFormat="false" ht="11.25" hidden="false" customHeight="false" outlineLevel="0" collapsed="false">
      <c r="B94" s="279"/>
      <c r="C94" s="280"/>
      <c r="D94" s="280"/>
      <c r="E94" s="280"/>
      <c r="F94" s="280"/>
      <c r="G94" s="280"/>
      <c r="H94" s="280"/>
      <c r="I94" s="280"/>
      <c r="J94" s="281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3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L31" activeCellId="0" sqref="L3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456" width="25.7"/>
    <col collapsed="false" customWidth="true" hidden="false" outlineLevel="0" max="2" min="2" style="456" width="16.7"/>
    <col collapsed="false" customWidth="true" hidden="false" outlineLevel="0" max="3" min="3" style="456" width="1.7"/>
    <col collapsed="false" customWidth="true" hidden="false" outlineLevel="0" max="4" min="4" style="456" width="16.7"/>
    <col collapsed="false" customWidth="true" hidden="false" outlineLevel="0" max="5" min="5" style="456" width="1.7"/>
    <col collapsed="false" customWidth="true" hidden="false" outlineLevel="0" max="6" min="6" style="456" width="16.7"/>
    <col collapsed="false" customWidth="true" hidden="false" outlineLevel="0" max="7" min="7" style="456" width="1.7"/>
    <col collapsed="false" customWidth="true" hidden="false" outlineLevel="0" max="8" min="8" style="456" width="16.7"/>
    <col collapsed="false" customWidth="true" hidden="false" outlineLevel="0" max="9" min="9" style="456" width="1.7"/>
    <col collapsed="false" customWidth="true" hidden="false" outlineLevel="0" max="10" min="10" style="456" width="16.7"/>
    <col collapsed="false" customWidth="true" hidden="false" outlineLevel="0" max="11" min="11" style="456" width="1.7"/>
    <col collapsed="false" customWidth="true" hidden="false" outlineLevel="0" max="12" min="12" style="456" width="16.7"/>
    <col collapsed="false" customWidth="true" hidden="false" outlineLevel="0" max="13" min="13" style="456" width="1.28"/>
    <col collapsed="false" customWidth="false" hidden="false" outlineLevel="0" max="257" min="14" style="456" width="9.14"/>
  </cols>
  <sheetData>
    <row r="1" customFormat="false" ht="48" hidden="false" customHeight="true" outlineLevel="0" collapsed="false">
      <c r="A1" s="457"/>
      <c r="B1" s="458" t="s">
        <v>9</v>
      </c>
      <c r="C1" s="456" t="s">
        <v>9</v>
      </c>
      <c r="H1" s="26"/>
      <c r="I1" s="26"/>
      <c r="J1" s="26"/>
      <c r="K1" s="26"/>
      <c r="L1" s="26"/>
      <c r="M1" s="26"/>
      <c r="N1" s="26"/>
    </row>
    <row r="2" customFormat="false" ht="32.25" hidden="false" customHeight="true" outlineLevel="0" collapsed="false">
      <c r="A2" s="459" t="s">
        <v>596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1"/>
    </row>
    <row r="3" customFormat="false" ht="15" hidden="false" customHeight="true" outlineLevel="0" collapsed="false">
      <c r="A3" s="499" t="s">
        <v>597</v>
      </c>
      <c r="B3" s="463"/>
      <c r="C3" s="464"/>
      <c r="D3" s="465"/>
      <c r="E3" s="465"/>
      <c r="F3" s="465"/>
      <c r="G3" s="465"/>
      <c r="H3" s="465"/>
      <c r="I3" s="465"/>
      <c r="J3" s="465"/>
      <c r="K3" s="465"/>
      <c r="L3" s="466"/>
    </row>
    <row r="4" customFormat="false" ht="15" hidden="false" customHeight="true" outlineLevel="0" collapsed="false">
      <c r="A4" s="515"/>
      <c r="B4" s="516"/>
      <c r="C4" s="464"/>
      <c r="D4" s="465"/>
      <c r="E4" s="465"/>
      <c r="F4" s="465"/>
      <c r="G4" s="465"/>
      <c r="H4" s="465"/>
      <c r="I4" s="465"/>
      <c r="J4" s="465"/>
      <c r="K4" s="465"/>
      <c r="L4" s="466"/>
    </row>
    <row r="5" customFormat="false" ht="33" hidden="false" customHeight="true" outlineLevel="0" collapsed="false">
      <c r="A5" s="467" t="s">
        <v>328</v>
      </c>
      <c r="B5" s="468"/>
      <c r="C5" s="468"/>
      <c r="D5" s="468"/>
      <c r="E5" s="468"/>
      <c r="F5" s="468"/>
      <c r="G5" s="468"/>
      <c r="H5" s="469" t="str">
        <f aca="false">R1!H8</f>
        <v>Conservative Estimate </v>
      </c>
      <c r="I5" s="470"/>
      <c r="J5" s="469" t="str">
        <f aca="false">R1!J8</f>
        <v>Average Estimate </v>
      </c>
      <c r="K5" s="470"/>
      <c r="L5" s="471" t="str">
        <f aca="false">R1!L8</f>
        <v>Peak Performance</v>
      </c>
    </row>
    <row r="6" customFormat="false" ht="15" hidden="false" customHeight="true" outlineLevel="0" collapsed="false">
      <c r="A6" s="472" t="s">
        <v>332</v>
      </c>
      <c r="B6" s="463" t="s">
        <v>598</v>
      </c>
      <c r="C6" s="463"/>
      <c r="D6" s="463"/>
      <c r="E6" s="463"/>
      <c r="F6" s="463"/>
      <c r="G6" s="463"/>
      <c r="H6" s="474" t="n">
        <f aca="false">+Assumptions!E37</f>
        <v>4196000000</v>
      </c>
      <c r="I6" s="463"/>
      <c r="J6" s="474" t="n">
        <f aca="false">+Assumptions!G37</f>
        <v>4196000000</v>
      </c>
      <c r="K6" s="463"/>
      <c r="L6" s="725" t="n">
        <f aca="false">+Assumptions!I37</f>
        <v>4196000000</v>
      </c>
    </row>
    <row r="7" customFormat="false" ht="15" hidden="false" customHeight="true" outlineLevel="0" collapsed="false">
      <c r="A7" s="472"/>
      <c r="B7" s="463"/>
      <c r="C7" s="463"/>
      <c r="D7" s="463"/>
      <c r="E7" s="463"/>
      <c r="F7" s="463"/>
      <c r="G7" s="463"/>
      <c r="H7" s="463"/>
      <c r="I7" s="463"/>
      <c r="J7" s="463"/>
      <c r="K7" s="463"/>
      <c r="L7" s="478"/>
    </row>
    <row r="8" customFormat="false" ht="15" hidden="false" customHeight="true" outlineLevel="0" collapsed="false">
      <c r="A8" s="472" t="s">
        <v>335</v>
      </c>
      <c r="B8" s="479" t="str">
        <f aca="false">Assumptions!C38</f>
        <v>Purchasing Employees as % of Total Employees</v>
      </c>
      <c r="C8" s="463"/>
      <c r="D8" s="93"/>
      <c r="E8" s="463"/>
      <c r="F8" s="463"/>
      <c r="G8" s="463"/>
      <c r="H8" s="479" t="n">
        <f aca="false">Assumptions!E38</f>
        <v>0.002</v>
      </c>
      <c r="I8" s="479"/>
      <c r="J8" s="479" t="n">
        <f aca="false">Assumptions!G38</f>
        <v>0.003</v>
      </c>
      <c r="K8" s="479"/>
      <c r="L8" s="481" t="n">
        <f aca="false">Assumptions!I38</f>
        <v>0.005</v>
      </c>
    </row>
    <row r="9" customFormat="false" ht="15" hidden="false" customHeight="true" outlineLevel="0" collapsed="false">
      <c r="A9" s="472"/>
      <c r="B9" s="463" t="s">
        <v>599</v>
      </c>
      <c r="C9" s="463"/>
      <c r="D9" s="93"/>
      <c r="E9" s="463"/>
      <c r="F9" s="463"/>
      <c r="G9" s="463"/>
      <c r="H9" s="474" t="n">
        <f aca="false">H6*H8</f>
        <v>8392000</v>
      </c>
      <c r="I9" s="474"/>
      <c r="J9" s="474" t="n">
        <f aca="false">J6*J8</f>
        <v>12588000</v>
      </c>
      <c r="K9" s="474"/>
      <c r="L9" s="476" t="n">
        <f aca="false">L6*L8</f>
        <v>20980000</v>
      </c>
    </row>
    <row r="10" customFormat="false" ht="15" hidden="false" customHeight="true" outlineLevel="0" collapsed="false">
      <c r="A10" s="472"/>
      <c r="B10" s="463" t="s">
        <v>600</v>
      </c>
      <c r="C10" s="463"/>
      <c r="D10" s="93"/>
      <c r="E10" s="463"/>
      <c r="F10" s="463"/>
      <c r="G10" s="463"/>
      <c r="H10" s="474" t="n">
        <v>70186</v>
      </c>
      <c r="I10" s="474"/>
      <c r="J10" s="474" t="n">
        <f aca="false">H10</f>
        <v>70186</v>
      </c>
      <c r="K10" s="474"/>
      <c r="L10" s="476" t="n">
        <f aca="false">J10</f>
        <v>70186</v>
      </c>
    </row>
    <row r="11" customFormat="false" ht="15" hidden="false" customHeight="true" outlineLevel="0" collapsed="false">
      <c r="A11" s="472"/>
      <c r="B11" s="463" t="s">
        <v>601</v>
      </c>
      <c r="C11" s="463"/>
      <c r="D11" s="93"/>
      <c r="E11" s="463"/>
      <c r="F11" s="463"/>
      <c r="G11" s="463"/>
      <c r="H11" s="726" t="n">
        <f aca="false">H9/70000</f>
        <v>119.885714285714</v>
      </c>
      <c r="I11" s="726"/>
      <c r="J11" s="726" t="n">
        <f aca="false">J9/70000</f>
        <v>179.828571428571</v>
      </c>
      <c r="K11" s="726"/>
      <c r="L11" s="727" t="n">
        <f aca="false">L9/70000</f>
        <v>299.714285714286</v>
      </c>
    </row>
    <row r="12" customFormat="false" ht="15" hidden="false" customHeight="true" outlineLevel="0" collapsed="false">
      <c r="A12" s="472"/>
      <c r="B12" s="463"/>
      <c r="C12" s="463"/>
      <c r="D12" s="93"/>
      <c r="E12" s="463"/>
      <c r="F12" s="463"/>
      <c r="G12" s="463"/>
      <c r="H12" s="480"/>
      <c r="I12" s="463"/>
      <c r="J12" s="480"/>
      <c r="K12" s="480"/>
      <c r="L12" s="728"/>
    </row>
    <row r="13" customFormat="false" ht="15" hidden="false" customHeight="true" outlineLevel="0" collapsed="false">
      <c r="A13" s="472"/>
      <c r="B13" s="463"/>
      <c r="C13" s="463"/>
      <c r="D13" s="463"/>
      <c r="E13" s="463"/>
      <c r="F13" s="463"/>
      <c r="G13" s="463"/>
      <c r="H13" s="463"/>
      <c r="I13" s="463"/>
      <c r="J13" s="463"/>
      <c r="K13" s="463"/>
      <c r="L13" s="478"/>
    </row>
    <row r="14" customFormat="false" ht="15" hidden="false" customHeight="true" outlineLevel="0" collapsed="false">
      <c r="A14" s="472" t="s">
        <v>337</v>
      </c>
      <c r="B14" s="517" t="str">
        <f aca="false">B9</f>
        <v>Purchasing Department Cost</v>
      </c>
      <c r="C14" s="463"/>
      <c r="D14" s="463"/>
      <c r="E14" s="463"/>
      <c r="F14" s="463"/>
      <c r="G14" s="463"/>
      <c r="H14" s="482" t="n">
        <f aca="false">H9</f>
        <v>8392000</v>
      </c>
      <c r="I14" s="482" t="n">
        <f aca="false">I6</f>
        <v>0</v>
      </c>
      <c r="J14" s="482" t="n">
        <f aca="false">J9</f>
        <v>12588000</v>
      </c>
      <c r="K14" s="482" t="n">
        <f aca="false">K6</f>
        <v>0</v>
      </c>
      <c r="L14" s="484" t="n">
        <f aca="false">L9</f>
        <v>20980000</v>
      </c>
    </row>
    <row r="15" customFormat="false" ht="15" hidden="false" customHeight="true" outlineLevel="0" collapsed="false">
      <c r="A15" s="472"/>
      <c r="B15" s="517" t="s">
        <v>602</v>
      </c>
      <c r="C15" s="463"/>
      <c r="D15" s="463"/>
      <c r="E15" s="463"/>
      <c r="F15" s="463"/>
      <c r="G15" s="463"/>
      <c r="H15" s="729" t="n">
        <f aca="false">Assumptions!E39</f>
        <v>0.1</v>
      </c>
      <c r="I15" s="544"/>
      <c r="J15" s="729" t="n">
        <f aca="false">Assumptions!G39</f>
        <v>0.2</v>
      </c>
      <c r="K15" s="545"/>
      <c r="L15" s="730" t="n">
        <f aca="false">Assumptions!I39</f>
        <v>0.3</v>
      </c>
    </row>
    <row r="16" customFormat="false" ht="15" hidden="false" customHeight="true" outlineLevel="0" collapsed="false">
      <c r="A16" s="472"/>
      <c r="B16" s="465"/>
      <c r="C16" s="463"/>
      <c r="D16" s="463"/>
      <c r="E16" s="463"/>
      <c r="F16" s="463"/>
      <c r="G16" s="463"/>
      <c r="H16" s="488"/>
      <c r="I16" s="489"/>
      <c r="J16" s="490"/>
      <c r="K16" s="488"/>
      <c r="L16" s="491"/>
    </row>
    <row r="17" customFormat="false" ht="15" hidden="false" customHeight="true" outlineLevel="0" collapsed="false">
      <c r="A17" s="472"/>
      <c r="B17" s="463" t="s">
        <v>353</v>
      </c>
      <c r="C17" s="463"/>
      <c r="D17" s="463"/>
      <c r="E17" s="463"/>
      <c r="F17" s="463"/>
      <c r="G17" s="463"/>
      <c r="H17" s="475" t="n">
        <f aca="false">IF(ISERROR(H14*H15),0,(H14*H15))</f>
        <v>839200</v>
      </c>
      <c r="I17" s="475"/>
      <c r="J17" s="475" t="n">
        <f aca="false">IF(ISERROR(J14*J15),0,(J14*J15))</f>
        <v>2517600</v>
      </c>
      <c r="K17" s="475"/>
      <c r="L17" s="477" t="n">
        <f aca="false">IF(ISERROR(L14*L15),0,(L14*L15))</f>
        <v>6294000</v>
      </c>
    </row>
    <row r="18" customFormat="false" ht="15" hidden="false" customHeight="true" outlineLevel="0" collapsed="false">
      <c r="A18" s="472"/>
      <c r="B18" s="463" t="s">
        <v>603</v>
      </c>
      <c r="C18" s="463"/>
      <c r="D18" s="463"/>
      <c r="E18" s="463"/>
      <c r="F18" s="463"/>
      <c r="G18" s="463"/>
      <c r="H18" s="731" t="n">
        <f aca="false">H17/H10</f>
        <v>11.9568005015245</v>
      </c>
      <c r="I18" s="731"/>
      <c r="J18" s="731" t="n">
        <f aca="false">J17/J10</f>
        <v>35.8704015045736</v>
      </c>
      <c r="K18" s="731"/>
      <c r="L18" s="732" t="n">
        <f aca="false">L17/L10</f>
        <v>89.6760037614339</v>
      </c>
    </row>
    <row r="19" customFormat="false" ht="15" hidden="false" customHeight="true" outlineLevel="0" collapsed="false">
      <c r="A19" s="472"/>
      <c r="B19" s="463"/>
      <c r="C19" s="463"/>
      <c r="D19" s="463"/>
      <c r="E19" s="463"/>
      <c r="F19" s="463"/>
      <c r="G19" s="463"/>
      <c r="H19" s="475"/>
      <c r="I19" s="475"/>
      <c r="J19" s="475"/>
      <c r="K19" s="475"/>
      <c r="L19" s="477"/>
    </row>
    <row r="20" customFormat="false" ht="15" hidden="false" customHeight="true" outlineLevel="0" collapsed="false">
      <c r="A20" s="472"/>
      <c r="B20" s="463"/>
      <c r="C20" s="463"/>
      <c r="D20" s="463"/>
      <c r="E20" s="463"/>
      <c r="F20" s="463"/>
      <c r="G20" s="463"/>
      <c r="H20" s="475"/>
      <c r="I20" s="475"/>
      <c r="J20" s="475"/>
      <c r="K20" s="475"/>
      <c r="L20" s="477"/>
    </row>
    <row r="21" customFormat="false" ht="15" hidden="false" customHeight="true" outlineLevel="0" collapsed="false">
      <c r="A21" s="525"/>
      <c r="B21" s="493"/>
      <c r="C21" s="493"/>
      <c r="D21" s="493"/>
      <c r="E21" s="493"/>
      <c r="F21" s="493"/>
      <c r="G21" s="493"/>
      <c r="H21" s="493"/>
      <c r="I21" s="494"/>
      <c r="J21" s="493"/>
      <c r="K21" s="493"/>
      <c r="L21" s="495"/>
    </row>
    <row r="22" customFormat="false" ht="15.75" hidden="false" customHeight="false" outlineLevel="0" collapsed="false">
      <c r="A22" s="496" t="s">
        <v>342</v>
      </c>
      <c r="B22" s="497" t="s">
        <v>3</v>
      </c>
      <c r="C22" s="468"/>
      <c r="D22" s="497" t="s">
        <v>4</v>
      </c>
      <c r="E22" s="468"/>
      <c r="F22" s="497" t="s">
        <v>5</v>
      </c>
      <c r="G22" s="468"/>
      <c r="H22" s="497" t="s">
        <v>6</v>
      </c>
      <c r="I22" s="497"/>
      <c r="J22" s="497" t="s">
        <v>7</v>
      </c>
      <c r="K22" s="468"/>
      <c r="L22" s="498"/>
    </row>
    <row r="23" customFormat="false" ht="15" hidden="false" customHeight="true" outlineLevel="0" collapsed="false">
      <c r="A23" s="499" t="s">
        <v>373</v>
      </c>
      <c r="B23" s="463"/>
      <c r="C23" s="463"/>
      <c r="D23" s="463"/>
      <c r="E23" s="463"/>
      <c r="F23" s="463"/>
      <c r="G23" s="463"/>
      <c r="H23" s="463"/>
      <c r="I23" s="463"/>
      <c r="J23" s="463"/>
      <c r="K23" s="500"/>
      <c r="L23" s="478"/>
    </row>
    <row r="24" customFormat="false" ht="15" hidden="false" customHeight="true" outlineLevel="0" collapsed="false">
      <c r="A24" s="501" t="str">
        <f aca="false">H5</f>
        <v>Conservative Estimate </v>
      </c>
      <c r="B24" s="463" t="n">
        <f aca="false">+Assumptions!E6</f>
        <v>0.5</v>
      </c>
      <c r="C24" s="463"/>
      <c r="D24" s="463" t="n">
        <f aca="false">+Assumptions!G6</f>
        <v>1</v>
      </c>
      <c r="E24" s="463"/>
      <c r="F24" s="463" t="n">
        <f aca="false">+Assumptions!I6</f>
        <v>1</v>
      </c>
      <c r="G24" s="463"/>
      <c r="H24" s="463" t="n">
        <f aca="false">+Assumptions!K6</f>
        <v>1</v>
      </c>
      <c r="I24" s="463"/>
      <c r="J24" s="463" t="n">
        <f aca="false">+Assumptions!M6</f>
        <v>1</v>
      </c>
      <c r="K24" s="463"/>
      <c r="L24" s="478"/>
    </row>
    <row r="25" customFormat="false" ht="15" hidden="false" customHeight="true" outlineLevel="0" collapsed="false">
      <c r="A25" s="502" t="str">
        <f aca="false">J5</f>
        <v>Average Estimate </v>
      </c>
      <c r="B25" s="463" t="n">
        <f aca="false">+Assumptions!E7</f>
        <v>0.6</v>
      </c>
      <c r="C25" s="463"/>
      <c r="D25" s="463" t="n">
        <f aca="false">+Assumptions!G7</f>
        <v>1</v>
      </c>
      <c r="E25" s="463"/>
      <c r="F25" s="463" t="n">
        <f aca="false">+Assumptions!I7</f>
        <v>1</v>
      </c>
      <c r="G25" s="463"/>
      <c r="H25" s="463" t="n">
        <f aca="false">+Assumptions!K7</f>
        <v>1</v>
      </c>
      <c r="I25" s="463"/>
      <c r="J25" s="463" t="n">
        <f aca="false">+Assumptions!M7</f>
        <v>1</v>
      </c>
      <c r="K25" s="463"/>
      <c r="L25" s="478"/>
    </row>
    <row r="26" customFormat="false" ht="15" hidden="false" customHeight="true" outlineLevel="0" collapsed="false">
      <c r="A26" s="503" t="str">
        <f aca="false">L5</f>
        <v>Peak Performance</v>
      </c>
      <c r="B26" s="463" t="n">
        <f aca="false">+Assumptions!E8</f>
        <v>0.7</v>
      </c>
      <c r="C26" s="463"/>
      <c r="D26" s="463" t="n">
        <f aca="false">+Assumptions!G8</f>
        <v>1</v>
      </c>
      <c r="E26" s="463"/>
      <c r="F26" s="463" t="n">
        <f aca="false">+Assumptions!I8</f>
        <v>1</v>
      </c>
      <c r="G26" s="463"/>
      <c r="H26" s="463" t="n">
        <f aca="false">+Assumptions!K8</f>
        <v>1</v>
      </c>
      <c r="I26" s="463"/>
      <c r="J26" s="463" t="n">
        <f aca="false">+Assumptions!M8</f>
        <v>1</v>
      </c>
      <c r="K26" s="463"/>
      <c r="L26" s="478"/>
    </row>
    <row r="27" customFormat="false" ht="15.75" hidden="false" customHeight="false" outlineLevel="0" collapsed="false">
      <c r="A27" s="526" t="s">
        <v>343</v>
      </c>
      <c r="B27" s="497" t="s">
        <v>3</v>
      </c>
      <c r="C27" s="497"/>
      <c r="D27" s="497" t="s">
        <v>4</v>
      </c>
      <c r="E27" s="497"/>
      <c r="F27" s="497" t="s">
        <v>5</v>
      </c>
      <c r="G27" s="497"/>
      <c r="H27" s="497" t="s">
        <v>6</v>
      </c>
      <c r="I27" s="497"/>
      <c r="J27" s="497" t="s">
        <v>7</v>
      </c>
      <c r="K27" s="497"/>
      <c r="L27" s="504" t="s">
        <v>8</v>
      </c>
    </row>
    <row r="28" customFormat="false" ht="15" hidden="false" customHeight="true" outlineLevel="0" collapsed="false">
      <c r="A28" s="499"/>
      <c r="B28" s="463"/>
      <c r="C28" s="463"/>
      <c r="D28" s="463"/>
      <c r="E28" s="463"/>
      <c r="F28" s="463"/>
      <c r="G28" s="463"/>
      <c r="H28" s="463"/>
      <c r="I28" s="463"/>
      <c r="J28" s="463"/>
      <c r="K28" s="463"/>
      <c r="L28" s="478"/>
    </row>
    <row r="29" customFormat="false" ht="15" hidden="false" customHeight="true" outlineLevel="0" collapsed="false">
      <c r="A29" s="501" t="str">
        <f aca="false">+H5</f>
        <v>Conservative Estimate </v>
      </c>
      <c r="B29" s="505" t="n">
        <f aca="false">($H$17*B24)</f>
        <v>419600</v>
      </c>
      <c r="C29" s="505"/>
      <c r="D29" s="505" t="n">
        <f aca="false">($H$17*D24)</f>
        <v>839200</v>
      </c>
      <c r="E29" s="505"/>
      <c r="F29" s="505" t="n">
        <f aca="false">($H$17*F24)</f>
        <v>839200</v>
      </c>
      <c r="G29" s="505"/>
      <c r="H29" s="505" t="n">
        <f aca="false">($H$17*H24)</f>
        <v>839200</v>
      </c>
      <c r="I29" s="505"/>
      <c r="J29" s="505" t="n">
        <f aca="false">($H$17*J24)</f>
        <v>839200</v>
      </c>
      <c r="K29" s="505"/>
      <c r="L29" s="506" t="n">
        <f aca="false">SUM(B29:J29)</f>
        <v>3776400</v>
      </c>
    </row>
    <row r="30" customFormat="false" ht="15" hidden="false" customHeight="true" outlineLevel="0" collapsed="false">
      <c r="A30" s="502" t="str">
        <f aca="false">+J5</f>
        <v>Average Estimate </v>
      </c>
      <c r="B30" s="505" t="n">
        <f aca="false">($J$17*B25)</f>
        <v>1510560</v>
      </c>
      <c r="C30" s="505"/>
      <c r="D30" s="505" t="n">
        <f aca="false">($J$17*D25)</f>
        <v>2517600</v>
      </c>
      <c r="E30" s="505"/>
      <c r="F30" s="505" t="n">
        <f aca="false">($J$17*F25)</f>
        <v>2517600</v>
      </c>
      <c r="G30" s="505"/>
      <c r="H30" s="505" t="n">
        <f aca="false">($J$17*H25)</f>
        <v>2517600</v>
      </c>
      <c r="I30" s="505"/>
      <c r="J30" s="505" t="n">
        <f aca="false">($J$17*J25)</f>
        <v>2517600</v>
      </c>
      <c r="K30" s="505"/>
      <c r="L30" s="506" t="n">
        <f aca="false">SUM(B30:J30)</f>
        <v>11580960</v>
      </c>
    </row>
    <row r="31" customFormat="false" ht="15" hidden="false" customHeight="true" outlineLevel="0" collapsed="false">
      <c r="A31" s="503" t="str">
        <f aca="false">+L5</f>
        <v>Peak Performance</v>
      </c>
      <c r="B31" s="507" t="n">
        <f aca="false">($L$17*B26)</f>
        <v>4405800</v>
      </c>
      <c r="C31" s="507"/>
      <c r="D31" s="507" t="n">
        <f aca="false">($L$17*D26)</f>
        <v>6294000</v>
      </c>
      <c r="E31" s="507"/>
      <c r="F31" s="507" t="n">
        <f aca="false">($L$17*F26)</f>
        <v>6294000</v>
      </c>
      <c r="G31" s="507"/>
      <c r="H31" s="507" t="n">
        <f aca="false">($L$17*H26)</f>
        <v>6294000</v>
      </c>
      <c r="I31" s="507"/>
      <c r="J31" s="507" t="n">
        <f aca="false">($L$17*J26)</f>
        <v>6294000</v>
      </c>
      <c r="K31" s="507"/>
      <c r="L31" s="508" t="n">
        <f aca="false">SUM(B31:J31)</f>
        <v>29581800</v>
      </c>
    </row>
    <row r="32" customFormat="false" ht="15" hidden="false" customHeight="true" outlineLevel="0" collapsed="false">
      <c r="A32" s="509"/>
      <c r="B32" s="510"/>
      <c r="C32" s="510"/>
      <c r="D32" s="510"/>
      <c r="E32" s="510"/>
      <c r="F32" s="510"/>
      <c r="G32" s="510"/>
      <c r="H32" s="511"/>
      <c r="I32" s="500"/>
      <c r="J32" s="511"/>
      <c r="K32" s="500"/>
      <c r="L32" s="512"/>
    </row>
    <row r="33" customFormat="false" ht="11.45" hidden="false" customHeight="true" outlineLevel="0" collapsed="false">
      <c r="A33" s="463"/>
      <c r="B33" s="463"/>
      <c r="C33" s="463"/>
      <c r="D33" s="463"/>
      <c r="E33" s="463"/>
      <c r="F33" s="463"/>
      <c r="G33" s="463"/>
      <c r="H33" s="463"/>
      <c r="I33" s="463"/>
      <c r="J33" s="463"/>
      <c r="K33" s="463"/>
      <c r="L33" s="463"/>
    </row>
  </sheetData>
  <printOptions headings="false" gridLines="false" gridLinesSet="true" horizontalCentered="false" verticalCentered="false"/>
  <pageMargins left="1" right="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W50"/>
  <sheetViews>
    <sheetView showFormulas="false" showGridLines="false" showRowColHeaders="true" showZeros="true" rightToLeft="false" tabSelected="false" showOutlineSymbols="true" defaultGridColor="true" view="normal" topLeftCell="A9" colorId="64" zoomScale="75" zoomScaleNormal="75" zoomScalePageLayoutView="100" workbookViewId="0">
      <selection pane="topLeft" activeCell="A48" activeCellId="0" sqref="A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.7"/>
    <col collapsed="false" customWidth="true" hidden="false" outlineLevel="0" max="3" min="3" style="0" width="15.85"/>
    <col collapsed="false" customWidth="true" hidden="false" outlineLevel="0" max="4" min="4" style="0" width="12.7"/>
    <col collapsed="false" customWidth="true" hidden="false" outlineLevel="0" max="6" min="5" style="0" width="1.7"/>
    <col collapsed="false" customWidth="true" hidden="false" outlineLevel="0" max="7" min="7" style="0" width="12.7"/>
    <col collapsed="false" customWidth="true" hidden="false" outlineLevel="0" max="8" min="8" style="0" width="1.7"/>
    <col collapsed="false" customWidth="true" hidden="false" outlineLevel="0" max="9" min="9" style="0" width="12.7"/>
    <col collapsed="false" customWidth="true" hidden="false" outlineLevel="0" max="10" min="10" style="0" width="1.7"/>
    <col collapsed="false" customWidth="true" hidden="false" outlineLevel="0" max="11" min="11" style="0" width="12.7"/>
    <col collapsed="false" customWidth="true" hidden="false" outlineLevel="0" max="12" min="12" style="0" width="1.7"/>
    <col collapsed="false" customWidth="true" hidden="false" outlineLevel="0" max="13" min="13" style="0" width="12.7"/>
    <col collapsed="false" customWidth="true" hidden="false" outlineLevel="0" max="14" min="14" style="0" width="1.7"/>
    <col collapsed="false" customWidth="true" hidden="false" outlineLevel="0" max="15" min="15" style="0" width="12.7"/>
    <col collapsed="false" customWidth="true" hidden="false" outlineLevel="0" max="16" min="16" style="0" width="1.7"/>
    <col collapsed="false" customWidth="true" hidden="false" outlineLevel="0" max="17" min="17" style="0" width="14.41"/>
    <col collapsed="false" customWidth="true" hidden="false" outlineLevel="0" max="19" min="18" style="0" width="1.7"/>
  </cols>
  <sheetData>
    <row r="2" customFormat="false" ht="18" hidden="false" customHeight="false" outlineLevel="0" collapsed="false">
      <c r="I2" s="1" t="s">
        <v>0</v>
      </c>
    </row>
    <row r="3" customFormat="false" ht="18" hidden="false" customHeight="false" outlineLevel="0" collapsed="false">
      <c r="I3" s="1" t="s">
        <v>31</v>
      </c>
    </row>
    <row r="4" customFormat="false" ht="12.75" hidden="false" customHeight="false" outlineLevel="0" collapsed="false"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</row>
    <row r="5" customFormat="false" ht="12.75" hidden="false" customHeight="false" outlineLevel="0" collapsed="false">
      <c r="B5" s="4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2"/>
    </row>
    <row r="6" customFormat="false" ht="12.75" hidden="false" customHeight="false" outlineLevel="0" collapsed="false">
      <c r="B6" s="8"/>
      <c r="C6" s="9" t="s">
        <v>2</v>
      </c>
      <c r="D6" s="9"/>
      <c r="E6" s="2"/>
      <c r="F6" s="2"/>
      <c r="G6" s="10" t="s">
        <v>3</v>
      </c>
      <c r="H6" s="10"/>
      <c r="I6" s="10" t="s">
        <v>4</v>
      </c>
      <c r="J6" s="10"/>
      <c r="K6" s="10" t="s">
        <v>5</v>
      </c>
      <c r="L6" s="10"/>
      <c r="M6" s="10" t="s">
        <v>6</v>
      </c>
      <c r="N6" s="10"/>
      <c r="O6" s="10" t="s">
        <v>7</v>
      </c>
      <c r="P6" s="10"/>
      <c r="Q6" s="10" t="s">
        <v>8</v>
      </c>
      <c r="R6" s="11"/>
      <c r="S6" s="2"/>
    </row>
    <row r="7" customFormat="false" ht="12.75" hidden="false" customHeight="false" outlineLevel="0" collapsed="false">
      <c r="B7" s="8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11"/>
      <c r="S7" s="2"/>
    </row>
    <row r="8" customFormat="false" ht="12.75" hidden="false" customHeight="false" outlineLevel="0" collapsed="false">
      <c r="B8" s="8"/>
      <c r="C8" s="2" t="str">
        <f aca="false">+'ROI Breakdown'!B23</f>
        <v>Software</v>
      </c>
      <c r="D8" s="2"/>
      <c r="E8" s="2"/>
      <c r="F8" s="2"/>
      <c r="G8" s="12" t="n">
        <f aca="false">+'ROI Breakdown'!D23</f>
        <v>725000</v>
      </c>
      <c r="H8" s="12"/>
      <c r="I8" s="12" t="n">
        <f aca="false">+'ROI Breakdown'!F23</f>
        <v>0</v>
      </c>
      <c r="J8" s="12"/>
      <c r="K8" s="12" t="n">
        <f aca="false">+'ROI Breakdown'!H23</f>
        <v>0</v>
      </c>
      <c r="L8" s="12"/>
      <c r="M8" s="12" t="n">
        <f aca="false">+'ROI Breakdown'!J23</f>
        <v>0</v>
      </c>
      <c r="N8" s="12"/>
      <c r="O8" s="12" t="n">
        <f aca="false">+'ROI Breakdown'!L23</f>
        <v>0</v>
      </c>
      <c r="P8" s="12"/>
      <c r="Q8" s="12" t="n">
        <f aca="false">SUM(G8:O8)</f>
        <v>725000</v>
      </c>
      <c r="R8" s="11"/>
      <c r="S8" s="2"/>
    </row>
    <row r="9" customFormat="false" ht="12.75" hidden="false" customHeight="false" outlineLevel="0" collapsed="false">
      <c r="B9" s="8"/>
      <c r="C9" s="2" t="str">
        <f aca="false">+'ROI Breakdown'!B25</f>
        <v>Implementation</v>
      </c>
      <c r="D9" s="2"/>
      <c r="E9" s="2"/>
      <c r="F9" s="2"/>
      <c r="G9" s="12" t="n">
        <f aca="false">+'ROI Breakdown'!D25</f>
        <v>362500</v>
      </c>
      <c r="H9" s="12"/>
      <c r="I9" s="12" t="n">
        <f aca="false">+'ROI Breakdown'!F25</f>
        <v>72500</v>
      </c>
      <c r="J9" s="12"/>
      <c r="K9" s="12" t="n">
        <f aca="false">+'ROI Breakdown'!H25</f>
        <v>72500</v>
      </c>
      <c r="L9" s="12"/>
      <c r="M9" s="12" t="n">
        <f aca="false">+'ROI Breakdown'!J25</f>
        <v>72500</v>
      </c>
      <c r="N9" s="12"/>
      <c r="O9" s="12" t="n">
        <f aca="false">+'ROI Breakdown'!L25</f>
        <v>72500</v>
      </c>
      <c r="P9" s="12"/>
      <c r="Q9" s="12" t="n">
        <f aca="false">SUM(G9:O9)</f>
        <v>652500</v>
      </c>
      <c r="R9" s="11"/>
      <c r="S9" s="2"/>
    </row>
    <row r="10" customFormat="false" ht="12.75" hidden="false" customHeight="false" outlineLevel="0" collapsed="false">
      <c r="B10" s="8"/>
      <c r="C10" s="2" t="str">
        <f aca="false">+'ROI Breakdown'!B26</f>
        <v>Training</v>
      </c>
      <c r="D10" s="2"/>
      <c r="E10" s="2"/>
      <c r="F10" s="2"/>
      <c r="G10" s="12" t="n">
        <f aca="false">+'ROI Breakdown'!D26</f>
        <v>0</v>
      </c>
      <c r="H10" s="12"/>
      <c r="I10" s="12" t="n">
        <f aca="false">+'ROI Breakdown'!F26</f>
        <v>0</v>
      </c>
      <c r="J10" s="12"/>
      <c r="K10" s="12" t="n">
        <f aca="false">+'ROI Breakdown'!H26</f>
        <v>0</v>
      </c>
      <c r="L10" s="12"/>
      <c r="M10" s="12" t="n">
        <f aca="false">+'ROI Breakdown'!J26</f>
        <v>0</v>
      </c>
      <c r="N10" s="12"/>
      <c r="O10" s="12" t="n">
        <f aca="false">+'ROI Breakdown'!L26</f>
        <v>0</v>
      </c>
      <c r="P10" s="12"/>
      <c r="Q10" s="12" t="n">
        <f aca="false">SUM(G10:O10)</f>
        <v>0</v>
      </c>
      <c r="R10" s="11"/>
      <c r="S10" s="2"/>
    </row>
    <row r="11" customFormat="false" ht="12.75" hidden="false" customHeight="false" outlineLevel="0" collapsed="false">
      <c r="B11" s="8"/>
      <c r="C11" s="2" t="s">
        <v>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3" t="s">
        <v>9</v>
      </c>
      <c r="P11" s="13"/>
      <c r="Q11" s="13"/>
      <c r="R11" s="11"/>
      <c r="S11" s="2"/>
    </row>
    <row r="12" customFormat="false" ht="12.75" hidden="false" customHeight="false" outlineLevel="0" collapsed="false">
      <c r="B12" s="8"/>
      <c r="C12" s="2" t="str">
        <f aca="false">+'ROI Breakdown'!B24</f>
        <v>Maintenance</v>
      </c>
      <c r="D12" s="2"/>
      <c r="E12" s="2"/>
      <c r="F12" s="2"/>
      <c r="G12" s="12" t="n">
        <f aca="false">+'ROI Breakdown'!D24</f>
        <v>130500</v>
      </c>
      <c r="H12" s="12"/>
      <c r="I12" s="12" t="n">
        <f aca="false">+'ROI Breakdown'!F24</f>
        <v>130500</v>
      </c>
      <c r="J12" s="12"/>
      <c r="K12" s="12" t="n">
        <f aca="false">+'ROI Breakdown'!H24</f>
        <v>130500</v>
      </c>
      <c r="L12" s="12"/>
      <c r="M12" s="12" t="n">
        <f aca="false">+'ROI Breakdown'!J24</f>
        <v>130500</v>
      </c>
      <c r="N12" s="12"/>
      <c r="O12" s="12" t="n">
        <f aca="false">+'ROI Breakdown'!L24</f>
        <v>130500</v>
      </c>
      <c r="P12" s="12"/>
      <c r="Q12" s="12" t="n">
        <f aca="false">SUM(G12:O12)</f>
        <v>652500</v>
      </c>
      <c r="R12" s="11"/>
      <c r="S12" s="2"/>
    </row>
    <row r="13" customFormat="false" ht="13.5" hidden="false" customHeight="false" outlineLevel="0" collapsed="false">
      <c r="B13" s="8"/>
      <c r="C13" s="2" t="s">
        <v>10</v>
      </c>
      <c r="D13" s="2"/>
      <c r="E13" s="2"/>
      <c r="F13" s="2"/>
      <c r="G13" s="14" t="n">
        <f aca="false">SUM(G7:G12)</f>
        <v>1218000</v>
      </c>
      <c r="H13" s="14"/>
      <c r="I13" s="14" t="n">
        <f aca="false">SUM(I7:I12)</f>
        <v>203000</v>
      </c>
      <c r="J13" s="14"/>
      <c r="K13" s="14" t="n">
        <f aca="false">SUM(K7:K12)</f>
        <v>203000</v>
      </c>
      <c r="L13" s="14"/>
      <c r="M13" s="14" t="n">
        <f aca="false">SUM(M7:M12)</f>
        <v>203000</v>
      </c>
      <c r="N13" s="14"/>
      <c r="O13" s="14" t="n">
        <f aca="false">SUM(O7:O12)</f>
        <v>203000</v>
      </c>
      <c r="P13" s="15"/>
      <c r="Q13" s="14" t="n">
        <f aca="false">SUM(Q7:Q12)</f>
        <v>2030000</v>
      </c>
      <c r="R13" s="11"/>
      <c r="S13" s="2"/>
    </row>
    <row r="14" customFormat="false" ht="13.5" hidden="false" customHeight="false" outlineLevel="0" collapsed="false"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8"/>
      <c r="S14" s="2"/>
    </row>
    <row r="15" customFormat="false" ht="12.75" hidden="false" customHeight="false" outlineLevel="0" collapsed="false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customFormat="false" ht="12.75" hidden="false" customHeight="false" outlineLevel="0" collapsed="false"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7"/>
      <c r="S16" s="2"/>
    </row>
    <row r="17" customFormat="false" ht="12.75" hidden="false" customHeight="false" outlineLevel="0" collapsed="false">
      <c r="B17" s="8"/>
      <c r="C17" s="9" t="s">
        <v>11</v>
      </c>
      <c r="D17" s="9"/>
      <c r="E17" s="2"/>
      <c r="F17" s="2"/>
      <c r="G17" s="10" t="s">
        <v>3</v>
      </c>
      <c r="H17" s="10"/>
      <c r="I17" s="10" t="s">
        <v>4</v>
      </c>
      <c r="J17" s="10"/>
      <c r="K17" s="10" t="s">
        <v>5</v>
      </c>
      <c r="L17" s="10"/>
      <c r="M17" s="10" t="s">
        <v>6</v>
      </c>
      <c r="N17" s="10"/>
      <c r="O17" s="10" t="s">
        <v>7</v>
      </c>
      <c r="P17" s="10"/>
      <c r="Q17" s="10" t="s">
        <v>8</v>
      </c>
      <c r="R17" s="11"/>
      <c r="S17" s="2"/>
    </row>
    <row r="18" customFormat="false" ht="12.75" hidden="false" customHeight="false" outlineLevel="0" collapsed="false">
      <c r="B18" s="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11"/>
      <c r="S18" s="2"/>
    </row>
    <row r="19" customFormat="false" ht="12.75" hidden="false" customHeight="false" outlineLevel="0" collapsed="false">
      <c r="B19" s="8"/>
      <c r="C19" s="2" t="str">
        <f aca="false">+C9</f>
        <v>Implementation</v>
      </c>
      <c r="D19" s="2"/>
      <c r="E19" s="2"/>
      <c r="F19" s="2"/>
      <c r="G19" s="19" t="n">
        <f aca="false">+G9</f>
        <v>362500</v>
      </c>
      <c r="H19" s="2"/>
      <c r="I19" s="19" t="n">
        <f aca="false">+I9</f>
        <v>72500</v>
      </c>
      <c r="J19" s="2"/>
      <c r="K19" s="19" t="n">
        <f aca="false">+K9</f>
        <v>72500</v>
      </c>
      <c r="L19" s="2"/>
      <c r="M19" s="19" t="n">
        <f aca="false">+M9</f>
        <v>72500</v>
      </c>
      <c r="N19" s="2"/>
      <c r="O19" s="19" t="n">
        <f aca="false">+O9</f>
        <v>72500</v>
      </c>
      <c r="P19" s="19"/>
      <c r="Q19" s="12" t="n">
        <f aca="false">SUM(G19:O19)</f>
        <v>652500</v>
      </c>
      <c r="R19" s="11"/>
      <c r="S19" s="2"/>
    </row>
    <row r="20" customFormat="false" ht="12.75" hidden="false" customHeight="false" outlineLevel="0" collapsed="false">
      <c r="B20" s="8"/>
      <c r="C20" s="2" t="str">
        <f aca="false">+C10</f>
        <v>Training</v>
      </c>
      <c r="D20" s="2"/>
      <c r="E20" s="2"/>
      <c r="F20" s="2"/>
      <c r="G20" s="19" t="n">
        <f aca="false">+G10</f>
        <v>0</v>
      </c>
      <c r="H20" s="2"/>
      <c r="I20" s="19" t="n">
        <f aca="false">+I10</f>
        <v>0</v>
      </c>
      <c r="J20" s="2"/>
      <c r="K20" s="19" t="n">
        <f aca="false">+K10</f>
        <v>0</v>
      </c>
      <c r="L20" s="2"/>
      <c r="M20" s="19" t="n">
        <f aca="false">+M10</f>
        <v>0</v>
      </c>
      <c r="N20" s="2"/>
      <c r="O20" s="19" t="n">
        <f aca="false">+O10</f>
        <v>0</v>
      </c>
      <c r="P20" s="19"/>
      <c r="Q20" s="12" t="n">
        <f aca="false">SUM(G20:O20)</f>
        <v>0</v>
      </c>
      <c r="R20" s="11"/>
      <c r="S20" s="2"/>
    </row>
    <row r="21" customFormat="false" ht="12.75" hidden="false" customHeight="false" outlineLevel="0" collapsed="false">
      <c r="B21" s="8"/>
      <c r="C21" s="2" t="str">
        <f aca="false">+C12</f>
        <v>Maintenance</v>
      </c>
      <c r="D21" s="2"/>
      <c r="E21" s="2"/>
      <c r="F21" s="2"/>
      <c r="G21" s="19" t="n">
        <f aca="false">+G12</f>
        <v>130500</v>
      </c>
      <c r="H21" s="2"/>
      <c r="I21" s="19" t="n">
        <f aca="false">+I12</f>
        <v>130500</v>
      </c>
      <c r="J21" s="2"/>
      <c r="K21" s="19" t="n">
        <f aca="false">+K12</f>
        <v>130500</v>
      </c>
      <c r="L21" s="2"/>
      <c r="M21" s="19" t="n">
        <f aca="false">+M12</f>
        <v>130500</v>
      </c>
      <c r="N21" s="2"/>
      <c r="O21" s="19" t="n">
        <f aca="false">+O12</f>
        <v>130500</v>
      </c>
      <c r="P21" s="19"/>
      <c r="Q21" s="12" t="n">
        <f aca="false">SUM(G21:O21)</f>
        <v>652500</v>
      </c>
      <c r="R21" s="11"/>
      <c r="S21" s="2"/>
    </row>
    <row r="22" customFormat="false" ht="12.75" hidden="false" customHeight="false" outlineLevel="0" collapsed="false">
      <c r="B22" s="8"/>
      <c r="C22" s="2" t="s">
        <v>12</v>
      </c>
      <c r="D22" s="2"/>
      <c r="E22" s="2"/>
      <c r="F22" s="2"/>
      <c r="G22" s="2"/>
      <c r="H22" s="2"/>
      <c r="I22" s="12" t="n">
        <f aca="false">G8/3</f>
        <v>241666.666666667</v>
      </c>
      <c r="J22" s="2"/>
      <c r="K22" s="19" t="n">
        <f aca="false">+I22</f>
        <v>241666.666666667</v>
      </c>
      <c r="L22" s="2"/>
      <c r="M22" s="19" t="n">
        <f aca="false">+I22</f>
        <v>241666.666666667</v>
      </c>
      <c r="N22" s="2"/>
      <c r="O22" s="2"/>
      <c r="P22" s="2"/>
      <c r="Q22" s="12" t="n">
        <f aca="false">SUM(G22:O22)</f>
        <v>725000</v>
      </c>
      <c r="R22" s="11"/>
      <c r="S22" s="2"/>
    </row>
    <row r="23" customFormat="false" ht="13.5" hidden="false" customHeight="false" outlineLevel="0" collapsed="false">
      <c r="B23" s="8"/>
      <c r="C23" s="2" t="s">
        <v>13</v>
      </c>
      <c r="D23" s="2"/>
      <c r="E23" s="2"/>
      <c r="F23" s="2"/>
      <c r="G23" s="14" t="n">
        <f aca="false">SUM(G19:G22)</f>
        <v>493000</v>
      </c>
      <c r="H23" s="14"/>
      <c r="I23" s="14" t="n">
        <f aca="false">SUM(I19:I22)</f>
        <v>444666.666666667</v>
      </c>
      <c r="J23" s="14"/>
      <c r="K23" s="14" t="n">
        <f aca="false">SUM(K19:K22)</f>
        <v>444666.666666667</v>
      </c>
      <c r="L23" s="14"/>
      <c r="M23" s="14" t="n">
        <f aca="false">SUM(M19:M22)</f>
        <v>444666.666666667</v>
      </c>
      <c r="N23" s="14"/>
      <c r="O23" s="14" t="n">
        <f aca="false">SUM(O19:O22)</f>
        <v>203000</v>
      </c>
      <c r="P23" s="15"/>
      <c r="Q23" s="14" t="n">
        <f aca="false">SUM(Q19:Q22)</f>
        <v>2030000</v>
      </c>
      <c r="R23" s="11"/>
      <c r="S23" s="2"/>
    </row>
    <row r="24" customFormat="false" ht="13.5" hidden="false" customHeight="false" outlineLevel="0" collapsed="false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8"/>
      <c r="S24" s="2"/>
    </row>
    <row r="25" customFormat="false" ht="12.75" hidden="false" customHeight="false" outlineLevel="0" collapsed="false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customFormat="false" ht="12.75" hidden="false" customHeight="false" outlineLevel="0" collapsed="false"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7"/>
      <c r="S26" s="2"/>
    </row>
    <row r="27" customFormat="false" ht="12.75" hidden="false" customHeight="false" outlineLevel="0" collapsed="false">
      <c r="B27" s="8"/>
      <c r="C27" s="9" t="s">
        <v>14</v>
      </c>
      <c r="D27" s="9"/>
      <c r="E27" s="2"/>
      <c r="F27" s="2"/>
      <c r="G27" s="10" t="s">
        <v>3</v>
      </c>
      <c r="H27" s="10"/>
      <c r="I27" s="10" t="s">
        <v>4</v>
      </c>
      <c r="J27" s="10"/>
      <c r="K27" s="10" t="s">
        <v>5</v>
      </c>
      <c r="L27" s="10"/>
      <c r="M27" s="10" t="s">
        <v>6</v>
      </c>
      <c r="N27" s="10"/>
      <c r="O27" s="10" t="s">
        <v>7</v>
      </c>
      <c r="P27" s="10"/>
      <c r="Q27" s="10" t="s">
        <v>8</v>
      </c>
      <c r="R27" s="11"/>
      <c r="S27" s="2"/>
    </row>
    <row r="28" customFormat="false" ht="12.75" hidden="false" customHeight="false" outlineLevel="0" collapsed="false">
      <c r="B28" s="8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1"/>
      <c r="W28" s="0" t="s">
        <v>9</v>
      </c>
    </row>
    <row r="29" customFormat="false" ht="12.75" hidden="true" customHeight="false" outlineLevel="0" collapsed="false">
      <c r="B29" s="8"/>
      <c r="C29" s="9" t="s">
        <v>15</v>
      </c>
      <c r="D29" s="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11"/>
    </row>
    <row r="30" customFormat="false" ht="12.75" hidden="true" customHeight="false" outlineLevel="0" collapsed="false">
      <c r="B30" s="8"/>
      <c r="C30" s="20" t="s">
        <v>16</v>
      </c>
      <c r="D30" s="2"/>
      <c r="E30" s="2"/>
      <c r="F30" s="2"/>
      <c r="G30" s="12" t="n">
        <f aca="false">+R1!B31</f>
        <v>0</v>
      </c>
      <c r="H30" s="12"/>
      <c r="I30" s="12" t="n">
        <f aca="false">+R1!D31</f>
        <v>0</v>
      </c>
      <c r="J30" s="12"/>
      <c r="K30" s="12" t="n">
        <f aca="false">+R1!F31</f>
        <v>0</v>
      </c>
      <c r="L30" s="12"/>
      <c r="M30" s="12" t="n">
        <f aca="false">+R1!H31*1000</f>
        <v>0</v>
      </c>
      <c r="N30" s="12"/>
      <c r="O30" s="12" t="n">
        <f aca="false">+R1!J31*1000</f>
        <v>0</v>
      </c>
      <c r="P30" s="20"/>
      <c r="Q30" s="12" t="n">
        <f aca="false">SUM(G30:O30)</f>
        <v>0</v>
      </c>
      <c r="R30" s="11"/>
    </row>
    <row r="31" customFormat="false" ht="12.75" hidden="true" customHeight="false" outlineLevel="0" collapsed="false">
      <c r="B31" s="8"/>
      <c r="C31" s="2" t="s">
        <v>32</v>
      </c>
      <c r="D31" s="2"/>
      <c r="E31" s="2"/>
      <c r="F31" s="2"/>
      <c r="G31" s="12" t="n">
        <f aca="false">+R2!B29</f>
        <v>0</v>
      </c>
      <c r="H31" s="12"/>
      <c r="I31" s="12" t="n">
        <f aca="false">+R2!D29</f>
        <v>0</v>
      </c>
      <c r="J31" s="12"/>
      <c r="K31" s="12" t="n">
        <f aca="false">+R2!F29</f>
        <v>0</v>
      </c>
      <c r="L31" s="12"/>
      <c r="M31" s="12" t="n">
        <f aca="false">+R2!H29*1000</f>
        <v>0</v>
      </c>
      <c r="N31" s="12"/>
      <c r="O31" s="12" t="n">
        <f aca="false">+R2!J29*1000</f>
        <v>0</v>
      </c>
      <c r="P31" s="20"/>
      <c r="Q31" s="12" t="n">
        <f aca="false">SUM(G31:O31)</f>
        <v>0</v>
      </c>
      <c r="R31" s="11"/>
    </row>
    <row r="32" customFormat="false" ht="13.5" hidden="true" customHeight="false" outlineLevel="0" collapsed="false">
      <c r="B32" s="8"/>
      <c r="C32" s="2" t="s">
        <v>9</v>
      </c>
      <c r="D32" s="2" t="s">
        <v>8</v>
      </c>
      <c r="E32" s="2"/>
      <c r="F32" s="2"/>
      <c r="G32" s="21" t="n">
        <f aca="false">SUM(G30:G31)</f>
        <v>0</v>
      </c>
      <c r="H32" s="22"/>
      <c r="I32" s="21" t="n">
        <f aca="false">SUM(I30:I31)</f>
        <v>0</v>
      </c>
      <c r="J32" s="22"/>
      <c r="K32" s="21" t="n">
        <f aca="false">SUM(K30:K31)</f>
        <v>0</v>
      </c>
      <c r="L32" s="22"/>
      <c r="M32" s="21" t="n">
        <f aca="false">SUM(M30:M31)</f>
        <v>0</v>
      </c>
      <c r="N32" s="22"/>
      <c r="O32" s="21" t="n">
        <f aca="false">SUM(O30:O31)</f>
        <v>0</v>
      </c>
      <c r="P32" s="23"/>
      <c r="Q32" s="21" t="n">
        <f aca="false">SUM(Q30:Q31)</f>
        <v>0</v>
      </c>
      <c r="R32" s="11"/>
    </row>
    <row r="33" customFormat="false" ht="13.5" hidden="true" customHeight="false" outlineLevel="0" collapsed="false">
      <c r="B33" s="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1"/>
    </row>
    <row r="34" customFormat="false" ht="12.75" hidden="false" customHeight="false" outlineLevel="0" collapsed="false">
      <c r="B34" s="8"/>
      <c r="C34" s="9" t="s">
        <v>18</v>
      </c>
      <c r="D34" s="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11"/>
    </row>
    <row r="35" customFormat="false" ht="12.75" hidden="false" customHeight="false" outlineLevel="0" collapsed="false">
      <c r="B35" s="8"/>
      <c r="C35" s="24" t="s">
        <v>19</v>
      </c>
      <c r="D35" s="2"/>
      <c r="E35" s="2"/>
      <c r="F35" s="2"/>
      <c r="G35" s="12" t="n">
        <f aca="false">+E1!B28</f>
        <v>0</v>
      </c>
      <c r="H35" s="12"/>
      <c r="I35" s="12" t="n">
        <f aca="false">+E1!D28</f>
        <v>0</v>
      </c>
      <c r="J35" s="12"/>
      <c r="K35" s="12" t="n">
        <f aca="false">+E1!F28</f>
        <v>0</v>
      </c>
      <c r="L35" s="12"/>
      <c r="M35" s="12" t="n">
        <f aca="false">+E1!H28</f>
        <v>0</v>
      </c>
      <c r="N35" s="12"/>
      <c r="O35" s="12" t="n">
        <f aca="false">+E1!J28</f>
        <v>0</v>
      </c>
      <c r="P35" s="12"/>
      <c r="Q35" s="12" t="n">
        <f aca="false">SUM(G35:O35)</f>
        <v>0</v>
      </c>
      <c r="R35" s="11"/>
    </row>
    <row r="36" customFormat="false" ht="12.75" hidden="false" customHeight="false" outlineLevel="0" collapsed="false">
      <c r="B36" s="8"/>
      <c r="C36" s="24" t="s">
        <v>20</v>
      </c>
      <c r="D36" s="2"/>
      <c r="E36" s="2"/>
      <c r="F36" s="2"/>
      <c r="G36" s="12" t="n">
        <f aca="false">+E2!B28</f>
        <v>143178000</v>
      </c>
      <c r="H36" s="12"/>
      <c r="I36" s="12" t="n">
        <f aca="false">+E2!D28</f>
        <v>204540000</v>
      </c>
      <c r="J36" s="12"/>
      <c r="K36" s="12" t="n">
        <f aca="false">+E2!F28</f>
        <v>204540000</v>
      </c>
      <c r="L36" s="12"/>
      <c r="M36" s="12" t="n">
        <f aca="false">+E2!H28</f>
        <v>204540000</v>
      </c>
      <c r="N36" s="12"/>
      <c r="O36" s="12" t="n">
        <f aca="false">+E2!J28</f>
        <v>204540000</v>
      </c>
      <c r="P36" s="12"/>
      <c r="Q36" s="12" t="n">
        <f aca="false">SUM(G36:O36)</f>
        <v>961338000</v>
      </c>
      <c r="R36" s="11"/>
    </row>
    <row r="37" customFormat="false" ht="12.75" hidden="false" customHeight="false" outlineLevel="0" collapsed="false">
      <c r="B37" s="8"/>
      <c r="C37" s="24" t="s">
        <v>21</v>
      </c>
      <c r="D37" s="2"/>
      <c r="E37" s="2"/>
      <c r="F37" s="2"/>
      <c r="G37" s="12" t="n">
        <f aca="false">+E3!B28</f>
        <v>143178000</v>
      </c>
      <c r="H37" s="12"/>
      <c r="I37" s="12" t="n">
        <f aca="false">+E3!D28</f>
        <v>204540000</v>
      </c>
      <c r="J37" s="12"/>
      <c r="K37" s="12" t="n">
        <f aca="false">+E3!F28</f>
        <v>204540000</v>
      </c>
      <c r="L37" s="12"/>
      <c r="M37" s="12" t="n">
        <f aca="false">+E3!H28</f>
        <v>204540000</v>
      </c>
      <c r="N37" s="12"/>
      <c r="O37" s="12" t="n">
        <f aca="false">+E3!J28</f>
        <v>204540000</v>
      </c>
      <c r="P37" s="12"/>
      <c r="Q37" s="12" t="n">
        <f aca="false">SUM(G37:O37)</f>
        <v>961338000</v>
      </c>
      <c r="R37" s="11"/>
    </row>
    <row r="38" customFormat="false" ht="12.75" hidden="false" customHeight="false" outlineLevel="0" collapsed="false">
      <c r="B38" s="8"/>
      <c r="C38" s="24" t="s">
        <v>22</v>
      </c>
      <c r="D38" s="2"/>
      <c r="E38" s="2"/>
      <c r="F38" s="2"/>
      <c r="G38" s="12" t="n">
        <f aca="false">+E4!B29</f>
        <v>38044860</v>
      </c>
      <c r="H38" s="12"/>
      <c r="I38" s="12" t="n">
        <f aca="false">+E4!D29</f>
        <v>54349800</v>
      </c>
      <c r="J38" s="12"/>
      <c r="K38" s="12" t="n">
        <f aca="false">+E4!F29</f>
        <v>54349800</v>
      </c>
      <c r="L38" s="12"/>
      <c r="M38" s="12" t="n">
        <f aca="false">+E4!H29</f>
        <v>54349800</v>
      </c>
      <c r="N38" s="12"/>
      <c r="O38" s="12" t="n">
        <f aca="false">+E4!J29</f>
        <v>54349800</v>
      </c>
      <c r="P38" s="12"/>
      <c r="Q38" s="12" t="n">
        <f aca="false">SUM(G38:O38)</f>
        <v>255444060</v>
      </c>
      <c r="R38" s="11"/>
    </row>
    <row r="39" customFormat="false" ht="12.75" hidden="false" customHeight="false" outlineLevel="0" collapsed="false">
      <c r="B39" s="8"/>
      <c r="C39" s="24" t="s">
        <v>23</v>
      </c>
      <c r="D39" s="2"/>
      <c r="E39" s="2"/>
      <c r="F39" s="2"/>
      <c r="G39" s="12" t="n">
        <f aca="false">+E5!B27</f>
        <v>85906800</v>
      </c>
      <c r="H39" s="12"/>
      <c r="I39" s="12" t="n">
        <f aca="false">+E5!D27</f>
        <v>122724000</v>
      </c>
      <c r="J39" s="12"/>
      <c r="K39" s="12" t="n">
        <f aca="false">+E5!F27</f>
        <v>122724000</v>
      </c>
      <c r="L39" s="12"/>
      <c r="M39" s="12" t="n">
        <f aca="false">+E5!H27</f>
        <v>122724000</v>
      </c>
      <c r="N39" s="12"/>
      <c r="O39" s="12" t="n">
        <f aca="false">+E5!J27</f>
        <v>122724000</v>
      </c>
      <c r="P39" s="12"/>
      <c r="Q39" s="12" t="n">
        <f aca="false">SUM(G39:O39)</f>
        <v>576802800</v>
      </c>
      <c r="R39" s="11"/>
    </row>
    <row r="40" customFormat="false" ht="12.75" hidden="false" customHeight="false" outlineLevel="0" collapsed="false">
      <c r="B40" s="8"/>
      <c r="C40" s="24" t="s">
        <v>24</v>
      </c>
      <c r="D40" s="2"/>
      <c r="E40" s="2"/>
      <c r="F40" s="2"/>
      <c r="G40" s="12" t="n">
        <f aca="false">+E6!B31</f>
        <v>4405800</v>
      </c>
      <c r="H40" s="12"/>
      <c r="I40" s="12" t="n">
        <f aca="false">+E6!D31</f>
        <v>6294000</v>
      </c>
      <c r="J40" s="12"/>
      <c r="K40" s="12" t="n">
        <f aca="false">+E6!F31</f>
        <v>6294000</v>
      </c>
      <c r="L40" s="12"/>
      <c r="M40" s="12" t="n">
        <f aca="false">+E6!H31</f>
        <v>6294000</v>
      </c>
      <c r="N40" s="12"/>
      <c r="O40" s="12" t="n">
        <f aca="false">+E6!J31</f>
        <v>6294000</v>
      </c>
      <c r="P40" s="12"/>
      <c r="Q40" s="12" t="n">
        <f aca="false">SUM(G40:O40)</f>
        <v>29581800</v>
      </c>
      <c r="R40" s="11"/>
    </row>
    <row r="41" customFormat="false" ht="12.75" hidden="false" customHeight="false" outlineLevel="0" collapsed="false">
      <c r="B41" s="8"/>
      <c r="C41" s="24" t="s">
        <v>25</v>
      </c>
      <c r="D41" s="2"/>
      <c r="E41" s="2"/>
      <c r="F41" s="2"/>
      <c r="G41" s="12" t="n">
        <f aca="false">+E7!B29</f>
        <v>0</v>
      </c>
      <c r="H41" s="12"/>
      <c r="I41" s="12" t="n">
        <f aca="false">+E7!D29</f>
        <v>0</v>
      </c>
      <c r="J41" s="12"/>
      <c r="K41" s="12" t="n">
        <f aca="false">+E7!F29</f>
        <v>0</v>
      </c>
      <c r="L41" s="12"/>
      <c r="M41" s="12" t="n">
        <f aca="false">+E7!H29</f>
        <v>0</v>
      </c>
      <c r="N41" s="12"/>
      <c r="O41" s="12" t="n">
        <f aca="false">+E7!J29</f>
        <v>0</v>
      </c>
      <c r="P41" s="12"/>
      <c r="Q41" s="12" t="n">
        <f aca="false">SUM(G41:O41)</f>
        <v>0</v>
      </c>
      <c r="R41" s="11"/>
    </row>
    <row r="42" customFormat="false" ht="12.75" hidden="false" customHeight="false" outlineLevel="0" collapsed="false">
      <c r="B42" s="8"/>
      <c r="C42" s="24" t="s">
        <v>26</v>
      </c>
      <c r="D42" s="2"/>
      <c r="E42" s="2"/>
      <c r="F42" s="2"/>
      <c r="G42" s="12" t="n">
        <f aca="false">+E8!B29</f>
        <v>0</v>
      </c>
      <c r="H42" s="12"/>
      <c r="I42" s="12" t="n">
        <f aca="false">+E8!D29</f>
        <v>0</v>
      </c>
      <c r="J42" s="12"/>
      <c r="K42" s="12" t="n">
        <f aca="false">+E8!F29</f>
        <v>0</v>
      </c>
      <c r="L42" s="12"/>
      <c r="M42" s="12" t="n">
        <f aca="false">+E8!H29</f>
        <v>0</v>
      </c>
      <c r="N42" s="12"/>
      <c r="O42" s="12" t="n">
        <f aca="false">+E8!J29</f>
        <v>0</v>
      </c>
      <c r="P42" s="12"/>
      <c r="Q42" s="12" t="n">
        <f aca="false">SUM(G42:O42)</f>
        <v>0</v>
      </c>
      <c r="R42" s="11"/>
    </row>
    <row r="43" customFormat="false" ht="13.5" hidden="false" customHeight="false" outlineLevel="0" collapsed="false">
      <c r="B43" s="8"/>
      <c r="C43" s="24" t="s">
        <v>9</v>
      </c>
      <c r="D43" s="2" t="s">
        <v>8</v>
      </c>
      <c r="E43" s="2"/>
      <c r="F43" s="2"/>
      <c r="G43" s="21" t="n">
        <f aca="false">SUM(G35:G42)</f>
        <v>414713460</v>
      </c>
      <c r="H43" s="22"/>
      <c r="I43" s="21" t="n">
        <f aca="false">SUM(I35:I42)</f>
        <v>592447800</v>
      </c>
      <c r="J43" s="22"/>
      <c r="K43" s="21" t="n">
        <f aca="false">SUM(K35:K42)</f>
        <v>592447800</v>
      </c>
      <c r="L43" s="22"/>
      <c r="M43" s="21" t="n">
        <f aca="false">SUM(M35:M42)</f>
        <v>592447800</v>
      </c>
      <c r="N43" s="22"/>
      <c r="O43" s="21" t="n">
        <f aca="false">SUM(O35:O42)</f>
        <v>592447800</v>
      </c>
      <c r="P43" s="23"/>
      <c r="Q43" s="21" t="n">
        <f aca="false">SUM(Q35:Q42)</f>
        <v>2784504660</v>
      </c>
      <c r="R43" s="11"/>
    </row>
    <row r="44" customFormat="false" ht="13.5" hidden="false" customHeight="false" outlineLevel="0" collapsed="false">
      <c r="B44" s="8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11"/>
    </row>
    <row r="45" customFormat="false" ht="12.75" hidden="false" customHeight="false" outlineLevel="0" collapsed="false">
      <c r="B45" s="8"/>
      <c r="C45" s="9" t="s">
        <v>27</v>
      </c>
      <c r="D45" s="9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11"/>
    </row>
    <row r="46" customFormat="false" ht="12.75" hidden="false" customHeight="false" outlineLevel="0" collapsed="false">
      <c r="B46" s="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11"/>
    </row>
    <row r="47" customFormat="false" ht="12.75" hidden="true" customHeight="false" outlineLevel="0" collapsed="false">
      <c r="B47" s="8"/>
      <c r="C47" s="2" t="s">
        <v>28</v>
      </c>
      <c r="D47" s="2"/>
      <c r="E47" s="2"/>
      <c r="F47" s="2"/>
      <c r="G47" s="12" t="n">
        <f aca="false">+A1!B28</f>
        <v>0</v>
      </c>
      <c r="H47" s="12"/>
      <c r="I47" s="12" t="n">
        <f aca="false">+A1!D28</f>
        <v>0</v>
      </c>
      <c r="J47" s="12"/>
      <c r="K47" s="12" t="n">
        <f aca="false">+A1!F28</f>
        <v>0</v>
      </c>
      <c r="L47" s="12"/>
      <c r="M47" s="12" t="n">
        <f aca="false">+A1!H28</f>
        <v>0</v>
      </c>
      <c r="N47" s="12"/>
      <c r="O47" s="12" t="n">
        <f aca="false">+A1!J28</f>
        <v>0</v>
      </c>
      <c r="P47" s="12"/>
      <c r="Q47" s="12" t="n">
        <f aca="false">SUM(G47:O47)</f>
        <v>0</v>
      </c>
      <c r="R47" s="11"/>
    </row>
    <row r="48" customFormat="false" ht="12.75" hidden="false" customHeight="false" outlineLevel="0" collapsed="false">
      <c r="B48" s="8"/>
      <c r="C48" s="2" t="s">
        <v>29</v>
      </c>
      <c r="D48" s="2"/>
      <c r="E48" s="2"/>
      <c r="F48" s="2"/>
      <c r="G48" s="12" t="n">
        <f aca="false">+A2!B28</f>
        <v>3780000</v>
      </c>
      <c r="H48" s="12"/>
      <c r="I48" s="12" t="n">
        <f aca="false">+A2!D28</f>
        <v>5400000</v>
      </c>
      <c r="J48" s="12"/>
      <c r="K48" s="12" t="n">
        <f aca="false">+A2!F28</f>
        <v>5400000</v>
      </c>
      <c r="L48" s="12"/>
      <c r="M48" s="12" t="n">
        <f aca="false">+A2!H28</f>
        <v>5400000</v>
      </c>
      <c r="N48" s="12"/>
      <c r="O48" s="12" t="n">
        <f aca="false">+A2!J28</f>
        <v>5400000</v>
      </c>
      <c r="P48" s="12"/>
      <c r="Q48" s="12" t="n">
        <f aca="false">SUM(G48:O48)</f>
        <v>25380000</v>
      </c>
      <c r="R48" s="11"/>
    </row>
    <row r="49" customFormat="false" ht="13.5" hidden="false" customHeight="false" outlineLevel="0" collapsed="false">
      <c r="B49" s="8"/>
      <c r="C49" s="2"/>
      <c r="D49" s="2" t="s">
        <v>8</v>
      </c>
      <c r="E49" s="2"/>
      <c r="F49" s="2"/>
      <c r="G49" s="21" t="n">
        <f aca="false">SUM(G47:G48)</f>
        <v>3780000</v>
      </c>
      <c r="H49" s="22"/>
      <c r="I49" s="21" t="n">
        <f aca="false">SUM(I47:I48)</f>
        <v>5400000</v>
      </c>
      <c r="J49" s="22"/>
      <c r="K49" s="21" t="n">
        <f aca="false">SUM(K47:K48)</f>
        <v>5400000</v>
      </c>
      <c r="L49" s="22"/>
      <c r="M49" s="21" t="n">
        <f aca="false">SUM(M47:M48)</f>
        <v>5400000</v>
      </c>
      <c r="N49" s="22"/>
      <c r="O49" s="21" t="n">
        <f aca="false">SUM(O47:O48)</f>
        <v>5400000</v>
      </c>
      <c r="P49" s="23"/>
      <c r="Q49" s="21" t="n">
        <f aca="false">SUM(Q47:Q48)</f>
        <v>25380000</v>
      </c>
      <c r="R49" s="11"/>
    </row>
    <row r="50" customFormat="false" ht="13.5" hidden="false" customHeight="false" outlineLevel="0" collapsed="false"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8"/>
    </row>
  </sheetData>
  <printOptions headings="false" gridLines="false" gridLinesSet="true" horizontalCentered="false" verticalCentered="false"/>
  <pageMargins left="1" right="1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32" activeCellId="0" sqref="E3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6" width="36.28"/>
    <col collapsed="false" customWidth="true" hidden="false" outlineLevel="0" max="2" min="2" style="26" width="17.56"/>
    <col collapsed="false" customWidth="true" hidden="false" outlineLevel="0" max="3" min="3" style="26" width="14.56"/>
    <col collapsed="false" customWidth="true" hidden="false" outlineLevel="0" max="4" min="4" style="26" width="17.7"/>
    <col collapsed="false" customWidth="true" hidden="false" outlineLevel="0" max="6" min="5" style="26" width="14.56"/>
    <col collapsed="false" customWidth="true" hidden="false" outlineLevel="0" max="7" min="7" style="26" width="16.99"/>
    <col collapsed="false" customWidth="true" hidden="false" outlineLevel="0" max="8" min="8" style="26" width="16.28"/>
    <col collapsed="false" customWidth="true" hidden="false" outlineLevel="0" max="9" min="9" style="26" width="14.7"/>
    <col collapsed="false" customWidth="true" hidden="false" outlineLevel="0" max="10" min="10" style="26" width="15.56"/>
    <col collapsed="false" customWidth="true" hidden="false" outlineLevel="0" max="11" min="11" style="26" width="16.56"/>
    <col collapsed="false" customWidth="true" hidden="false" outlineLevel="0" max="12" min="12" style="26" width="10.28"/>
    <col collapsed="false" customWidth="true" hidden="false" outlineLevel="0" max="13" min="13" style="26" width="11.85"/>
    <col collapsed="false" customWidth="true" hidden="false" outlineLevel="0" max="15" min="14" style="26" width="16.99"/>
    <col collapsed="false" customWidth="true" hidden="false" outlineLevel="0" max="16" min="16" style="26" width="16.56"/>
    <col collapsed="false" customWidth="true" hidden="false" outlineLevel="0" max="17" min="17" style="26" width="13.14"/>
    <col collapsed="false" customWidth="true" hidden="false" outlineLevel="0" max="18" min="18" style="26" width="13.41"/>
    <col collapsed="false" customWidth="true" hidden="false" outlineLevel="0" max="19" min="19" style="26" width="12.14"/>
    <col collapsed="false" customWidth="true" hidden="false" outlineLevel="0" max="20" min="20" style="26" width="11.99"/>
    <col collapsed="false" customWidth="true" hidden="false" outlineLevel="0" max="21" min="21" style="26" width="13.41"/>
    <col collapsed="false" customWidth="true" hidden="false" outlineLevel="0" max="22" min="22" style="26" width="13.85"/>
    <col collapsed="false" customWidth="true" hidden="false" outlineLevel="0" max="24" min="23" style="26" width="13.41"/>
    <col collapsed="false" customWidth="true" hidden="false" outlineLevel="0" max="25" min="25" style="26" width="13.85"/>
    <col collapsed="false" customWidth="true" hidden="false" outlineLevel="0" max="26" min="26" style="26" width="12.14"/>
    <col collapsed="false" customWidth="true" hidden="false" outlineLevel="0" max="27" min="27" style="26" width="11.99"/>
    <col collapsed="false" customWidth="true" hidden="false" outlineLevel="0" max="28" min="28" style="26" width="4.7"/>
    <col collapsed="false" customWidth="true" hidden="false" outlineLevel="0" max="29" min="29" style="26" width="14.85"/>
    <col collapsed="false" customWidth="true" hidden="false" outlineLevel="0" max="31" min="30" style="26" width="13.41"/>
    <col collapsed="false" customWidth="false" hidden="false" outlineLevel="0" max="257" min="32" style="26" width="9.14"/>
  </cols>
  <sheetData>
    <row r="1" customFormat="false" ht="38.25" hidden="false" customHeight="true" outlineLevel="0" collapsed="false"/>
    <row r="2" customFormat="false" ht="37.5" hidden="false" customHeight="true" outlineLevel="0" collapsed="false">
      <c r="A2" s="27" t="s">
        <v>33</v>
      </c>
      <c r="B2" s="27"/>
      <c r="C2" s="27"/>
      <c r="D2" s="27"/>
      <c r="E2" s="27"/>
      <c r="F2" s="27"/>
      <c r="G2" s="27"/>
      <c r="H2" s="27"/>
    </row>
    <row r="3" customFormat="false" ht="18" hidden="false" customHeight="false" outlineLevel="0" collapsed="false">
      <c r="A3" s="28" t="s">
        <v>34</v>
      </c>
      <c r="B3" s="29"/>
      <c r="C3" s="30" t="s">
        <v>35</v>
      </c>
      <c r="D3" s="30"/>
      <c r="E3" s="30"/>
      <c r="F3" s="30"/>
      <c r="G3" s="30"/>
      <c r="H3" s="30"/>
    </row>
    <row r="4" customFormat="false" ht="15.75" hidden="false" customHeight="false" outlineLevel="0" collapsed="false">
      <c r="A4" s="31"/>
      <c r="B4" s="32"/>
      <c r="C4" s="33" t="s">
        <v>3</v>
      </c>
      <c r="D4" s="33" t="s">
        <v>4</v>
      </c>
      <c r="E4" s="33" t="s">
        <v>5</v>
      </c>
      <c r="F4" s="33" t="s">
        <v>6</v>
      </c>
      <c r="G4" s="33" t="s">
        <v>7</v>
      </c>
      <c r="H4" s="34" t="s">
        <v>8</v>
      </c>
    </row>
    <row r="5" customFormat="false" ht="15.75" hidden="false" customHeight="false" outlineLevel="0" collapsed="false">
      <c r="A5" s="35" t="str">
        <f aca="false">'ROI Breakdown'!A16</f>
        <v>Cash Flow (no Tax Consequences)</v>
      </c>
      <c r="B5" s="36" t="s">
        <v>1</v>
      </c>
      <c r="C5" s="37" t="n">
        <f aca="false">'ROI Breakdown'!D18</f>
        <v>35565640</v>
      </c>
      <c r="D5" s="37" t="n">
        <f aca="false">'ROI Breakdown'!F18</f>
        <v>71131280</v>
      </c>
      <c r="E5" s="37" t="n">
        <f aca="false">'ROI Breakdown'!H18</f>
        <v>71131280</v>
      </c>
      <c r="F5" s="37" t="n">
        <f aca="false">'ROI Breakdown'!J18</f>
        <v>71131280</v>
      </c>
      <c r="G5" s="37" t="n">
        <f aca="false">'ROI Breakdown'!L18</f>
        <v>71131280</v>
      </c>
      <c r="H5" s="38" t="n">
        <f aca="false">SUM(C5:G5)</f>
        <v>320090760</v>
      </c>
    </row>
    <row r="6" customFormat="false" ht="15.75" hidden="false" customHeight="false" outlineLevel="0" collapsed="false">
      <c r="A6" s="39"/>
      <c r="B6" s="36" t="s">
        <v>30</v>
      </c>
      <c r="C6" s="37" t="n">
        <f aca="false">'ROI Breakdown'!D19</f>
        <v>146150796</v>
      </c>
      <c r="D6" s="37" t="n">
        <f aca="false">'ROI Breakdown'!F19</f>
        <v>243584660</v>
      </c>
      <c r="E6" s="37" t="n">
        <f aca="false">'ROI Breakdown'!H19</f>
        <v>243584660</v>
      </c>
      <c r="F6" s="37" t="n">
        <f aca="false">'ROI Breakdown'!J19</f>
        <v>243584660</v>
      </c>
      <c r="G6" s="37" t="n">
        <f aca="false">'ROI Breakdown'!L19</f>
        <v>243584660</v>
      </c>
      <c r="H6" s="38" t="n">
        <f aca="false">SUM(C6:G6)</f>
        <v>1120489436</v>
      </c>
    </row>
    <row r="7" customFormat="false" ht="15.75" hidden="false" customHeight="false" outlineLevel="0" collapsed="false">
      <c r="A7" s="39"/>
      <c r="B7" s="36" t="s">
        <v>31</v>
      </c>
      <c r="C7" s="37" t="n">
        <f aca="false">'ROI Breakdown'!D20</f>
        <v>418493463</v>
      </c>
      <c r="D7" s="37" t="n">
        <f aca="false">'ROI Breakdown'!F20</f>
        <v>597847803</v>
      </c>
      <c r="E7" s="37" t="n">
        <f aca="false">'ROI Breakdown'!H20</f>
        <v>597847803</v>
      </c>
      <c r="F7" s="37" t="n">
        <f aca="false">'ROI Breakdown'!J20</f>
        <v>597847803</v>
      </c>
      <c r="G7" s="37" t="n">
        <f aca="false">'ROI Breakdown'!L20</f>
        <v>597847803</v>
      </c>
      <c r="H7" s="38" t="n">
        <f aca="false">SUM(C7:G7)</f>
        <v>2809884675</v>
      </c>
    </row>
    <row r="8" customFormat="false" ht="15.75" hidden="false" customHeight="false" outlineLevel="0" collapsed="false">
      <c r="A8" s="40"/>
      <c r="B8" s="41"/>
      <c r="C8" s="42"/>
      <c r="D8" s="42"/>
      <c r="E8" s="43"/>
      <c r="F8" s="43"/>
      <c r="G8" s="43"/>
      <c r="H8" s="44"/>
    </row>
    <row r="9" customFormat="false" ht="16.5" hidden="false" customHeight="false" outlineLevel="0" collapsed="false">
      <c r="A9" s="45" t="s">
        <v>36</v>
      </c>
      <c r="B9" s="46"/>
      <c r="C9" s="47" t="n">
        <f aca="false">'ROI Breakdown'!D27</f>
        <v>1218000</v>
      </c>
      <c r="D9" s="47" t="n">
        <f aca="false">'ROI Breakdown'!F27</f>
        <v>203000</v>
      </c>
      <c r="E9" s="47" t="n">
        <f aca="false">'ROI Breakdown'!H27</f>
        <v>203000</v>
      </c>
      <c r="F9" s="47" t="n">
        <f aca="false">'ROI Breakdown'!J27</f>
        <v>203000</v>
      </c>
      <c r="G9" s="47" t="n">
        <f aca="false">'ROI Breakdown'!L27</f>
        <v>203000</v>
      </c>
      <c r="H9" s="48" t="n">
        <f aca="false">SUM(C9:G9)</f>
        <v>2030000</v>
      </c>
    </row>
    <row r="10" customFormat="false" ht="16.5" hidden="false" customHeight="false" outlineLevel="0" collapsed="false">
      <c r="A10" s="49" t="s">
        <v>37</v>
      </c>
      <c r="B10" s="50"/>
      <c r="C10" s="51" t="n">
        <f aca="false">C6-C9</f>
        <v>144932796</v>
      </c>
      <c r="D10" s="51" t="n">
        <f aca="false">D6-D9</f>
        <v>243381660</v>
      </c>
      <c r="E10" s="51" t="n">
        <f aca="false">E6-E9</f>
        <v>243381660</v>
      </c>
      <c r="F10" s="51" t="n">
        <f aca="false">F6-F9</f>
        <v>243381660</v>
      </c>
      <c r="G10" s="51" t="n">
        <f aca="false">G6-G9</f>
        <v>243381660</v>
      </c>
      <c r="H10" s="52" t="n">
        <f aca="false">SUM(C10:G10)</f>
        <v>1118459436</v>
      </c>
    </row>
    <row r="11" customFormat="false" ht="16.5" hidden="false" customHeight="false" outlineLevel="0" collapsed="false">
      <c r="A11" s="49"/>
      <c r="B11" s="50"/>
      <c r="C11" s="42"/>
      <c r="D11" s="42"/>
      <c r="E11" s="51"/>
      <c r="F11" s="51"/>
      <c r="G11" s="51"/>
      <c r="H11" s="52"/>
    </row>
    <row r="12" customFormat="false" ht="16.5" hidden="false" customHeight="false" outlineLevel="0" collapsed="false">
      <c r="A12" s="53"/>
      <c r="B12" s="54" t="s">
        <v>38</v>
      </c>
      <c r="C12" s="55" t="s">
        <v>1</v>
      </c>
      <c r="D12" s="55" t="s">
        <v>39</v>
      </c>
      <c r="E12" s="56" t="s">
        <v>31</v>
      </c>
      <c r="F12" s="51"/>
      <c r="G12" s="51"/>
      <c r="H12" s="52"/>
    </row>
    <row r="13" customFormat="false" ht="15.75" hidden="false" customHeight="false" outlineLevel="0" collapsed="false">
      <c r="A13" s="53"/>
      <c r="B13" s="57" t="s">
        <v>40</v>
      </c>
      <c r="C13" s="58" t="n">
        <f aca="false">(H5-H9)/H9</f>
        <v>156.680177339902</v>
      </c>
      <c r="D13" s="59" t="n">
        <f aca="false">(H6-H9)/H9</f>
        <v>550.965239408867</v>
      </c>
      <c r="E13" s="60" t="n">
        <f aca="false">(H7-H9)/H9</f>
        <v>1383.17964285714</v>
      </c>
      <c r="F13" s="51"/>
      <c r="G13" s="51"/>
      <c r="H13" s="52"/>
    </row>
    <row r="14" customFormat="false" ht="15.75" hidden="false" customHeight="false" outlineLevel="0" collapsed="false">
      <c r="A14" s="61" t="s">
        <v>41</v>
      </c>
      <c r="B14" s="62" t="s">
        <v>42</v>
      </c>
      <c r="C14" s="63" t="n">
        <f aca="false">G27-C27</f>
        <v>242607327.112462</v>
      </c>
      <c r="D14" s="63" t="n">
        <f aca="false">N27-C27</f>
        <v>857736644.668438</v>
      </c>
      <c r="E14" s="64" t="n">
        <f aca="false">U27-C27</f>
        <v>2163121073.50522</v>
      </c>
      <c r="F14" s="65"/>
      <c r="G14" s="65"/>
      <c r="H14" s="66"/>
    </row>
    <row r="15" customFormat="false" ht="15.75" hidden="false" customHeight="false" outlineLevel="0" collapsed="false">
      <c r="A15" s="61"/>
      <c r="B15" s="62" t="s">
        <v>43</v>
      </c>
      <c r="C15" s="67" t="n">
        <f aca="false">AC27</f>
        <v>9.17457487035848</v>
      </c>
      <c r="D15" s="67" t="n">
        <f aca="false">AD27</f>
        <v>14.6812273007439</v>
      </c>
      <c r="E15" s="68" t="n">
        <f aca="false">AE27</f>
        <v>19.7690972493762</v>
      </c>
      <c r="F15" s="65"/>
      <c r="G15" s="65"/>
      <c r="H15" s="66"/>
    </row>
    <row r="16" customFormat="false" ht="15.75" hidden="false" customHeight="false" outlineLevel="0" collapsed="false">
      <c r="A16" s="61"/>
      <c r="B16" s="62" t="s">
        <v>44</v>
      </c>
      <c r="C16" s="69"/>
      <c r="D16" s="70" t="e">
        <f aca="false">'ROI Breakdown'!F70</f>
        <v>#VALUE!</v>
      </c>
      <c r="E16" s="71"/>
      <c r="F16" s="65"/>
      <c r="G16" s="65"/>
      <c r="H16" s="66"/>
    </row>
    <row r="17" customFormat="false" ht="15.75" hidden="false" customHeight="false" outlineLevel="0" collapsed="false">
      <c r="A17" s="61"/>
      <c r="B17" s="62" t="s">
        <v>45</v>
      </c>
      <c r="C17" s="69"/>
      <c r="D17" s="72" t="e">
        <f aca="false">'ROI Breakdown'!F71</f>
        <v>#VALUE!</v>
      </c>
      <c r="E17" s="71"/>
      <c r="F17" s="65"/>
      <c r="G17" s="65"/>
      <c r="H17" s="66"/>
    </row>
    <row r="18" customFormat="false" ht="16.5" hidden="false" customHeight="false" outlineLevel="0" collapsed="false">
      <c r="A18" s="73" t="n">
        <f aca="false">I!F39</f>
        <v>0.1</v>
      </c>
      <c r="B18" s="74" t="s">
        <v>46</v>
      </c>
      <c r="C18" s="75" t="n">
        <f aca="false">H9/(H5/12)</f>
        <v>0.0761034151688727</v>
      </c>
      <c r="D18" s="75" t="n">
        <f aca="false">H9/(H6/12)</f>
        <v>0.0217404994793722</v>
      </c>
      <c r="E18" s="76" t="n">
        <f aca="false">H9/(H7/12)</f>
        <v>0.00866939494589756</v>
      </c>
      <c r="F18" s="77" t="s">
        <v>47</v>
      </c>
      <c r="G18" s="78"/>
      <c r="H18" s="79"/>
    </row>
    <row r="19" customFormat="false" ht="15.75" hidden="false" customHeight="false" outlineLevel="0" collapsed="false">
      <c r="D19" s="80" t="s">
        <v>48</v>
      </c>
    </row>
    <row r="20" customFormat="false" ht="15.75" hidden="false" customHeight="false" outlineLevel="0" collapsed="false">
      <c r="A20" s="26" t="s">
        <v>49</v>
      </c>
      <c r="B20" s="81" t="n">
        <f aca="false">A18</f>
        <v>0.1</v>
      </c>
    </row>
    <row r="21" customFormat="false" ht="15.75" hidden="false" customHeight="false" outlineLevel="0" collapsed="false">
      <c r="A21" s="26" t="s">
        <v>50</v>
      </c>
      <c r="B21" s="81" t="n">
        <f aca="false">A18/12</f>
        <v>0.00833333333333333</v>
      </c>
    </row>
    <row r="23" customFormat="false" ht="15.75" hidden="false" customHeight="false" outlineLevel="0" collapsed="false">
      <c r="C23" s="82" t="s">
        <v>51</v>
      </c>
      <c r="D23" s="82"/>
      <c r="E23" s="83"/>
      <c r="G23" s="84" t="s">
        <v>52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C23" s="82" t="s">
        <v>43</v>
      </c>
      <c r="AD23" s="82"/>
      <c r="AE23" s="82"/>
    </row>
    <row r="24" customFormat="false" ht="15.75" hidden="false" customHeight="false" outlineLevel="0" collapsed="false">
      <c r="C24" s="85"/>
      <c r="D24" s="86"/>
      <c r="E24" s="87"/>
      <c r="G24" s="82" t="s">
        <v>1</v>
      </c>
      <c r="H24" s="82"/>
      <c r="I24" s="82"/>
      <c r="J24" s="82"/>
      <c r="K24" s="82"/>
      <c r="L24" s="82"/>
      <c r="M24" s="82"/>
      <c r="N24" s="82" t="s">
        <v>30</v>
      </c>
      <c r="O24" s="82"/>
      <c r="P24" s="82"/>
      <c r="Q24" s="82"/>
      <c r="R24" s="82"/>
      <c r="S24" s="82"/>
      <c r="T24" s="82"/>
      <c r="U24" s="82" t="s">
        <v>31</v>
      </c>
      <c r="V24" s="82"/>
      <c r="W24" s="82"/>
      <c r="X24" s="82"/>
      <c r="Y24" s="82"/>
      <c r="Z24" s="82"/>
      <c r="AA24" s="82"/>
      <c r="AC24" s="82" t="s">
        <v>1</v>
      </c>
      <c r="AD24" s="82" t="s">
        <v>30</v>
      </c>
      <c r="AE24" s="82" t="s">
        <v>31</v>
      </c>
    </row>
    <row r="25" customFormat="false" ht="15.75" hidden="false" customHeight="false" outlineLevel="0" collapsed="false">
      <c r="C25" s="85"/>
      <c r="D25" s="86"/>
      <c r="E25" s="87"/>
      <c r="G25" s="88"/>
      <c r="H25" s="89" t="n">
        <v>60</v>
      </c>
      <c r="I25" s="89" t="n">
        <v>6</v>
      </c>
      <c r="J25" s="89" t="n">
        <v>60</v>
      </c>
      <c r="K25" s="89" t="n">
        <v>12</v>
      </c>
      <c r="L25" s="89" t="n">
        <v>60</v>
      </c>
      <c r="M25" s="90" t="n">
        <v>24</v>
      </c>
      <c r="N25" s="88"/>
      <c r="O25" s="89" t="n">
        <v>60</v>
      </c>
      <c r="P25" s="89" t="n">
        <v>6</v>
      </c>
      <c r="Q25" s="89" t="n">
        <v>60</v>
      </c>
      <c r="R25" s="89" t="n">
        <v>12</v>
      </c>
      <c r="S25" s="89" t="n">
        <v>60</v>
      </c>
      <c r="T25" s="90" t="n">
        <v>24</v>
      </c>
      <c r="U25" s="91"/>
      <c r="V25" s="89" t="n">
        <v>60</v>
      </c>
      <c r="W25" s="89" t="n">
        <v>6</v>
      </c>
      <c r="X25" s="89" t="n">
        <v>60</v>
      </c>
      <c r="Y25" s="89" t="n">
        <v>12</v>
      </c>
      <c r="Z25" s="89" t="n">
        <v>60</v>
      </c>
      <c r="AA25" s="90" t="n">
        <v>24</v>
      </c>
      <c r="AC25" s="92"/>
      <c r="AD25" s="92"/>
      <c r="AE25" s="92"/>
    </row>
    <row r="26" customFormat="false" ht="15.75" hidden="false" customHeight="false" outlineLevel="0" collapsed="false">
      <c r="C26" s="85" t="s">
        <v>8</v>
      </c>
      <c r="D26" s="86"/>
      <c r="E26" s="87"/>
      <c r="G26" s="85" t="s">
        <v>8</v>
      </c>
      <c r="H26" s="93"/>
      <c r="I26" s="93"/>
      <c r="J26" s="93"/>
      <c r="K26" s="93"/>
      <c r="L26" s="93"/>
      <c r="M26" s="94"/>
      <c r="N26" s="85" t="s">
        <v>8</v>
      </c>
      <c r="O26" s="93"/>
      <c r="P26" s="93"/>
      <c r="Q26" s="93"/>
      <c r="R26" s="93"/>
      <c r="S26" s="93"/>
      <c r="T26" s="94"/>
      <c r="U26" s="85" t="s">
        <v>8</v>
      </c>
      <c r="V26" s="93"/>
      <c r="W26" s="93"/>
      <c r="X26" s="93"/>
      <c r="Y26" s="93"/>
      <c r="Z26" s="93"/>
      <c r="AA26" s="94"/>
      <c r="AC26" s="95"/>
      <c r="AD26" s="95"/>
      <c r="AE26" s="95"/>
    </row>
    <row r="27" customFormat="false" ht="15.75" hidden="false" customHeight="false" outlineLevel="0" collapsed="false">
      <c r="A27" s="26" t="s">
        <v>53</v>
      </c>
      <c r="C27" s="96" t="n">
        <f aca="false">SUM(D27:E27)</f>
        <v>1826732.57095548</v>
      </c>
      <c r="D27" s="97" t="n">
        <f aca="false">SUM(D29:D88)</f>
        <v>1183249.88534657</v>
      </c>
      <c r="E27" s="98" t="n">
        <f aca="false">SUM(E29:E88)</f>
        <v>643482.685608907</v>
      </c>
      <c r="G27" s="99" t="n">
        <f aca="false">SUM(H27:M27)</f>
        <v>244434059.683418</v>
      </c>
      <c r="H27" s="97" t="n">
        <f aca="false">PV($B$21,H25,-H29)</f>
        <v>278984995.194319</v>
      </c>
      <c r="I27" s="97" t="n">
        <f aca="false">PV($B$21,I25,-I29)</f>
        <v>-34550935.510901</v>
      </c>
      <c r="J27" s="97" t="n">
        <f aca="false">PV($B$21,J25,-J29)</f>
        <v>-0</v>
      </c>
      <c r="K27" s="97" t="n">
        <f aca="false">PV($B$21,K25,-K29)</f>
        <v>-0</v>
      </c>
      <c r="L27" s="97" t="n">
        <f aca="false">PV($B$21,L25,-L29)</f>
        <v>-0</v>
      </c>
      <c r="M27" s="98" t="n">
        <f aca="false">PV($B$21,M25,-M29)</f>
        <v>-0</v>
      </c>
      <c r="N27" s="99" t="n">
        <f aca="false">SUM(O27:T27)</f>
        <v>859563377.239393</v>
      </c>
      <c r="O27" s="97" t="n">
        <f aca="false">PV($B$21,O25,-O29)</f>
        <v>1146440191.14251</v>
      </c>
      <c r="P27" s="97" t="n">
        <f aca="false">PV($B$21,P25,-P29)</f>
        <v>-141981044.836051</v>
      </c>
      <c r="Q27" s="97" t="n">
        <f aca="false">PV($B$21,Q25,-Q29)</f>
        <v>-191073365.190419</v>
      </c>
      <c r="R27" s="97" t="n">
        <f aca="false">PV($B$21,R25,-R29)</f>
        <v>46177596.1233495</v>
      </c>
      <c r="S27" s="97" t="n">
        <f aca="false">PV($B$21,S25,-S29)</f>
        <v>-0</v>
      </c>
      <c r="T27" s="98" t="n">
        <f aca="false">PV($B$21,T25,-T29)</f>
        <v>-0</v>
      </c>
      <c r="U27" s="99" t="n">
        <f aca="false">SUM(V27:AA27)</f>
        <v>2164947806.07618</v>
      </c>
      <c r="V27" s="97" t="n">
        <f aca="false">PV($B$21,V25,-V29)</f>
        <v>3282758211.68714</v>
      </c>
      <c r="W27" s="97" t="n">
        <f aca="false">PV($B$21,W25,-W29)</f>
        <v>-406553647.055041</v>
      </c>
      <c r="X27" s="97" t="n">
        <f aca="false">PV($B$21,X25,-X29)</f>
        <v>-937930922.667616</v>
      </c>
      <c r="Y27" s="97" t="n">
        <f aca="false">PV($B$21,Y25,-Y29)</f>
        <v>226674164.111689</v>
      </c>
      <c r="Z27" s="97" t="n">
        <f aca="false">PV($B$21,Z25,-Z29)</f>
        <v>-0</v>
      </c>
      <c r="AA27" s="98" t="n">
        <f aca="false">PV($B$21,AA25,-AA29)</f>
        <v>-0</v>
      </c>
      <c r="AC27" s="100" t="n">
        <f aca="false">IRR(AC29:AC88,16%)*12</f>
        <v>9.17457487035848</v>
      </c>
      <c r="AD27" s="100" t="n">
        <f aca="false">IRR(AD29:AD88,13%)*12</f>
        <v>14.6812273007439</v>
      </c>
      <c r="AE27" s="100" t="n">
        <f aca="false">IRR(AE29:AE88,13%)*12</f>
        <v>19.7690972493762</v>
      </c>
      <c r="AF27" s="101"/>
      <c r="AG27" s="101"/>
      <c r="AH27" s="101"/>
    </row>
    <row r="28" customFormat="false" ht="15.75" hidden="false" customHeight="false" outlineLevel="0" collapsed="false">
      <c r="C28" s="85"/>
      <c r="D28" s="97"/>
      <c r="E28" s="87"/>
      <c r="G28" s="102"/>
      <c r="H28" s="97"/>
      <c r="I28" s="97"/>
      <c r="J28" s="97"/>
      <c r="K28" s="97"/>
      <c r="L28" s="97"/>
      <c r="M28" s="98"/>
      <c r="N28" s="102"/>
      <c r="O28" s="97"/>
      <c r="P28" s="97"/>
      <c r="Q28" s="97"/>
      <c r="R28" s="97"/>
      <c r="S28" s="97"/>
      <c r="T28" s="98"/>
      <c r="U28" s="102"/>
      <c r="V28" s="97"/>
      <c r="W28" s="97"/>
      <c r="X28" s="97"/>
      <c r="Y28" s="97"/>
      <c r="Z28" s="97"/>
      <c r="AA28" s="98"/>
      <c r="AC28" s="95"/>
      <c r="AD28" s="95"/>
      <c r="AE28" s="95"/>
    </row>
    <row r="29" customFormat="false" ht="15.75" hidden="false" customHeight="false" outlineLevel="0" collapsed="false">
      <c r="A29" s="103" t="s">
        <v>54</v>
      </c>
      <c r="B29" s="104" t="n">
        <v>1</v>
      </c>
      <c r="C29" s="105" t="n">
        <f aca="false">$C$9/6</f>
        <v>203000</v>
      </c>
      <c r="D29" s="37" t="n">
        <f aca="false">PV($B$21,6,-C29)</f>
        <v>1183249.88534657</v>
      </c>
      <c r="E29" s="106"/>
      <c r="G29" s="105"/>
      <c r="H29" s="37" t="n">
        <f aca="false">$G$35</f>
        <v>5927606.66666667</v>
      </c>
      <c r="I29" s="37" t="n">
        <f aca="false">G29-H29</f>
        <v>-5927606.66666667</v>
      </c>
      <c r="J29" s="37" t="n">
        <f aca="false">$J$41</f>
        <v>0</v>
      </c>
      <c r="K29" s="37" t="n">
        <f aca="false">-J29</f>
        <v>-0</v>
      </c>
      <c r="L29" s="37" t="n">
        <f aca="false">L30</f>
        <v>0</v>
      </c>
      <c r="M29" s="106" t="n">
        <f aca="false">-L29</f>
        <v>-0</v>
      </c>
      <c r="N29" s="105"/>
      <c r="O29" s="37" t="n">
        <f aca="false">$N$35</f>
        <v>24358466</v>
      </c>
      <c r="P29" s="37" t="n">
        <f aca="false">N29-O29</f>
        <v>-24358466</v>
      </c>
      <c r="Q29" s="37" t="n">
        <f aca="false">Q30</f>
        <v>-4059744.33333333</v>
      </c>
      <c r="R29" s="37" t="n">
        <f aca="false">-Q29</f>
        <v>4059744.33333333</v>
      </c>
      <c r="S29" s="37" t="n">
        <f aca="false">S30</f>
        <v>0</v>
      </c>
      <c r="T29" s="106" t="n">
        <f aca="false">-S29</f>
        <v>-0</v>
      </c>
      <c r="U29" s="105"/>
      <c r="V29" s="37" t="n">
        <f aca="false">$U$35</f>
        <v>69748910.5</v>
      </c>
      <c r="W29" s="37" t="n">
        <f aca="false">U29-V29</f>
        <v>-69748910.5</v>
      </c>
      <c r="X29" s="37" t="n">
        <f aca="false">X30</f>
        <v>-19928260.25</v>
      </c>
      <c r="Y29" s="37" t="n">
        <f aca="false">-X29</f>
        <v>19928260.25</v>
      </c>
      <c r="Z29" s="37" t="n">
        <f aca="false">Z30</f>
        <v>0</v>
      </c>
      <c r="AA29" s="106" t="n">
        <f aca="false">-Z29</f>
        <v>-0</v>
      </c>
      <c r="AB29" s="37"/>
      <c r="AC29" s="107" t="n">
        <f aca="false">G29-C29</f>
        <v>-203000</v>
      </c>
      <c r="AD29" s="107" t="n">
        <f aca="false">N29-C29</f>
        <v>-203000</v>
      </c>
      <c r="AE29" s="107" t="n">
        <f aca="false">U29-C29</f>
        <v>-203000</v>
      </c>
      <c r="AF29" s="37"/>
      <c r="AG29" s="37"/>
    </row>
    <row r="30" customFormat="false" ht="15.75" hidden="false" customHeight="false" outlineLevel="0" collapsed="false">
      <c r="A30" s="103" t="s">
        <v>55</v>
      </c>
      <c r="B30" s="104" t="n">
        <f aca="false">B29+1</f>
        <v>2</v>
      </c>
      <c r="C30" s="105" t="n">
        <f aca="false">$C$9/6</f>
        <v>203000</v>
      </c>
      <c r="D30" s="37"/>
      <c r="E30" s="106"/>
      <c r="G30" s="105"/>
      <c r="H30" s="37" t="n">
        <f aca="false">$G$35</f>
        <v>5927606.66666667</v>
      </c>
      <c r="I30" s="37" t="n">
        <f aca="false">G30-H30</f>
        <v>-5927606.66666667</v>
      </c>
      <c r="J30" s="37" t="n">
        <f aca="false">$J$41</f>
        <v>0</v>
      </c>
      <c r="K30" s="37" t="n">
        <f aca="false">-J30</f>
        <v>-0</v>
      </c>
      <c r="L30" s="37" t="n">
        <f aca="false">L31</f>
        <v>0</v>
      </c>
      <c r="M30" s="106" t="n">
        <f aca="false">-L30</f>
        <v>-0</v>
      </c>
      <c r="N30" s="105"/>
      <c r="O30" s="37" t="n">
        <f aca="false">$N$35</f>
        <v>24358466</v>
      </c>
      <c r="P30" s="37" t="n">
        <f aca="false">N30-O30</f>
        <v>-24358466</v>
      </c>
      <c r="Q30" s="37" t="n">
        <f aca="false">Q31</f>
        <v>-4059744.33333333</v>
      </c>
      <c r="R30" s="37" t="n">
        <f aca="false">-Q30</f>
        <v>4059744.33333333</v>
      </c>
      <c r="S30" s="37" t="n">
        <f aca="false">S31</f>
        <v>0</v>
      </c>
      <c r="T30" s="106" t="n">
        <f aca="false">-S30</f>
        <v>-0</v>
      </c>
      <c r="U30" s="105"/>
      <c r="V30" s="37" t="n">
        <f aca="false">$U$35</f>
        <v>69748910.5</v>
      </c>
      <c r="W30" s="37" t="n">
        <f aca="false">U30-V30</f>
        <v>-69748910.5</v>
      </c>
      <c r="X30" s="37" t="n">
        <f aca="false">X31</f>
        <v>-19928260.25</v>
      </c>
      <c r="Y30" s="37" t="n">
        <f aca="false">-X30</f>
        <v>19928260.25</v>
      </c>
      <c r="Z30" s="37" t="n">
        <f aca="false">Z31</f>
        <v>0</v>
      </c>
      <c r="AA30" s="106" t="n">
        <f aca="false">-Z30</f>
        <v>-0</v>
      </c>
      <c r="AB30" s="37"/>
      <c r="AC30" s="107" t="n">
        <f aca="false">G30-C30</f>
        <v>-203000</v>
      </c>
      <c r="AD30" s="107" t="n">
        <f aca="false">N30-C30</f>
        <v>-203000</v>
      </c>
      <c r="AE30" s="107" t="n">
        <f aca="false">U30-C30</f>
        <v>-203000</v>
      </c>
      <c r="AF30" s="37"/>
      <c r="AG30" s="37"/>
    </row>
    <row r="31" customFormat="false" ht="15.75" hidden="false" customHeight="false" outlineLevel="0" collapsed="false">
      <c r="A31" s="103" t="s">
        <v>56</v>
      </c>
      <c r="B31" s="104" t="n">
        <f aca="false">B30+1</f>
        <v>3</v>
      </c>
      <c r="C31" s="105" t="n">
        <f aca="false">$C$9/6</f>
        <v>203000</v>
      </c>
      <c r="D31" s="37"/>
      <c r="E31" s="106"/>
      <c r="G31" s="105"/>
      <c r="H31" s="37" t="n">
        <f aca="false">$G$35</f>
        <v>5927606.66666667</v>
      </c>
      <c r="I31" s="37" t="n">
        <f aca="false">G31-H31</f>
        <v>-5927606.66666667</v>
      </c>
      <c r="J31" s="37" t="n">
        <f aca="false">$J$41</f>
        <v>0</v>
      </c>
      <c r="K31" s="37" t="n">
        <f aca="false">-J31</f>
        <v>-0</v>
      </c>
      <c r="L31" s="37" t="n">
        <f aca="false">L32</f>
        <v>0</v>
      </c>
      <c r="M31" s="106" t="n">
        <f aca="false">-L31</f>
        <v>-0</v>
      </c>
      <c r="N31" s="105"/>
      <c r="O31" s="37" t="n">
        <f aca="false">$N$35</f>
        <v>24358466</v>
      </c>
      <c r="P31" s="37" t="n">
        <f aca="false">N31-O31</f>
        <v>-24358466</v>
      </c>
      <c r="Q31" s="37" t="n">
        <f aca="false">Q32</f>
        <v>-4059744.33333333</v>
      </c>
      <c r="R31" s="37" t="n">
        <f aca="false">-Q31</f>
        <v>4059744.33333333</v>
      </c>
      <c r="S31" s="37" t="n">
        <f aca="false">S32</f>
        <v>0</v>
      </c>
      <c r="T31" s="106" t="n">
        <f aca="false">-S31</f>
        <v>-0</v>
      </c>
      <c r="U31" s="105"/>
      <c r="V31" s="37" t="n">
        <f aca="false">$U$35</f>
        <v>69748910.5</v>
      </c>
      <c r="W31" s="37" t="n">
        <f aca="false">U31-V31</f>
        <v>-69748910.5</v>
      </c>
      <c r="X31" s="37" t="n">
        <f aca="false">X32</f>
        <v>-19928260.25</v>
      </c>
      <c r="Y31" s="37" t="n">
        <f aca="false">-X31</f>
        <v>19928260.25</v>
      </c>
      <c r="Z31" s="37" t="n">
        <f aca="false">Z32</f>
        <v>0</v>
      </c>
      <c r="AA31" s="106" t="n">
        <f aca="false">-Z31</f>
        <v>-0</v>
      </c>
      <c r="AB31" s="37"/>
      <c r="AC31" s="107" t="n">
        <f aca="false">G31-C31</f>
        <v>-203000</v>
      </c>
      <c r="AD31" s="107" t="n">
        <f aca="false">N31-C31</f>
        <v>-203000</v>
      </c>
      <c r="AE31" s="107" t="n">
        <f aca="false">U31-C31</f>
        <v>-203000</v>
      </c>
      <c r="AF31" s="37"/>
      <c r="AG31" s="37"/>
    </row>
    <row r="32" customFormat="false" ht="15.75" hidden="false" customHeight="false" outlineLevel="0" collapsed="false">
      <c r="A32" s="103" t="s">
        <v>57</v>
      </c>
      <c r="B32" s="104" t="n">
        <f aca="false">B31+1</f>
        <v>4</v>
      </c>
      <c r="C32" s="105" t="n">
        <f aca="false">$C$9/6</f>
        <v>203000</v>
      </c>
      <c r="D32" s="37"/>
      <c r="E32" s="106"/>
      <c r="G32" s="105"/>
      <c r="H32" s="37" t="n">
        <f aca="false">$G$35</f>
        <v>5927606.66666667</v>
      </c>
      <c r="I32" s="37" t="n">
        <f aca="false">G32-H32</f>
        <v>-5927606.66666667</v>
      </c>
      <c r="J32" s="37" t="n">
        <f aca="false">$J$41</f>
        <v>0</v>
      </c>
      <c r="K32" s="37" t="n">
        <f aca="false">-J32</f>
        <v>-0</v>
      </c>
      <c r="L32" s="37" t="n">
        <f aca="false">L33</f>
        <v>0</v>
      </c>
      <c r="M32" s="106" t="n">
        <f aca="false">-L32</f>
        <v>-0</v>
      </c>
      <c r="N32" s="105"/>
      <c r="O32" s="37" t="n">
        <f aca="false">$N$35</f>
        <v>24358466</v>
      </c>
      <c r="P32" s="37" t="n">
        <f aca="false">N32-O32</f>
        <v>-24358466</v>
      </c>
      <c r="Q32" s="37" t="n">
        <f aca="false">Q33</f>
        <v>-4059744.33333333</v>
      </c>
      <c r="R32" s="37" t="n">
        <f aca="false">-Q32</f>
        <v>4059744.33333333</v>
      </c>
      <c r="S32" s="37" t="n">
        <f aca="false">S33</f>
        <v>0</v>
      </c>
      <c r="T32" s="106" t="n">
        <f aca="false">-S32</f>
        <v>-0</v>
      </c>
      <c r="U32" s="105"/>
      <c r="V32" s="37" t="n">
        <f aca="false">$U$35</f>
        <v>69748910.5</v>
      </c>
      <c r="W32" s="37" t="n">
        <f aca="false">U32-V32</f>
        <v>-69748910.5</v>
      </c>
      <c r="X32" s="37" t="n">
        <f aca="false">X33</f>
        <v>-19928260.25</v>
      </c>
      <c r="Y32" s="37" t="n">
        <f aca="false">-X32</f>
        <v>19928260.25</v>
      </c>
      <c r="Z32" s="37" t="n">
        <f aca="false">Z33</f>
        <v>0</v>
      </c>
      <c r="AA32" s="106" t="n">
        <f aca="false">-Z32</f>
        <v>-0</v>
      </c>
      <c r="AB32" s="37"/>
      <c r="AC32" s="107" t="n">
        <f aca="false">G32-C32</f>
        <v>-203000</v>
      </c>
      <c r="AD32" s="107" t="n">
        <f aca="false">N32-C32</f>
        <v>-203000</v>
      </c>
      <c r="AE32" s="107" t="n">
        <f aca="false">U32-C32</f>
        <v>-203000</v>
      </c>
      <c r="AF32" s="37"/>
      <c r="AG32" s="37"/>
    </row>
    <row r="33" customFormat="false" ht="15.75" hidden="false" customHeight="false" outlineLevel="0" collapsed="false">
      <c r="A33" s="103" t="s">
        <v>58</v>
      </c>
      <c r="B33" s="104" t="n">
        <f aca="false">B32+1</f>
        <v>5</v>
      </c>
      <c r="C33" s="105" t="n">
        <f aca="false">$C$9/6</f>
        <v>203000</v>
      </c>
      <c r="D33" s="37"/>
      <c r="E33" s="106"/>
      <c r="G33" s="105"/>
      <c r="H33" s="37" t="n">
        <f aca="false">$G$35</f>
        <v>5927606.66666667</v>
      </c>
      <c r="I33" s="37" t="n">
        <f aca="false">G33-H33</f>
        <v>-5927606.66666667</v>
      </c>
      <c r="J33" s="37" t="n">
        <f aca="false">$J$41</f>
        <v>0</v>
      </c>
      <c r="K33" s="37" t="n">
        <f aca="false">-J33</f>
        <v>-0</v>
      </c>
      <c r="L33" s="37" t="n">
        <f aca="false">L34</f>
        <v>0</v>
      </c>
      <c r="M33" s="106" t="n">
        <f aca="false">-L33</f>
        <v>-0</v>
      </c>
      <c r="N33" s="105"/>
      <c r="O33" s="37" t="n">
        <f aca="false">$N$35</f>
        <v>24358466</v>
      </c>
      <c r="P33" s="37" t="n">
        <f aca="false">N33-O33</f>
        <v>-24358466</v>
      </c>
      <c r="Q33" s="37" t="n">
        <f aca="false">Q34</f>
        <v>-4059744.33333333</v>
      </c>
      <c r="R33" s="37" t="n">
        <f aca="false">-Q33</f>
        <v>4059744.33333333</v>
      </c>
      <c r="S33" s="37" t="n">
        <f aca="false">S34</f>
        <v>0</v>
      </c>
      <c r="T33" s="106" t="n">
        <f aca="false">-S33</f>
        <v>-0</v>
      </c>
      <c r="U33" s="105"/>
      <c r="V33" s="37" t="n">
        <f aca="false">$U$35</f>
        <v>69748910.5</v>
      </c>
      <c r="W33" s="37" t="n">
        <f aca="false">U33-V33</f>
        <v>-69748910.5</v>
      </c>
      <c r="X33" s="37" t="n">
        <f aca="false">X34</f>
        <v>-19928260.25</v>
      </c>
      <c r="Y33" s="37" t="n">
        <f aca="false">-X33</f>
        <v>19928260.25</v>
      </c>
      <c r="Z33" s="37" t="n">
        <f aca="false">Z34</f>
        <v>0</v>
      </c>
      <c r="AA33" s="106" t="n">
        <f aca="false">-Z33</f>
        <v>-0</v>
      </c>
      <c r="AB33" s="37"/>
      <c r="AC33" s="107" t="n">
        <f aca="false">G33-C33</f>
        <v>-203000</v>
      </c>
      <c r="AD33" s="107" t="n">
        <f aca="false">N33-C33</f>
        <v>-203000</v>
      </c>
      <c r="AE33" s="107" t="n">
        <f aca="false">U33-C33</f>
        <v>-203000</v>
      </c>
      <c r="AF33" s="37"/>
      <c r="AG33" s="37"/>
    </row>
    <row r="34" customFormat="false" ht="15.75" hidden="false" customHeight="false" outlineLevel="0" collapsed="false">
      <c r="A34" s="103" t="s">
        <v>59</v>
      </c>
      <c r="B34" s="104" t="n">
        <f aca="false">B33+1</f>
        <v>6</v>
      </c>
      <c r="C34" s="105" t="n">
        <f aca="false">$C$9/6</f>
        <v>203000</v>
      </c>
      <c r="D34" s="37"/>
      <c r="E34" s="106"/>
      <c r="G34" s="105"/>
      <c r="H34" s="37" t="n">
        <f aca="false">$G$35</f>
        <v>5927606.66666667</v>
      </c>
      <c r="I34" s="37" t="n">
        <f aca="false">G34-H34</f>
        <v>-5927606.66666667</v>
      </c>
      <c r="J34" s="37" t="n">
        <f aca="false">$J$41</f>
        <v>0</v>
      </c>
      <c r="K34" s="37" t="n">
        <f aca="false">-J34</f>
        <v>-0</v>
      </c>
      <c r="L34" s="37" t="n">
        <f aca="false">L35</f>
        <v>0</v>
      </c>
      <c r="M34" s="106" t="n">
        <f aca="false">-L34</f>
        <v>-0</v>
      </c>
      <c r="N34" s="105"/>
      <c r="O34" s="37" t="n">
        <f aca="false">$N$35</f>
        <v>24358466</v>
      </c>
      <c r="P34" s="37" t="n">
        <f aca="false">N34-O34</f>
        <v>-24358466</v>
      </c>
      <c r="Q34" s="37" t="n">
        <f aca="false">Q35</f>
        <v>-4059744.33333333</v>
      </c>
      <c r="R34" s="37" t="n">
        <f aca="false">-Q34</f>
        <v>4059744.33333333</v>
      </c>
      <c r="S34" s="37" t="n">
        <f aca="false">S35</f>
        <v>0</v>
      </c>
      <c r="T34" s="106" t="n">
        <f aca="false">-S34</f>
        <v>-0</v>
      </c>
      <c r="U34" s="105"/>
      <c r="V34" s="37" t="n">
        <f aca="false">$U$35</f>
        <v>69748910.5</v>
      </c>
      <c r="W34" s="37" t="n">
        <f aca="false">U34-V34</f>
        <v>-69748910.5</v>
      </c>
      <c r="X34" s="37" t="n">
        <f aca="false">X35</f>
        <v>-19928260.25</v>
      </c>
      <c r="Y34" s="37" t="n">
        <f aca="false">-X34</f>
        <v>19928260.25</v>
      </c>
      <c r="Z34" s="37" t="n">
        <f aca="false">Z35</f>
        <v>0</v>
      </c>
      <c r="AA34" s="106" t="n">
        <f aca="false">-Z34</f>
        <v>-0</v>
      </c>
      <c r="AB34" s="37"/>
      <c r="AC34" s="107" t="n">
        <f aca="false">G34-C34</f>
        <v>-203000</v>
      </c>
      <c r="AD34" s="107" t="n">
        <f aca="false">N34-C34</f>
        <v>-203000</v>
      </c>
      <c r="AE34" s="107" t="n">
        <f aca="false">U34-C34</f>
        <v>-203000</v>
      </c>
      <c r="AF34" s="37"/>
      <c r="AG34" s="37"/>
    </row>
    <row r="35" customFormat="false" ht="15.75" hidden="false" customHeight="false" outlineLevel="0" collapsed="false">
      <c r="A35" s="103" t="s">
        <v>60</v>
      </c>
      <c r="B35" s="104" t="n">
        <f aca="false">B34+1</f>
        <v>7</v>
      </c>
      <c r="C35" s="105"/>
      <c r="D35" s="37"/>
      <c r="E35" s="106"/>
      <c r="G35" s="105" t="n">
        <f aca="false">$C$5/6</f>
        <v>5927606.66666667</v>
      </c>
      <c r="H35" s="37" t="n">
        <f aca="false">$G$35</f>
        <v>5927606.66666667</v>
      </c>
      <c r="I35" s="37"/>
      <c r="J35" s="37" t="n">
        <f aca="false">$J$41</f>
        <v>0</v>
      </c>
      <c r="K35" s="37" t="n">
        <f aca="false">-J35</f>
        <v>-0</v>
      </c>
      <c r="L35" s="37" t="n">
        <f aca="false">L36</f>
        <v>0</v>
      </c>
      <c r="M35" s="106" t="n">
        <f aca="false">-L35</f>
        <v>-0</v>
      </c>
      <c r="N35" s="105" t="n">
        <f aca="false">$C$6/6</f>
        <v>24358466</v>
      </c>
      <c r="O35" s="37" t="n">
        <f aca="false">$N$35</f>
        <v>24358466</v>
      </c>
      <c r="P35" s="37"/>
      <c r="Q35" s="37" t="n">
        <f aca="false">Q36</f>
        <v>-4059744.33333333</v>
      </c>
      <c r="R35" s="37" t="n">
        <f aca="false">-Q35</f>
        <v>4059744.33333333</v>
      </c>
      <c r="S35" s="37" t="n">
        <f aca="false">S36</f>
        <v>0</v>
      </c>
      <c r="T35" s="106" t="n">
        <f aca="false">-S35</f>
        <v>-0</v>
      </c>
      <c r="U35" s="105" t="n">
        <f aca="false">$C$7/6</f>
        <v>69748910.5</v>
      </c>
      <c r="V35" s="37" t="n">
        <f aca="false">$U$35</f>
        <v>69748910.5</v>
      </c>
      <c r="W35" s="37"/>
      <c r="X35" s="37" t="n">
        <f aca="false">X36</f>
        <v>-19928260.25</v>
      </c>
      <c r="Y35" s="37" t="n">
        <f aca="false">-X35</f>
        <v>19928260.25</v>
      </c>
      <c r="Z35" s="37" t="n">
        <f aca="false">Z36</f>
        <v>0</v>
      </c>
      <c r="AA35" s="106" t="n">
        <f aca="false">-Z35</f>
        <v>-0</v>
      </c>
      <c r="AB35" s="37"/>
      <c r="AC35" s="107" t="n">
        <f aca="false">G35-C35</f>
        <v>5927606.66666667</v>
      </c>
      <c r="AD35" s="107" t="n">
        <f aca="false">N35-C35</f>
        <v>24358466</v>
      </c>
      <c r="AE35" s="107" t="n">
        <f aca="false">U35-C35</f>
        <v>69748910.5</v>
      </c>
      <c r="AF35" s="37"/>
      <c r="AG35" s="37"/>
    </row>
    <row r="36" customFormat="false" ht="15.75" hidden="false" customHeight="false" outlineLevel="0" collapsed="false">
      <c r="A36" s="103" t="s">
        <v>61</v>
      </c>
      <c r="B36" s="104" t="n">
        <f aca="false">B35+1</f>
        <v>8</v>
      </c>
      <c r="C36" s="105"/>
      <c r="D36" s="37"/>
      <c r="E36" s="106"/>
      <c r="G36" s="105" t="n">
        <f aca="false">$C$5/6</f>
        <v>5927606.66666667</v>
      </c>
      <c r="H36" s="37" t="n">
        <f aca="false">$G$35</f>
        <v>5927606.66666667</v>
      </c>
      <c r="I36" s="37"/>
      <c r="J36" s="37" t="n">
        <f aca="false">$J$41</f>
        <v>0</v>
      </c>
      <c r="K36" s="37" t="n">
        <f aca="false">-J36</f>
        <v>-0</v>
      </c>
      <c r="L36" s="37" t="n">
        <f aca="false">L37</f>
        <v>0</v>
      </c>
      <c r="M36" s="106" t="n">
        <f aca="false">-L36</f>
        <v>-0</v>
      </c>
      <c r="N36" s="105" t="n">
        <f aca="false">$C$6/6</f>
        <v>24358466</v>
      </c>
      <c r="O36" s="37" t="n">
        <f aca="false">$N$35</f>
        <v>24358466</v>
      </c>
      <c r="P36" s="37"/>
      <c r="Q36" s="37" t="n">
        <f aca="false">Q37</f>
        <v>-4059744.33333333</v>
      </c>
      <c r="R36" s="37" t="n">
        <f aca="false">-Q36</f>
        <v>4059744.33333333</v>
      </c>
      <c r="S36" s="37" t="n">
        <f aca="false">S37</f>
        <v>0</v>
      </c>
      <c r="T36" s="106" t="n">
        <f aca="false">-S36</f>
        <v>-0</v>
      </c>
      <c r="U36" s="105" t="n">
        <f aca="false">$C$7/6</f>
        <v>69748910.5</v>
      </c>
      <c r="V36" s="37" t="n">
        <f aca="false">$U$35</f>
        <v>69748910.5</v>
      </c>
      <c r="W36" s="37"/>
      <c r="X36" s="37" t="n">
        <f aca="false">X37</f>
        <v>-19928260.25</v>
      </c>
      <c r="Y36" s="37" t="n">
        <f aca="false">-X36</f>
        <v>19928260.25</v>
      </c>
      <c r="Z36" s="37" t="n">
        <f aca="false">Z37</f>
        <v>0</v>
      </c>
      <c r="AA36" s="106" t="n">
        <f aca="false">-Z36</f>
        <v>-0</v>
      </c>
      <c r="AB36" s="37"/>
      <c r="AC36" s="107" t="n">
        <f aca="false">G36-C36</f>
        <v>5927606.66666667</v>
      </c>
      <c r="AD36" s="107" t="n">
        <f aca="false">N36-C36</f>
        <v>24358466</v>
      </c>
      <c r="AE36" s="107" t="n">
        <f aca="false">U36-C36</f>
        <v>69748910.5</v>
      </c>
      <c r="AF36" s="37"/>
      <c r="AG36" s="37"/>
    </row>
    <row r="37" customFormat="false" ht="15.75" hidden="false" customHeight="false" outlineLevel="0" collapsed="false">
      <c r="A37" s="103" t="s">
        <v>62</v>
      </c>
      <c r="B37" s="104" t="n">
        <f aca="false">B36+1</f>
        <v>9</v>
      </c>
      <c r="C37" s="105"/>
      <c r="D37" s="37"/>
      <c r="E37" s="106"/>
      <c r="G37" s="105" t="n">
        <f aca="false">$C$5/6</f>
        <v>5927606.66666667</v>
      </c>
      <c r="H37" s="37" t="n">
        <f aca="false">$G$35</f>
        <v>5927606.66666667</v>
      </c>
      <c r="I37" s="37"/>
      <c r="J37" s="37" t="n">
        <f aca="false">$J$41</f>
        <v>0</v>
      </c>
      <c r="K37" s="37" t="n">
        <f aca="false">-J37</f>
        <v>-0</v>
      </c>
      <c r="L37" s="37" t="n">
        <f aca="false">L38</f>
        <v>0</v>
      </c>
      <c r="M37" s="106" t="n">
        <f aca="false">-L37</f>
        <v>-0</v>
      </c>
      <c r="N37" s="105" t="n">
        <f aca="false">$C$6/6</f>
        <v>24358466</v>
      </c>
      <c r="O37" s="37" t="n">
        <f aca="false">$N$35</f>
        <v>24358466</v>
      </c>
      <c r="P37" s="37"/>
      <c r="Q37" s="37" t="n">
        <f aca="false">Q38</f>
        <v>-4059744.33333333</v>
      </c>
      <c r="R37" s="37" t="n">
        <f aca="false">-Q37</f>
        <v>4059744.33333333</v>
      </c>
      <c r="S37" s="37" t="n">
        <f aca="false">S38</f>
        <v>0</v>
      </c>
      <c r="T37" s="106" t="n">
        <f aca="false">-S37</f>
        <v>-0</v>
      </c>
      <c r="U37" s="105" t="n">
        <f aca="false">$C$7/6</f>
        <v>69748910.5</v>
      </c>
      <c r="V37" s="37" t="n">
        <f aca="false">$U$35</f>
        <v>69748910.5</v>
      </c>
      <c r="W37" s="37"/>
      <c r="X37" s="37" t="n">
        <f aca="false">X38</f>
        <v>-19928260.25</v>
      </c>
      <c r="Y37" s="37" t="n">
        <f aca="false">-X37</f>
        <v>19928260.25</v>
      </c>
      <c r="Z37" s="37" t="n">
        <f aca="false">Z38</f>
        <v>0</v>
      </c>
      <c r="AA37" s="106" t="n">
        <f aca="false">-Z37</f>
        <v>-0</v>
      </c>
      <c r="AB37" s="37"/>
      <c r="AC37" s="107" t="n">
        <f aca="false">G37-C37</f>
        <v>5927606.66666667</v>
      </c>
      <c r="AD37" s="107" t="n">
        <f aca="false">N37-C37</f>
        <v>24358466</v>
      </c>
      <c r="AE37" s="107" t="n">
        <f aca="false">U37-C37</f>
        <v>69748910.5</v>
      </c>
      <c r="AF37" s="37"/>
      <c r="AG37" s="37"/>
    </row>
    <row r="38" customFormat="false" ht="15.75" hidden="false" customHeight="false" outlineLevel="0" collapsed="false">
      <c r="A38" s="103" t="s">
        <v>63</v>
      </c>
      <c r="B38" s="104" t="n">
        <f aca="false">B37+1</f>
        <v>10</v>
      </c>
      <c r="C38" s="105"/>
      <c r="D38" s="37"/>
      <c r="E38" s="106"/>
      <c r="G38" s="105" t="n">
        <f aca="false">$C$5/6</f>
        <v>5927606.66666667</v>
      </c>
      <c r="H38" s="37" t="n">
        <f aca="false">$G$35</f>
        <v>5927606.66666667</v>
      </c>
      <c r="I38" s="37"/>
      <c r="J38" s="37" t="n">
        <f aca="false">$J$41</f>
        <v>0</v>
      </c>
      <c r="K38" s="37" t="n">
        <f aca="false">-J38</f>
        <v>-0</v>
      </c>
      <c r="L38" s="37" t="n">
        <f aca="false">L39</f>
        <v>0</v>
      </c>
      <c r="M38" s="106" t="n">
        <f aca="false">-L38</f>
        <v>-0</v>
      </c>
      <c r="N38" s="105" t="n">
        <f aca="false">$C$6/6</f>
        <v>24358466</v>
      </c>
      <c r="O38" s="37" t="n">
        <f aca="false">$N$35</f>
        <v>24358466</v>
      </c>
      <c r="P38" s="37"/>
      <c r="Q38" s="37" t="n">
        <f aca="false">Q39</f>
        <v>-4059744.33333333</v>
      </c>
      <c r="R38" s="37" t="n">
        <f aca="false">-Q38</f>
        <v>4059744.33333333</v>
      </c>
      <c r="S38" s="37" t="n">
        <f aca="false">S39</f>
        <v>0</v>
      </c>
      <c r="T38" s="106" t="n">
        <f aca="false">-S38</f>
        <v>-0</v>
      </c>
      <c r="U38" s="105" t="n">
        <f aca="false">$C$7/6</f>
        <v>69748910.5</v>
      </c>
      <c r="V38" s="37" t="n">
        <f aca="false">$U$35</f>
        <v>69748910.5</v>
      </c>
      <c r="W38" s="37"/>
      <c r="X38" s="37" t="n">
        <f aca="false">X39</f>
        <v>-19928260.25</v>
      </c>
      <c r="Y38" s="37" t="n">
        <f aca="false">-X38</f>
        <v>19928260.25</v>
      </c>
      <c r="Z38" s="37" t="n">
        <f aca="false">Z39</f>
        <v>0</v>
      </c>
      <c r="AA38" s="106" t="n">
        <f aca="false">-Z38</f>
        <v>-0</v>
      </c>
      <c r="AB38" s="37"/>
      <c r="AC38" s="107" t="n">
        <f aca="false">G38-C38</f>
        <v>5927606.66666667</v>
      </c>
      <c r="AD38" s="107" t="n">
        <f aca="false">N38-C38</f>
        <v>24358466</v>
      </c>
      <c r="AE38" s="107" t="n">
        <f aca="false">U38-C38</f>
        <v>69748910.5</v>
      </c>
      <c r="AF38" s="37"/>
      <c r="AG38" s="37"/>
    </row>
    <row r="39" customFormat="false" ht="15.75" hidden="false" customHeight="false" outlineLevel="0" collapsed="false">
      <c r="A39" s="103" t="s">
        <v>64</v>
      </c>
      <c r="B39" s="104" t="n">
        <f aca="false">B38+1</f>
        <v>11</v>
      </c>
      <c r="C39" s="105"/>
      <c r="D39" s="37"/>
      <c r="E39" s="106"/>
      <c r="G39" s="105" t="n">
        <f aca="false">$C$5/6</f>
        <v>5927606.66666667</v>
      </c>
      <c r="H39" s="37" t="n">
        <f aca="false">$G$35</f>
        <v>5927606.66666667</v>
      </c>
      <c r="I39" s="37"/>
      <c r="J39" s="37" t="n">
        <f aca="false">$J$41</f>
        <v>0</v>
      </c>
      <c r="K39" s="37" t="n">
        <f aca="false">-J39</f>
        <v>-0</v>
      </c>
      <c r="L39" s="37" t="n">
        <f aca="false">L40</f>
        <v>0</v>
      </c>
      <c r="M39" s="106" t="n">
        <f aca="false">-L39</f>
        <v>-0</v>
      </c>
      <c r="N39" s="105" t="n">
        <f aca="false">$C$6/6</f>
        <v>24358466</v>
      </c>
      <c r="O39" s="37" t="n">
        <f aca="false">$N$35</f>
        <v>24358466</v>
      </c>
      <c r="P39" s="37"/>
      <c r="Q39" s="37" t="n">
        <f aca="false">Q40</f>
        <v>-4059744.33333333</v>
      </c>
      <c r="R39" s="37" t="n">
        <f aca="false">-Q39</f>
        <v>4059744.33333333</v>
      </c>
      <c r="S39" s="37" t="n">
        <f aca="false">S40</f>
        <v>0</v>
      </c>
      <c r="T39" s="106" t="n">
        <f aca="false">-S39</f>
        <v>-0</v>
      </c>
      <c r="U39" s="105" t="n">
        <f aca="false">$C$7/6</f>
        <v>69748910.5</v>
      </c>
      <c r="V39" s="37" t="n">
        <f aca="false">$U$35</f>
        <v>69748910.5</v>
      </c>
      <c r="W39" s="37"/>
      <c r="X39" s="37" t="n">
        <f aca="false">X40</f>
        <v>-19928260.25</v>
      </c>
      <c r="Y39" s="37" t="n">
        <f aca="false">-X39</f>
        <v>19928260.25</v>
      </c>
      <c r="Z39" s="37" t="n">
        <f aca="false">Z40</f>
        <v>0</v>
      </c>
      <c r="AA39" s="106" t="n">
        <f aca="false">-Z39</f>
        <v>-0</v>
      </c>
      <c r="AB39" s="37"/>
      <c r="AC39" s="107" t="n">
        <f aca="false">G39-C39</f>
        <v>5927606.66666667</v>
      </c>
      <c r="AD39" s="107" t="n">
        <f aca="false">N39-C39</f>
        <v>24358466</v>
      </c>
      <c r="AE39" s="107" t="n">
        <f aca="false">U39-C39</f>
        <v>69748910.5</v>
      </c>
      <c r="AF39" s="37"/>
      <c r="AG39" s="37"/>
    </row>
    <row r="40" customFormat="false" ht="15.75" hidden="false" customHeight="false" outlineLevel="0" collapsed="false">
      <c r="A40" s="103" t="s">
        <v>65</v>
      </c>
      <c r="B40" s="104" t="n">
        <f aca="false">B39+1</f>
        <v>12</v>
      </c>
      <c r="C40" s="105"/>
      <c r="D40" s="37"/>
      <c r="E40" s="106"/>
      <c r="G40" s="105" t="n">
        <f aca="false">$C$5/6</f>
        <v>5927606.66666667</v>
      </c>
      <c r="H40" s="37" t="n">
        <f aca="false">$G$35</f>
        <v>5927606.66666667</v>
      </c>
      <c r="I40" s="37"/>
      <c r="J40" s="37" t="n">
        <f aca="false">$J$41</f>
        <v>0</v>
      </c>
      <c r="K40" s="37" t="n">
        <f aca="false">-J40</f>
        <v>-0</v>
      </c>
      <c r="L40" s="37" t="n">
        <f aca="false">L41</f>
        <v>0</v>
      </c>
      <c r="M40" s="106" t="n">
        <f aca="false">-L40</f>
        <v>-0</v>
      </c>
      <c r="N40" s="105" t="n">
        <f aca="false">$C$6/6</f>
        <v>24358466</v>
      </c>
      <c r="O40" s="37" t="n">
        <f aca="false">$N$35</f>
        <v>24358466</v>
      </c>
      <c r="P40" s="37"/>
      <c r="Q40" s="37" t="n">
        <f aca="false">Q41</f>
        <v>-4059744.33333333</v>
      </c>
      <c r="R40" s="37" t="n">
        <f aca="false">-Q40</f>
        <v>4059744.33333333</v>
      </c>
      <c r="S40" s="37" t="n">
        <f aca="false">S41</f>
        <v>0</v>
      </c>
      <c r="T40" s="106" t="n">
        <f aca="false">-S40</f>
        <v>-0</v>
      </c>
      <c r="U40" s="105" t="n">
        <f aca="false">$C$7/6</f>
        <v>69748910.5</v>
      </c>
      <c r="V40" s="37" t="n">
        <f aca="false">$U$35</f>
        <v>69748910.5</v>
      </c>
      <c r="W40" s="37"/>
      <c r="X40" s="37" t="n">
        <f aca="false">X41</f>
        <v>-19928260.25</v>
      </c>
      <c r="Y40" s="37" t="n">
        <f aca="false">-X40</f>
        <v>19928260.25</v>
      </c>
      <c r="Z40" s="37" t="n">
        <f aca="false">Z41</f>
        <v>0</v>
      </c>
      <c r="AA40" s="106" t="n">
        <f aca="false">-Z40</f>
        <v>-0</v>
      </c>
      <c r="AB40" s="37"/>
      <c r="AC40" s="107" t="n">
        <f aca="false">G40-C40</f>
        <v>5927606.66666667</v>
      </c>
      <c r="AD40" s="107" t="n">
        <f aca="false">N40-C40</f>
        <v>24358466</v>
      </c>
      <c r="AE40" s="107" t="n">
        <f aca="false">U40-C40</f>
        <v>69748910.5</v>
      </c>
      <c r="AF40" s="37"/>
      <c r="AG40" s="37"/>
    </row>
    <row r="41" customFormat="false" ht="15.75" hidden="false" customHeight="false" outlineLevel="0" collapsed="false">
      <c r="A41" s="103" t="s">
        <v>66</v>
      </c>
      <c r="B41" s="104" t="n">
        <f aca="false">B40+1</f>
        <v>13</v>
      </c>
      <c r="C41" s="105" t="n">
        <f aca="false">D9</f>
        <v>203000</v>
      </c>
      <c r="D41" s="86"/>
      <c r="E41" s="106" t="n">
        <f aca="false">PV($B$20,1,-C41)</f>
        <v>184545.454545455</v>
      </c>
      <c r="G41" s="105" t="n">
        <f aca="false">$D$5/12</f>
        <v>5927606.66666667</v>
      </c>
      <c r="H41" s="37" t="n">
        <f aca="false">$G$35</f>
        <v>5927606.66666667</v>
      </c>
      <c r="I41" s="37"/>
      <c r="J41" s="37" t="n">
        <f aca="false">G41-H41</f>
        <v>0</v>
      </c>
      <c r="K41" s="37"/>
      <c r="L41" s="37" t="n">
        <f aca="false">L42</f>
        <v>0</v>
      </c>
      <c r="M41" s="106" t="n">
        <f aca="false">-L41</f>
        <v>-0</v>
      </c>
      <c r="N41" s="105" t="n">
        <f aca="false">$D$6/12</f>
        <v>20298721.6666667</v>
      </c>
      <c r="O41" s="37" t="n">
        <f aca="false">$N$35</f>
        <v>24358466</v>
      </c>
      <c r="P41" s="37"/>
      <c r="Q41" s="37" t="n">
        <f aca="false">N41-O41</f>
        <v>-4059744.33333333</v>
      </c>
      <c r="R41" s="37"/>
      <c r="S41" s="37" t="n">
        <f aca="false">S42</f>
        <v>0</v>
      </c>
      <c r="T41" s="106" t="n">
        <f aca="false">-S41</f>
        <v>-0</v>
      </c>
      <c r="U41" s="105" t="n">
        <f aca="false">$D$7/12</f>
        <v>49820650.25</v>
      </c>
      <c r="V41" s="37" t="n">
        <f aca="false">$U$35</f>
        <v>69748910.5</v>
      </c>
      <c r="W41" s="37"/>
      <c r="X41" s="37" t="n">
        <f aca="false">U41-V41</f>
        <v>-19928260.25</v>
      </c>
      <c r="Y41" s="37"/>
      <c r="Z41" s="37" t="n">
        <f aca="false">Z42</f>
        <v>0</v>
      </c>
      <c r="AA41" s="106" t="n">
        <f aca="false">-Z41</f>
        <v>-0</v>
      </c>
      <c r="AB41" s="37"/>
      <c r="AC41" s="107" t="n">
        <f aca="false">G41-C41</f>
        <v>5724606.66666667</v>
      </c>
      <c r="AD41" s="107" t="n">
        <f aca="false">N41-C41</f>
        <v>20095721.6666667</v>
      </c>
      <c r="AE41" s="107" t="n">
        <f aca="false">U41-C41</f>
        <v>49617650.25</v>
      </c>
      <c r="AF41" s="37"/>
      <c r="AG41" s="37"/>
    </row>
    <row r="42" customFormat="false" ht="15.75" hidden="false" customHeight="false" outlineLevel="0" collapsed="false">
      <c r="A42" s="103" t="s">
        <v>67</v>
      </c>
      <c r="B42" s="104" t="n">
        <f aca="false">B41+1</f>
        <v>14</v>
      </c>
      <c r="C42" s="105"/>
      <c r="D42" s="37"/>
      <c r="E42" s="106"/>
      <c r="G42" s="105" t="n">
        <f aca="false">$D$5/12</f>
        <v>5927606.66666667</v>
      </c>
      <c r="H42" s="37" t="n">
        <f aca="false">$G$35</f>
        <v>5927606.66666667</v>
      </c>
      <c r="I42" s="37"/>
      <c r="J42" s="37" t="n">
        <f aca="false">G42-H42</f>
        <v>0</v>
      </c>
      <c r="K42" s="37"/>
      <c r="L42" s="37" t="n">
        <f aca="false">L43</f>
        <v>0</v>
      </c>
      <c r="M42" s="106" t="n">
        <f aca="false">-L42</f>
        <v>-0</v>
      </c>
      <c r="N42" s="105" t="n">
        <f aca="false">$D$6/12</f>
        <v>20298721.6666667</v>
      </c>
      <c r="O42" s="37" t="n">
        <f aca="false">$N$35</f>
        <v>24358466</v>
      </c>
      <c r="P42" s="37"/>
      <c r="Q42" s="37" t="n">
        <f aca="false">N42-O42</f>
        <v>-4059744.33333333</v>
      </c>
      <c r="R42" s="37"/>
      <c r="S42" s="37" t="n">
        <f aca="false">S43</f>
        <v>0</v>
      </c>
      <c r="T42" s="106" t="n">
        <f aca="false">-S42</f>
        <v>-0</v>
      </c>
      <c r="U42" s="105" t="n">
        <f aca="false">$D$7/12</f>
        <v>49820650.25</v>
      </c>
      <c r="V42" s="37" t="n">
        <f aca="false">$U$35</f>
        <v>69748910.5</v>
      </c>
      <c r="W42" s="37"/>
      <c r="X42" s="37" t="n">
        <f aca="false">U42-V42</f>
        <v>-19928260.25</v>
      </c>
      <c r="Y42" s="37"/>
      <c r="Z42" s="37" t="n">
        <f aca="false">Z43</f>
        <v>0</v>
      </c>
      <c r="AA42" s="106" t="n">
        <f aca="false">-Z42</f>
        <v>-0</v>
      </c>
      <c r="AB42" s="37"/>
      <c r="AC42" s="107" t="n">
        <f aca="false">G42-C42</f>
        <v>5927606.66666667</v>
      </c>
      <c r="AD42" s="107" t="n">
        <f aca="false">N42-C42</f>
        <v>20298721.6666667</v>
      </c>
      <c r="AE42" s="107" t="n">
        <f aca="false">U42-C42</f>
        <v>49820650.25</v>
      </c>
      <c r="AF42" s="37"/>
      <c r="AG42" s="37"/>
    </row>
    <row r="43" customFormat="false" ht="15.75" hidden="false" customHeight="false" outlineLevel="0" collapsed="false">
      <c r="A43" s="103" t="s">
        <v>68</v>
      </c>
      <c r="B43" s="104" t="n">
        <f aca="false">B42+1</f>
        <v>15</v>
      </c>
      <c r="C43" s="105"/>
      <c r="D43" s="37"/>
      <c r="E43" s="106"/>
      <c r="G43" s="105" t="n">
        <f aca="false">$D$5/12</f>
        <v>5927606.66666667</v>
      </c>
      <c r="H43" s="37" t="n">
        <f aca="false">$G$35</f>
        <v>5927606.66666667</v>
      </c>
      <c r="I43" s="37"/>
      <c r="J43" s="37" t="n">
        <f aca="false">G43-H43</f>
        <v>0</v>
      </c>
      <c r="K43" s="37"/>
      <c r="L43" s="37" t="n">
        <f aca="false">L44</f>
        <v>0</v>
      </c>
      <c r="M43" s="106" t="n">
        <f aca="false">-L43</f>
        <v>-0</v>
      </c>
      <c r="N43" s="105" t="n">
        <f aca="false">$D$6/12</f>
        <v>20298721.6666667</v>
      </c>
      <c r="O43" s="37" t="n">
        <f aca="false">$N$35</f>
        <v>24358466</v>
      </c>
      <c r="P43" s="37"/>
      <c r="Q43" s="37" t="n">
        <f aca="false">N43-O43</f>
        <v>-4059744.33333333</v>
      </c>
      <c r="R43" s="37"/>
      <c r="S43" s="37" t="n">
        <f aca="false">S44</f>
        <v>0</v>
      </c>
      <c r="T43" s="106" t="n">
        <f aca="false">-S43</f>
        <v>-0</v>
      </c>
      <c r="U43" s="105" t="n">
        <f aca="false">$D$7/12</f>
        <v>49820650.25</v>
      </c>
      <c r="V43" s="37" t="n">
        <f aca="false">$U$35</f>
        <v>69748910.5</v>
      </c>
      <c r="W43" s="37"/>
      <c r="X43" s="37" t="n">
        <f aca="false">U43-V43</f>
        <v>-19928260.25</v>
      </c>
      <c r="Y43" s="37"/>
      <c r="Z43" s="37" t="n">
        <f aca="false">Z44</f>
        <v>0</v>
      </c>
      <c r="AA43" s="106" t="n">
        <f aca="false">-Z43</f>
        <v>-0</v>
      </c>
      <c r="AB43" s="37"/>
      <c r="AC43" s="107" t="n">
        <f aca="false">G43-C43</f>
        <v>5927606.66666667</v>
      </c>
      <c r="AD43" s="107" t="n">
        <f aca="false">N43-C43</f>
        <v>20298721.6666667</v>
      </c>
      <c r="AE43" s="107" t="n">
        <f aca="false">U43-C43</f>
        <v>49820650.25</v>
      </c>
      <c r="AF43" s="37"/>
      <c r="AG43" s="37"/>
    </row>
    <row r="44" customFormat="false" ht="15.75" hidden="false" customHeight="false" outlineLevel="0" collapsed="false">
      <c r="A44" s="103" t="s">
        <v>69</v>
      </c>
      <c r="B44" s="104" t="n">
        <f aca="false">B43+1</f>
        <v>16</v>
      </c>
      <c r="C44" s="105"/>
      <c r="D44" s="37"/>
      <c r="E44" s="106"/>
      <c r="G44" s="105" t="n">
        <f aca="false">$D$5/12</f>
        <v>5927606.66666667</v>
      </c>
      <c r="H44" s="37" t="n">
        <f aca="false">$G$35</f>
        <v>5927606.66666667</v>
      </c>
      <c r="I44" s="37"/>
      <c r="J44" s="37" t="n">
        <f aca="false">G44-H44</f>
        <v>0</v>
      </c>
      <c r="K44" s="37"/>
      <c r="L44" s="37" t="n">
        <f aca="false">L45</f>
        <v>0</v>
      </c>
      <c r="M44" s="106" t="n">
        <f aca="false">-L44</f>
        <v>-0</v>
      </c>
      <c r="N44" s="105" t="n">
        <f aca="false">$D$6/12</f>
        <v>20298721.6666667</v>
      </c>
      <c r="O44" s="37" t="n">
        <f aca="false">$N$35</f>
        <v>24358466</v>
      </c>
      <c r="P44" s="37"/>
      <c r="Q44" s="37" t="n">
        <f aca="false">N44-O44</f>
        <v>-4059744.33333333</v>
      </c>
      <c r="R44" s="37"/>
      <c r="S44" s="37" t="n">
        <f aca="false">S45</f>
        <v>0</v>
      </c>
      <c r="T44" s="106" t="n">
        <f aca="false">-S44</f>
        <v>-0</v>
      </c>
      <c r="U44" s="105" t="n">
        <f aca="false">$D$7/12</f>
        <v>49820650.25</v>
      </c>
      <c r="V44" s="37" t="n">
        <f aca="false">$U$35</f>
        <v>69748910.5</v>
      </c>
      <c r="W44" s="37"/>
      <c r="X44" s="37" t="n">
        <f aca="false">U44-V44</f>
        <v>-19928260.25</v>
      </c>
      <c r="Y44" s="37"/>
      <c r="Z44" s="37" t="n">
        <f aca="false">Z45</f>
        <v>0</v>
      </c>
      <c r="AA44" s="106" t="n">
        <f aca="false">-Z44</f>
        <v>-0</v>
      </c>
      <c r="AB44" s="37"/>
      <c r="AC44" s="107" t="n">
        <f aca="false">G44-C44</f>
        <v>5927606.66666667</v>
      </c>
      <c r="AD44" s="107" t="n">
        <f aca="false">N44-C44</f>
        <v>20298721.6666667</v>
      </c>
      <c r="AE44" s="107" t="n">
        <f aca="false">U44-C44</f>
        <v>49820650.25</v>
      </c>
      <c r="AF44" s="37"/>
      <c r="AG44" s="37"/>
    </row>
    <row r="45" customFormat="false" ht="15.75" hidden="false" customHeight="false" outlineLevel="0" collapsed="false">
      <c r="A45" s="103" t="s">
        <v>70</v>
      </c>
      <c r="B45" s="104" t="n">
        <f aca="false">B44+1</f>
        <v>17</v>
      </c>
      <c r="C45" s="105"/>
      <c r="D45" s="37"/>
      <c r="E45" s="106"/>
      <c r="G45" s="105" t="n">
        <f aca="false">$D$5/12</f>
        <v>5927606.66666667</v>
      </c>
      <c r="H45" s="37" t="n">
        <f aca="false">$G$35</f>
        <v>5927606.66666667</v>
      </c>
      <c r="I45" s="37"/>
      <c r="J45" s="37" t="n">
        <f aca="false">G45-H45</f>
        <v>0</v>
      </c>
      <c r="K45" s="37"/>
      <c r="L45" s="37" t="n">
        <f aca="false">L46</f>
        <v>0</v>
      </c>
      <c r="M45" s="106" t="n">
        <f aca="false">-L45</f>
        <v>-0</v>
      </c>
      <c r="N45" s="105" t="n">
        <f aca="false">$D$6/12</f>
        <v>20298721.6666667</v>
      </c>
      <c r="O45" s="37" t="n">
        <f aca="false">$N$35</f>
        <v>24358466</v>
      </c>
      <c r="P45" s="37"/>
      <c r="Q45" s="37" t="n">
        <f aca="false">N45-O45</f>
        <v>-4059744.33333333</v>
      </c>
      <c r="R45" s="37"/>
      <c r="S45" s="37" t="n">
        <f aca="false">S46</f>
        <v>0</v>
      </c>
      <c r="T45" s="106" t="n">
        <f aca="false">-S45</f>
        <v>-0</v>
      </c>
      <c r="U45" s="105" t="n">
        <f aca="false">$D$7/12</f>
        <v>49820650.25</v>
      </c>
      <c r="V45" s="37" t="n">
        <f aca="false">$U$35</f>
        <v>69748910.5</v>
      </c>
      <c r="W45" s="37"/>
      <c r="X45" s="37" t="n">
        <f aca="false">U45-V45</f>
        <v>-19928260.25</v>
      </c>
      <c r="Y45" s="37"/>
      <c r="Z45" s="37" t="n">
        <f aca="false">Z46</f>
        <v>0</v>
      </c>
      <c r="AA45" s="106" t="n">
        <f aca="false">-Z45</f>
        <v>-0</v>
      </c>
      <c r="AB45" s="37"/>
      <c r="AC45" s="107" t="n">
        <f aca="false">G45-C45</f>
        <v>5927606.66666667</v>
      </c>
      <c r="AD45" s="107" t="n">
        <f aca="false">N45-C45</f>
        <v>20298721.6666667</v>
      </c>
      <c r="AE45" s="107" t="n">
        <f aca="false">U45-C45</f>
        <v>49820650.25</v>
      </c>
      <c r="AF45" s="37"/>
      <c r="AG45" s="37"/>
    </row>
    <row r="46" customFormat="false" ht="15.75" hidden="false" customHeight="false" outlineLevel="0" collapsed="false">
      <c r="A46" s="103" t="s">
        <v>71</v>
      </c>
      <c r="B46" s="104" t="n">
        <f aca="false">B45+1</f>
        <v>18</v>
      </c>
      <c r="C46" s="105"/>
      <c r="D46" s="37"/>
      <c r="E46" s="106"/>
      <c r="G46" s="105" t="n">
        <f aca="false">$D$5/12</f>
        <v>5927606.66666667</v>
      </c>
      <c r="H46" s="37" t="n">
        <f aca="false">$G$35</f>
        <v>5927606.66666667</v>
      </c>
      <c r="I46" s="37"/>
      <c r="J46" s="37" t="n">
        <f aca="false">G46-H46</f>
        <v>0</v>
      </c>
      <c r="K46" s="37"/>
      <c r="L46" s="37" t="n">
        <f aca="false">L47</f>
        <v>0</v>
      </c>
      <c r="M46" s="106" t="n">
        <f aca="false">-L46</f>
        <v>-0</v>
      </c>
      <c r="N46" s="105" t="n">
        <f aca="false">$D$6/12</f>
        <v>20298721.6666667</v>
      </c>
      <c r="O46" s="37" t="n">
        <f aca="false">$N$35</f>
        <v>24358466</v>
      </c>
      <c r="P46" s="37"/>
      <c r="Q46" s="37" t="n">
        <f aca="false">N46-O46</f>
        <v>-4059744.33333333</v>
      </c>
      <c r="R46" s="37"/>
      <c r="S46" s="37" t="n">
        <f aca="false">S47</f>
        <v>0</v>
      </c>
      <c r="T46" s="106" t="n">
        <f aca="false">-S46</f>
        <v>-0</v>
      </c>
      <c r="U46" s="105" t="n">
        <f aca="false">$D$7/12</f>
        <v>49820650.25</v>
      </c>
      <c r="V46" s="37" t="n">
        <f aca="false">$U$35</f>
        <v>69748910.5</v>
      </c>
      <c r="W46" s="37"/>
      <c r="X46" s="37" t="n">
        <f aca="false">U46-V46</f>
        <v>-19928260.25</v>
      </c>
      <c r="Y46" s="37"/>
      <c r="Z46" s="37" t="n">
        <f aca="false">Z47</f>
        <v>0</v>
      </c>
      <c r="AA46" s="106" t="n">
        <f aca="false">-Z46</f>
        <v>-0</v>
      </c>
      <c r="AB46" s="37"/>
      <c r="AC46" s="107" t="n">
        <f aca="false">G46-C46</f>
        <v>5927606.66666667</v>
      </c>
      <c r="AD46" s="107" t="n">
        <f aca="false">N46-C46</f>
        <v>20298721.6666667</v>
      </c>
      <c r="AE46" s="107" t="n">
        <f aca="false">U46-C46</f>
        <v>49820650.25</v>
      </c>
      <c r="AF46" s="37"/>
      <c r="AG46" s="37"/>
    </row>
    <row r="47" customFormat="false" ht="15.75" hidden="false" customHeight="false" outlineLevel="0" collapsed="false">
      <c r="A47" s="103" t="s">
        <v>72</v>
      </c>
      <c r="B47" s="104" t="n">
        <f aca="false">B46+1</f>
        <v>19</v>
      </c>
      <c r="C47" s="105"/>
      <c r="D47" s="37"/>
      <c r="E47" s="106"/>
      <c r="G47" s="105" t="n">
        <f aca="false">$D$5/12</f>
        <v>5927606.66666667</v>
      </c>
      <c r="H47" s="37" t="n">
        <f aca="false">$G$35</f>
        <v>5927606.66666667</v>
      </c>
      <c r="I47" s="37"/>
      <c r="J47" s="37" t="n">
        <f aca="false">G47-H47</f>
        <v>0</v>
      </c>
      <c r="K47" s="37"/>
      <c r="L47" s="37" t="n">
        <f aca="false">L48</f>
        <v>0</v>
      </c>
      <c r="M47" s="106" t="n">
        <f aca="false">-L47</f>
        <v>-0</v>
      </c>
      <c r="N47" s="105" t="n">
        <f aca="false">$D$6/12</f>
        <v>20298721.6666667</v>
      </c>
      <c r="O47" s="37" t="n">
        <f aca="false">$N$35</f>
        <v>24358466</v>
      </c>
      <c r="P47" s="37"/>
      <c r="Q47" s="37" t="n">
        <f aca="false">N47-O47</f>
        <v>-4059744.33333333</v>
      </c>
      <c r="R47" s="37"/>
      <c r="S47" s="37" t="n">
        <f aca="false">S48</f>
        <v>0</v>
      </c>
      <c r="T47" s="106" t="n">
        <f aca="false">-S47</f>
        <v>-0</v>
      </c>
      <c r="U47" s="105" t="n">
        <f aca="false">$D$7/12</f>
        <v>49820650.25</v>
      </c>
      <c r="V47" s="37" t="n">
        <f aca="false">$U$35</f>
        <v>69748910.5</v>
      </c>
      <c r="W47" s="37"/>
      <c r="X47" s="37" t="n">
        <f aca="false">U47-V47</f>
        <v>-19928260.25</v>
      </c>
      <c r="Y47" s="37"/>
      <c r="Z47" s="37" t="n">
        <f aca="false">Z48</f>
        <v>0</v>
      </c>
      <c r="AA47" s="106" t="n">
        <f aca="false">-Z47</f>
        <v>-0</v>
      </c>
      <c r="AB47" s="37"/>
      <c r="AC47" s="107" t="n">
        <f aca="false">G47-C47</f>
        <v>5927606.66666667</v>
      </c>
      <c r="AD47" s="107" t="n">
        <f aca="false">N47-C47</f>
        <v>20298721.6666667</v>
      </c>
      <c r="AE47" s="107" t="n">
        <f aca="false">U47-C47</f>
        <v>49820650.25</v>
      </c>
      <c r="AF47" s="37"/>
      <c r="AG47" s="37"/>
    </row>
    <row r="48" customFormat="false" ht="15.75" hidden="false" customHeight="false" outlineLevel="0" collapsed="false">
      <c r="A48" s="103" t="s">
        <v>73</v>
      </c>
      <c r="B48" s="104" t="n">
        <f aca="false">B47+1</f>
        <v>20</v>
      </c>
      <c r="C48" s="105"/>
      <c r="D48" s="37"/>
      <c r="E48" s="106"/>
      <c r="G48" s="105" t="n">
        <f aca="false">$D$5/12</f>
        <v>5927606.66666667</v>
      </c>
      <c r="H48" s="37" t="n">
        <f aca="false">$G$35</f>
        <v>5927606.66666667</v>
      </c>
      <c r="I48" s="37"/>
      <c r="J48" s="37" t="n">
        <f aca="false">G48-H48</f>
        <v>0</v>
      </c>
      <c r="K48" s="37"/>
      <c r="L48" s="37" t="n">
        <f aca="false">L49</f>
        <v>0</v>
      </c>
      <c r="M48" s="106" t="n">
        <f aca="false">-L48</f>
        <v>-0</v>
      </c>
      <c r="N48" s="105" t="n">
        <f aca="false">$D$6/12</f>
        <v>20298721.6666667</v>
      </c>
      <c r="O48" s="37" t="n">
        <f aca="false">$N$35</f>
        <v>24358466</v>
      </c>
      <c r="P48" s="37"/>
      <c r="Q48" s="37" t="n">
        <f aca="false">N48-O48</f>
        <v>-4059744.33333333</v>
      </c>
      <c r="R48" s="37"/>
      <c r="S48" s="37" t="n">
        <f aca="false">S49</f>
        <v>0</v>
      </c>
      <c r="T48" s="106" t="n">
        <f aca="false">-S48</f>
        <v>-0</v>
      </c>
      <c r="U48" s="105" t="n">
        <f aca="false">$D$7/12</f>
        <v>49820650.25</v>
      </c>
      <c r="V48" s="37" t="n">
        <f aca="false">$U$35</f>
        <v>69748910.5</v>
      </c>
      <c r="W48" s="37"/>
      <c r="X48" s="37" t="n">
        <f aca="false">U48-V48</f>
        <v>-19928260.25</v>
      </c>
      <c r="Y48" s="37"/>
      <c r="Z48" s="37" t="n">
        <f aca="false">Z49</f>
        <v>0</v>
      </c>
      <c r="AA48" s="106" t="n">
        <f aca="false">-Z48</f>
        <v>-0</v>
      </c>
      <c r="AB48" s="37"/>
      <c r="AC48" s="107" t="n">
        <f aca="false">G48-C48</f>
        <v>5927606.66666667</v>
      </c>
      <c r="AD48" s="107" t="n">
        <f aca="false">N48-C48</f>
        <v>20298721.6666667</v>
      </c>
      <c r="AE48" s="107" t="n">
        <f aca="false">U48-C48</f>
        <v>49820650.25</v>
      </c>
      <c r="AF48" s="37"/>
      <c r="AG48" s="37"/>
    </row>
    <row r="49" customFormat="false" ht="15.75" hidden="false" customHeight="false" outlineLevel="0" collapsed="false">
      <c r="A49" s="103" t="s">
        <v>74</v>
      </c>
      <c r="B49" s="104" t="n">
        <f aca="false">B48+1</f>
        <v>21</v>
      </c>
      <c r="C49" s="105"/>
      <c r="D49" s="37"/>
      <c r="E49" s="106"/>
      <c r="G49" s="105" t="n">
        <f aca="false">$D$5/12</f>
        <v>5927606.66666667</v>
      </c>
      <c r="H49" s="37" t="n">
        <f aca="false">$G$35</f>
        <v>5927606.66666667</v>
      </c>
      <c r="I49" s="37"/>
      <c r="J49" s="37" t="n">
        <f aca="false">G49-H49</f>
        <v>0</v>
      </c>
      <c r="K49" s="37"/>
      <c r="L49" s="37" t="n">
        <f aca="false">L50</f>
        <v>0</v>
      </c>
      <c r="M49" s="106" t="n">
        <f aca="false">-L49</f>
        <v>-0</v>
      </c>
      <c r="N49" s="105" t="n">
        <f aca="false">$D$6/12</f>
        <v>20298721.6666667</v>
      </c>
      <c r="O49" s="37" t="n">
        <f aca="false">$N$35</f>
        <v>24358466</v>
      </c>
      <c r="P49" s="37"/>
      <c r="Q49" s="37" t="n">
        <f aca="false">N49-O49</f>
        <v>-4059744.33333333</v>
      </c>
      <c r="R49" s="37"/>
      <c r="S49" s="37" t="n">
        <f aca="false">S50</f>
        <v>0</v>
      </c>
      <c r="T49" s="106" t="n">
        <f aca="false">-S49</f>
        <v>-0</v>
      </c>
      <c r="U49" s="105" t="n">
        <f aca="false">$D$7/12</f>
        <v>49820650.25</v>
      </c>
      <c r="V49" s="37" t="n">
        <f aca="false">$U$35</f>
        <v>69748910.5</v>
      </c>
      <c r="W49" s="37"/>
      <c r="X49" s="37" t="n">
        <f aca="false">U49-V49</f>
        <v>-19928260.25</v>
      </c>
      <c r="Y49" s="37"/>
      <c r="Z49" s="37" t="n">
        <f aca="false">Z50</f>
        <v>0</v>
      </c>
      <c r="AA49" s="106" t="n">
        <f aca="false">-Z49</f>
        <v>-0</v>
      </c>
      <c r="AB49" s="37"/>
      <c r="AC49" s="107" t="n">
        <f aca="false">G49-C49</f>
        <v>5927606.66666667</v>
      </c>
      <c r="AD49" s="107" t="n">
        <f aca="false">N49-C49</f>
        <v>20298721.6666667</v>
      </c>
      <c r="AE49" s="107" t="n">
        <f aca="false">U49-C49</f>
        <v>49820650.25</v>
      </c>
      <c r="AF49" s="37"/>
      <c r="AG49" s="37"/>
    </row>
    <row r="50" customFormat="false" ht="15.75" hidden="false" customHeight="false" outlineLevel="0" collapsed="false">
      <c r="A50" s="103" t="s">
        <v>75</v>
      </c>
      <c r="B50" s="104" t="n">
        <f aca="false">B49+1</f>
        <v>22</v>
      </c>
      <c r="C50" s="105"/>
      <c r="D50" s="37"/>
      <c r="E50" s="106"/>
      <c r="G50" s="105" t="n">
        <f aca="false">$D$5/12</f>
        <v>5927606.66666667</v>
      </c>
      <c r="H50" s="37" t="n">
        <f aca="false">$G$35</f>
        <v>5927606.66666667</v>
      </c>
      <c r="I50" s="37"/>
      <c r="J50" s="37" t="n">
        <f aca="false">G50-H50</f>
        <v>0</v>
      </c>
      <c r="K50" s="37"/>
      <c r="L50" s="37" t="n">
        <f aca="false">L51</f>
        <v>0</v>
      </c>
      <c r="M50" s="106" t="n">
        <f aca="false">-L50</f>
        <v>-0</v>
      </c>
      <c r="N50" s="105" t="n">
        <f aca="false">$D$6/12</f>
        <v>20298721.6666667</v>
      </c>
      <c r="O50" s="37" t="n">
        <f aca="false">$N$35</f>
        <v>24358466</v>
      </c>
      <c r="P50" s="37"/>
      <c r="Q50" s="37" t="n">
        <f aca="false">N50-O50</f>
        <v>-4059744.33333333</v>
      </c>
      <c r="R50" s="37"/>
      <c r="S50" s="37" t="n">
        <f aca="false">S51</f>
        <v>0</v>
      </c>
      <c r="T50" s="106" t="n">
        <f aca="false">-S50</f>
        <v>-0</v>
      </c>
      <c r="U50" s="105" t="n">
        <f aca="false">$D$7/12</f>
        <v>49820650.25</v>
      </c>
      <c r="V50" s="37" t="n">
        <f aca="false">$U$35</f>
        <v>69748910.5</v>
      </c>
      <c r="W50" s="37"/>
      <c r="X50" s="37" t="n">
        <f aca="false">U50-V50</f>
        <v>-19928260.25</v>
      </c>
      <c r="Y50" s="37"/>
      <c r="Z50" s="37" t="n">
        <f aca="false">Z51</f>
        <v>0</v>
      </c>
      <c r="AA50" s="106" t="n">
        <f aca="false">-Z50</f>
        <v>-0</v>
      </c>
      <c r="AB50" s="37"/>
      <c r="AC50" s="107" t="n">
        <f aca="false">G50-C50</f>
        <v>5927606.66666667</v>
      </c>
      <c r="AD50" s="107" t="n">
        <f aca="false">N50-C50</f>
        <v>20298721.6666667</v>
      </c>
      <c r="AE50" s="107" t="n">
        <f aca="false">U50-C50</f>
        <v>49820650.25</v>
      </c>
      <c r="AF50" s="37"/>
      <c r="AG50" s="37"/>
    </row>
    <row r="51" customFormat="false" ht="15.75" hidden="false" customHeight="false" outlineLevel="0" collapsed="false">
      <c r="A51" s="103" t="s">
        <v>76</v>
      </c>
      <c r="B51" s="104" t="n">
        <f aca="false">B50+1</f>
        <v>23</v>
      </c>
      <c r="C51" s="105"/>
      <c r="D51" s="37"/>
      <c r="E51" s="106"/>
      <c r="G51" s="105" t="n">
        <f aca="false">$D$5/12</f>
        <v>5927606.66666667</v>
      </c>
      <c r="H51" s="37" t="n">
        <f aca="false">$G$35</f>
        <v>5927606.66666667</v>
      </c>
      <c r="I51" s="37"/>
      <c r="J51" s="37" t="n">
        <f aca="false">G51-H51</f>
        <v>0</v>
      </c>
      <c r="K51" s="37"/>
      <c r="L51" s="37" t="n">
        <f aca="false">L52</f>
        <v>0</v>
      </c>
      <c r="M51" s="106" t="n">
        <f aca="false">-L51</f>
        <v>-0</v>
      </c>
      <c r="N51" s="105" t="n">
        <f aca="false">$D$6/12</f>
        <v>20298721.6666667</v>
      </c>
      <c r="O51" s="37" t="n">
        <f aca="false">$N$35</f>
        <v>24358466</v>
      </c>
      <c r="P51" s="37"/>
      <c r="Q51" s="37" t="n">
        <f aca="false">N51-O51</f>
        <v>-4059744.33333333</v>
      </c>
      <c r="R51" s="37"/>
      <c r="S51" s="37" t="n">
        <f aca="false">S52</f>
        <v>0</v>
      </c>
      <c r="T51" s="106" t="n">
        <f aca="false">-S51</f>
        <v>-0</v>
      </c>
      <c r="U51" s="105" t="n">
        <f aca="false">$D$7/12</f>
        <v>49820650.25</v>
      </c>
      <c r="V51" s="37" t="n">
        <f aca="false">$U$35</f>
        <v>69748910.5</v>
      </c>
      <c r="W51" s="37"/>
      <c r="X51" s="37" t="n">
        <f aca="false">U51-V51</f>
        <v>-19928260.25</v>
      </c>
      <c r="Y51" s="37"/>
      <c r="Z51" s="37" t="n">
        <f aca="false">Z52</f>
        <v>0</v>
      </c>
      <c r="AA51" s="106" t="n">
        <f aca="false">-Z51</f>
        <v>-0</v>
      </c>
      <c r="AB51" s="37"/>
      <c r="AC51" s="107" t="n">
        <f aca="false">G51-C51</f>
        <v>5927606.66666667</v>
      </c>
      <c r="AD51" s="107" t="n">
        <f aca="false">N51-C51</f>
        <v>20298721.6666667</v>
      </c>
      <c r="AE51" s="107" t="n">
        <f aca="false">U51-C51</f>
        <v>49820650.25</v>
      </c>
      <c r="AF51" s="37"/>
      <c r="AG51" s="37"/>
    </row>
    <row r="52" customFormat="false" ht="15.75" hidden="false" customHeight="false" outlineLevel="0" collapsed="false">
      <c r="A52" s="103" t="s">
        <v>77</v>
      </c>
      <c r="B52" s="104" t="n">
        <f aca="false">B51+1</f>
        <v>24</v>
      </c>
      <c r="C52" s="105"/>
      <c r="D52" s="37"/>
      <c r="E52" s="106"/>
      <c r="G52" s="105" t="n">
        <f aca="false">$D$5/12</f>
        <v>5927606.66666667</v>
      </c>
      <c r="H52" s="37" t="n">
        <f aca="false">$G$35</f>
        <v>5927606.66666667</v>
      </c>
      <c r="I52" s="37"/>
      <c r="J52" s="37" t="n">
        <f aca="false">G52-H52</f>
        <v>0</v>
      </c>
      <c r="K52" s="37"/>
      <c r="L52" s="37" t="n">
        <f aca="false">L53</f>
        <v>0</v>
      </c>
      <c r="M52" s="106" t="n">
        <f aca="false">-L52</f>
        <v>-0</v>
      </c>
      <c r="N52" s="105" t="n">
        <f aca="false">$D$6/12</f>
        <v>20298721.6666667</v>
      </c>
      <c r="O52" s="37" t="n">
        <f aca="false">$N$35</f>
        <v>24358466</v>
      </c>
      <c r="P52" s="37"/>
      <c r="Q52" s="37" t="n">
        <f aca="false">N52-O52</f>
        <v>-4059744.33333333</v>
      </c>
      <c r="R52" s="37"/>
      <c r="S52" s="37" t="n">
        <f aca="false">S53</f>
        <v>0</v>
      </c>
      <c r="T52" s="106" t="n">
        <f aca="false">-S52</f>
        <v>-0</v>
      </c>
      <c r="U52" s="105" t="n">
        <f aca="false">$D$7/12</f>
        <v>49820650.25</v>
      </c>
      <c r="V52" s="37" t="n">
        <f aca="false">$U$35</f>
        <v>69748910.5</v>
      </c>
      <c r="W52" s="37"/>
      <c r="X52" s="37" t="n">
        <f aca="false">U52-V52</f>
        <v>-19928260.25</v>
      </c>
      <c r="Y52" s="37"/>
      <c r="Z52" s="37" t="n">
        <f aca="false">Z53</f>
        <v>0</v>
      </c>
      <c r="AA52" s="106" t="n">
        <f aca="false">-Z52</f>
        <v>-0</v>
      </c>
      <c r="AB52" s="37"/>
      <c r="AC52" s="107" t="n">
        <f aca="false">G52-C52</f>
        <v>5927606.66666667</v>
      </c>
      <c r="AD52" s="107" t="n">
        <f aca="false">N52-C52</f>
        <v>20298721.6666667</v>
      </c>
      <c r="AE52" s="107" t="n">
        <f aca="false">U52-C52</f>
        <v>49820650.25</v>
      </c>
      <c r="AF52" s="37"/>
      <c r="AG52" s="37"/>
    </row>
    <row r="53" customFormat="false" ht="15.75" hidden="false" customHeight="false" outlineLevel="0" collapsed="false">
      <c r="A53" s="103" t="s">
        <v>78</v>
      </c>
      <c r="B53" s="104" t="n">
        <f aca="false">B52+1</f>
        <v>25</v>
      </c>
      <c r="C53" s="105" t="n">
        <f aca="false">E9</f>
        <v>203000</v>
      </c>
      <c r="D53" s="86"/>
      <c r="E53" s="106" t="n">
        <f aca="false">PV($B$20,2,-C53)-E41</f>
        <v>167768.595041322</v>
      </c>
      <c r="G53" s="105" t="n">
        <f aca="false">$E$5/12</f>
        <v>5927606.66666667</v>
      </c>
      <c r="H53" s="37" t="n">
        <f aca="false">$G$35</f>
        <v>5927606.66666667</v>
      </c>
      <c r="I53" s="37"/>
      <c r="J53" s="37" t="n">
        <f aca="false">J52</f>
        <v>0</v>
      </c>
      <c r="K53" s="37"/>
      <c r="L53" s="37" t="n">
        <f aca="false">G53-H53-J53</f>
        <v>0</v>
      </c>
      <c r="M53" s="106"/>
      <c r="N53" s="105" t="n">
        <f aca="false">$E$6/12</f>
        <v>20298721.6666667</v>
      </c>
      <c r="O53" s="37" t="n">
        <f aca="false">$N$35</f>
        <v>24358466</v>
      </c>
      <c r="P53" s="37"/>
      <c r="Q53" s="37" t="n">
        <f aca="false">Q52</f>
        <v>-4059744.33333333</v>
      </c>
      <c r="R53" s="37"/>
      <c r="S53" s="37" t="n">
        <f aca="false">N53-O53-Q53</f>
        <v>0</v>
      </c>
      <c r="T53" s="106"/>
      <c r="U53" s="105" t="n">
        <f aca="false">$E$7/12</f>
        <v>49820650.25</v>
      </c>
      <c r="V53" s="37" t="n">
        <f aca="false">$U$35</f>
        <v>69748910.5</v>
      </c>
      <c r="W53" s="37"/>
      <c r="X53" s="37" t="n">
        <f aca="false">X52</f>
        <v>-19928260.25</v>
      </c>
      <c r="Y53" s="37"/>
      <c r="Z53" s="37" t="n">
        <f aca="false">U53-V53-X53</f>
        <v>0</v>
      </c>
      <c r="AA53" s="106"/>
      <c r="AB53" s="37"/>
      <c r="AC53" s="107" t="n">
        <f aca="false">G53-C53</f>
        <v>5724606.66666667</v>
      </c>
      <c r="AD53" s="107" t="n">
        <f aca="false">N53-C53</f>
        <v>20095721.6666667</v>
      </c>
      <c r="AE53" s="107" t="n">
        <f aca="false">U53-C53</f>
        <v>49617650.25</v>
      </c>
      <c r="AF53" s="37"/>
      <c r="AG53" s="37"/>
    </row>
    <row r="54" customFormat="false" ht="15.75" hidden="false" customHeight="false" outlineLevel="0" collapsed="false">
      <c r="A54" s="103" t="s">
        <v>79</v>
      </c>
      <c r="B54" s="104" t="n">
        <f aca="false">B53+1</f>
        <v>26</v>
      </c>
      <c r="C54" s="105"/>
      <c r="D54" s="37"/>
      <c r="E54" s="106"/>
      <c r="G54" s="105" t="n">
        <f aca="false">$E$5/12</f>
        <v>5927606.66666667</v>
      </c>
      <c r="H54" s="37" t="n">
        <f aca="false">$G$35</f>
        <v>5927606.66666667</v>
      </c>
      <c r="I54" s="37"/>
      <c r="J54" s="37" t="n">
        <f aca="false">J53</f>
        <v>0</v>
      </c>
      <c r="K54" s="37"/>
      <c r="L54" s="37" t="n">
        <f aca="false">G54-H54-J54</f>
        <v>0</v>
      </c>
      <c r="M54" s="106"/>
      <c r="N54" s="105" t="n">
        <f aca="false">$E$6/12</f>
        <v>20298721.6666667</v>
      </c>
      <c r="O54" s="37" t="n">
        <f aca="false">$N$35</f>
        <v>24358466</v>
      </c>
      <c r="P54" s="37"/>
      <c r="Q54" s="37" t="n">
        <f aca="false">Q53</f>
        <v>-4059744.33333333</v>
      </c>
      <c r="R54" s="37"/>
      <c r="S54" s="37" t="n">
        <f aca="false">N54-O54-Q54</f>
        <v>0</v>
      </c>
      <c r="T54" s="106"/>
      <c r="U54" s="105" t="n">
        <f aca="false">$E$7/12</f>
        <v>49820650.25</v>
      </c>
      <c r="V54" s="37" t="n">
        <f aca="false">$U$35</f>
        <v>69748910.5</v>
      </c>
      <c r="W54" s="37"/>
      <c r="X54" s="37" t="n">
        <f aca="false">X53</f>
        <v>-19928260.25</v>
      </c>
      <c r="Y54" s="37"/>
      <c r="Z54" s="37" t="n">
        <f aca="false">U54-V54-X54</f>
        <v>0</v>
      </c>
      <c r="AA54" s="106"/>
      <c r="AB54" s="37"/>
      <c r="AC54" s="107" t="n">
        <f aca="false">G54-C54</f>
        <v>5927606.66666667</v>
      </c>
      <c r="AD54" s="107" t="n">
        <f aca="false">N54-C54</f>
        <v>20298721.6666667</v>
      </c>
      <c r="AE54" s="107" t="n">
        <f aca="false">U54-C54</f>
        <v>49820650.25</v>
      </c>
      <c r="AF54" s="37"/>
      <c r="AG54" s="37"/>
    </row>
    <row r="55" customFormat="false" ht="15.75" hidden="false" customHeight="false" outlineLevel="0" collapsed="false">
      <c r="A55" s="103" t="s">
        <v>80</v>
      </c>
      <c r="B55" s="104" t="n">
        <f aca="false">B54+1</f>
        <v>27</v>
      </c>
      <c r="C55" s="105"/>
      <c r="D55" s="37"/>
      <c r="E55" s="106"/>
      <c r="G55" s="105" t="n">
        <f aca="false">$E$5/12</f>
        <v>5927606.66666667</v>
      </c>
      <c r="H55" s="37" t="n">
        <f aca="false">$G$35</f>
        <v>5927606.66666667</v>
      </c>
      <c r="I55" s="37"/>
      <c r="J55" s="37" t="n">
        <f aca="false">J54</f>
        <v>0</v>
      </c>
      <c r="K55" s="37"/>
      <c r="L55" s="37" t="n">
        <f aca="false">G55-H55-J55</f>
        <v>0</v>
      </c>
      <c r="M55" s="106"/>
      <c r="N55" s="105" t="n">
        <f aca="false">$E$6/12</f>
        <v>20298721.6666667</v>
      </c>
      <c r="O55" s="37" t="n">
        <f aca="false">$N$35</f>
        <v>24358466</v>
      </c>
      <c r="P55" s="37"/>
      <c r="Q55" s="37" t="n">
        <f aca="false">Q54</f>
        <v>-4059744.33333333</v>
      </c>
      <c r="R55" s="37"/>
      <c r="S55" s="37" t="n">
        <f aca="false">N55-O55-Q55</f>
        <v>0</v>
      </c>
      <c r="T55" s="106"/>
      <c r="U55" s="105" t="n">
        <f aca="false">$E$7/12</f>
        <v>49820650.25</v>
      </c>
      <c r="V55" s="37" t="n">
        <f aca="false">$U$35</f>
        <v>69748910.5</v>
      </c>
      <c r="W55" s="37"/>
      <c r="X55" s="37" t="n">
        <f aca="false">X54</f>
        <v>-19928260.25</v>
      </c>
      <c r="Y55" s="37"/>
      <c r="Z55" s="37" t="n">
        <f aca="false">U55-V55-X55</f>
        <v>0</v>
      </c>
      <c r="AA55" s="106"/>
      <c r="AB55" s="37"/>
      <c r="AC55" s="107" t="n">
        <f aca="false">G55-C55</f>
        <v>5927606.66666667</v>
      </c>
      <c r="AD55" s="107" t="n">
        <f aca="false">N55-C55</f>
        <v>20298721.6666667</v>
      </c>
      <c r="AE55" s="107" t="n">
        <f aca="false">U55-C55</f>
        <v>49820650.25</v>
      </c>
      <c r="AF55" s="37"/>
      <c r="AG55" s="37"/>
    </row>
    <row r="56" customFormat="false" ht="15.75" hidden="false" customHeight="false" outlineLevel="0" collapsed="false">
      <c r="A56" s="103" t="s">
        <v>81</v>
      </c>
      <c r="B56" s="104" t="n">
        <f aca="false">B55+1</f>
        <v>28</v>
      </c>
      <c r="C56" s="105"/>
      <c r="D56" s="37"/>
      <c r="E56" s="106"/>
      <c r="G56" s="105" t="n">
        <f aca="false">$E$5/12</f>
        <v>5927606.66666667</v>
      </c>
      <c r="H56" s="37" t="n">
        <f aca="false">$G$35</f>
        <v>5927606.66666667</v>
      </c>
      <c r="I56" s="37"/>
      <c r="J56" s="37" t="n">
        <f aca="false">J55</f>
        <v>0</v>
      </c>
      <c r="K56" s="37"/>
      <c r="L56" s="37" t="n">
        <f aca="false">G56-H56-J56</f>
        <v>0</v>
      </c>
      <c r="M56" s="106"/>
      <c r="N56" s="105" t="n">
        <f aca="false">$E$6/12</f>
        <v>20298721.6666667</v>
      </c>
      <c r="O56" s="37" t="n">
        <f aca="false">$N$35</f>
        <v>24358466</v>
      </c>
      <c r="P56" s="37"/>
      <c r="Q56" s="37" t="n">
        <f aca="false">Q55</f>
        <v>-4059744.33333333</v>
      </c>
      <c r="R56" s="37"/>
      <c r="S56" s="37" t="n">
        <f aca="false">N56-O56-Q56</f>
        <v>0</v>
      </c>
      <c r="T56" s="106"/>
      <c r="U56" s="105" t="n">
        <f aca="false">$E$7/12</f>
        <v>49820650.25</v>
      </c>
      <c r="V56" s="37" t="n">
        <f aca="false">$U$35</f>
        <v>69748910.5</v>
      </c>
      <c r="W56" s="37"/>
      <c r="X56" s="37" t="n">
        <f aca="false">X55</f>
        <v>-19928260.25</v>
      </c>
      <c r="Y56" s="37"/>
      <c r="Z56" s="37" t="n">
        <f aca="false">U56-V56-X56</f>
        <v>0</v>
      </c>
      <c r="AA56" s="106"/>
      <c r="AB56" s="37"/>
      <c r="AC56" s="107" t="n">
        <f aca="false">G56-C56</f>
        <v>5927606.66666667</v>
      </c>
      <c r="AD56" s="107" t="n">
        <f aca="false">N56-C56</f>
        <v>20298721.6666667</v>
      </c>
      <c r="AE56" s="107" t="n">
        <f aca="false">U56-C56</f>
        <v>49820650.25</v>
      </c>
      <c r="AF56" s="37"/>
      <c r="AG56" s="37"/>
    </row>
    <row r="57" customFormat="false" ht="15.75" hidden="false" customHeight="false" outlineLevel="0" collapsed="false">
      <c r="A57" s="103" t="s">
        <v>82</v>
      </c>
      <c r="B57" s="104" t="n">
        <f aca="false">B56+1</f>
        <v>29</v>
      </c>
      <c r="C57" s="105"/>
      <c r="D57" s="37"/>
      <c r="E57" s="106"/>
      <c r="G57" s="105" t="n">
        <f aca="false">$E$5/12</f>
        <v>5927606.66666667</v>
      </c>
      <c r="H57" s="37" t="n">
        <f aca="false">$G$35</f>
        <v>5927606.66666667</v>
      </c>
      <c r="I57" s="37"/>
      <c r="J57" s="37" t="n">
        <f aca="false">J56</f>
        <v>0</v>
      </c>
      <c r="K57" s="37"/>
      <c r="L57" s="37" t="n">
        <f aca="false">G57-H57-J57</f>
        <v>0</v>
      </c>
      <c r="M57" s="106"/>
      <c r="N57" s="105" t="n">
        <f aca="false">$E$6/12</f>
        <v>20298721.6666667</v>
      </c>
      <c r="O57" s="37" t="n">
        <f aca="false">$N$35</f>
        <v>24358466</v>
      </c>
      <c r="P57" s="37"/>
      <c r="Q57" s="37" t="n">
        <f aca="false">Q56</f>
        <v>-4059744.33333333</v>
      </c>
      <c r="R57" s="37"/>
      <c r="S57" s="37" t="n">
        <f aca="false">N57-O57-Q57</f>
        <v>0</v>
      </c>
      <c r="T57" s="106"/>
      <c r="U57" s="105" t="n">
        <f aca="false">$E$7/12</f>
        <v>49820650.25</v>
      </c>
      <c r="V57" s="37" t="n">
        <f aca="false">$U$35</f>
        <v>69748910.5</v>
      </c>
      <c r="W57" s="37"/>
      <c r="X57" s="37" t="n">
        <f aca="false">X56</f>
        <v>-19928260.25</v>
      </c>
      <c r="Y57" s="37"/>
      <c r="Z57" s="37" t="n">
        <f aca="false">U57-V57-X57</f>
        <v>0</v>
      </c>
      <c r="AA57" s="106"/>
      <c r="AB57" s="37"/>
      <c r="AC57" s="107" t="n">
        <f aca="false">G57-C57</f>
        <v>5927606.66666667</v>
      </c>
      <c r="AD57" s="107" t="n">
        <f aca="false">N57-C57</f>
        <v>20298721.6666667</v>
      </c>
      <c r="AE57" s="107" t="n">
        <f aca="false">U57-C57</f>
        <v>49820650.25</v>
      </c>
      <c r="AF57" s="37"/>
      <c r="AG57" s="37"/>
    </row>
    <row r="58" customFormat="false" ht="15.75" hidden="false" customHeight="false" outlineLevel="0" collapsed="false">
      <c r="A58" s="103" t="s">
        <v>83</v>
      </c>
      <c r="B58" s="104" t="n">
        <f aca="false">B57+1</f>
        <v>30</v>
      </c>
      <c r="C58" s="105"/>
      <c r="D58" s="37"/>
      <c r="E58" s="106"/>
      <c r="G58" s="105" t="n">
        <f aca="false">$E$5/12</f>
        <v>5927606.66666667</v>
      </c>
      <c r="H58" s="37" t="n">
        <f aca="false">$G$35</f>
        <v>5927606.66666667</v>
      </c>
      <c r="I58" s="37"/>
      <c r="J58" s="37" t="n">
        <f aca="false">J57</f>
        <v>0</v>
      </c>
      <c r="K58" s="37"/>
      <c r="L58" s="37" t="n">
        <f aca="false">G58-H58-J58</f>
        <v>0</v>
      </c>
      <c r="M58" s="106"/>
      <c r="N58" s="105" t="n">
        <f aca="false">$E$6/12</f>
        <v>20298721.6666667</v>
      </c>
      <c r="O58" s="37" t="n">
        <f aca="false">$N$35</f>
        <v>24358466</v>
      </c>
      <c r="P58" s="37"/>
      <c r="Q58" s="37" t="n">
        <f aca="false">Q57</f>
        <v>-4059744.33333333</v>
      </c>
      <c r="R58" s="37"/>
      <c r="S58" s="37" t="n">
        <f aca="false">N58-O58-Q58</f>
        <v>0</v>
      </c>
      <c r="T58" s="106"/>
      <c r="U58" s="105" t="n">
        <f aca="false">$E$7/12</f>
        <v>49820650.25</v>
      </c>
      <c r="V58" s="37" t="n">
        <f aca="false">$U$35</f>
        <v>69748910.5</v>
      </c>
      <c r="W58" s="37"/>
      <c r="X58" s="37" t="n">
        <f aca="false">X57</f>
        <v>-19928260.25</v>
      </c>
      <c r="Y58" s="37"/>
      <c r="Z58" s="37" t="n">
        <f aca="false">U58-V58-X58</f>
        <v>0</v>
      </c>
      <c r="AA58" s="106"/>
      <c r="AB58" s="37"/>
      <c r="AC58" s="107" t="n">
        <f aca="false">G58-C58</f>
        <v>5927606.66666667</v>
      </c>
      <c r="AD58" s="107" t="n">
        <f aca="false">N58-C58</f>
        <v>20298721.6666667</v>
      </c>
      <c r="AE58" s="107" t="n">
        <f aca="false">U58-C58</f>
        <v>49820650.25</v>
      </c>
      <c r="AF58" s="37"/>
      <c r="AG58" s="37"/>
    </row>
    <row r="59" customFormat="false" ht="15.75" hidden="false" customHeight="false" outlineLevel="0" collapsed="false">
      <c r="A59" s="103" t="s">
        <v>84</v>
      </c>
      <c r="B59" s="104" t="n">
        <f aca="false">B58+1</f>
        <v>31</v>
      </c>
      <c r="C59" s="105"/>
      <c r="D59" s="37"/>
      <c r="E59" s="106"/>
      <c r="G59" s="105" t="n">
        <f aca="false">$E$5/12</f>
        <v>5927606.66666667</v>
      </c>
      <c r="H59" s="37" t="n">
        <f aca="false">$G$35</f>
        <v>5927606.66666667</v>
      </c>
      <c r="I59" s="37"/>
      <c r="J59" s="37" t="n">
        <f aca="false">J58</f>
        <v>0</v>
      </c>
      <c r="K59" s="37"/>
      <c r="L59" s="37" t="n">
        <f aca="false">G59-H59-J59</f>
        <v>0</v>
      </c>
      <c r="M59" s="106"/>
      <c r="N59" s="105" t="n">
        <f aca="false">$E$6/12</f>
        <v>20298721.6666667</v>
      </c>
      <c r="O59" s="37" t="n">
        <f aca="false">$N$35</f>
        <v>24358466</v>
      </c>
      <c r="P59" s="37"/>
      <c r="Q59" s="37" t="n">
        <f aca="false">Q58</f>
        <v>-4059744.33333333</v>
      </c>
      <c r="R59" s="37"/>
      <c r="S59" s="37" t="n">
        <f aca="false">N59-O59-Q59</f>
        <v>0</v>
      </c>
      <c r="T59" s="106"/>
      <c r="U59" s="105" t="n">
        <f aca="false">$E$7/12</f>
        <v>49820650.25</v>
      </c>
      <c r="V59" s="37" t="n">
        <f aca="false">$U$35</f>
        <v>69748910.5</v>
      </c>
      <c r="W59" s="37"/>
      <c r="X59" s="37" t="n">
        <f aca="false">X58</f>
        <v>-19928260.25</v>
      </c>
      <c r="Y59" s="37"/>
      <c r="Z59" s="37" t="n">
        <f aca="false">U59-V59-X59</f>
        <v>0</v>
      </c>
      <c r="AA59" s="106"/>
      <c r="AB59" s="37"/>
      <c r="AC59" s="107" t="n">
        <f aca="false">G59-C59</f>
        <v>5927606.66666667</v>
      </c>
      <c r="AD59" s="107" t="n">
        <f aca="false">N59-C59</f>
        <v>20298721.6666667</v>
      </c>
      <c r="AE59" s="107" t="n">
        <f aca="false">U59-C59</f>
        <v>49820650.25</v>
      </c>
      <c r="AF59" s="37"/>
      <c r="AG59" s="37"/>
    </row>
    <row r="60" customFormat="false" ht="15.75" hidden="false" customHeight="false" outlineLevel="0" collapsed="false">
      <c r="A60" s="103" t="s">
        <v>85</v>
      </c>
      <c r="B60" s="104" t="n">
        <f aca="false">B59+1</f>
        <v>32</v>
      </c>
      <c r="C60" s="105"/>
      <c r="D60" s="37"/>
      <c r="E60" s="106"/>
      <c r="G60" s="105" t="n">
        <f aca="false">$E$5/12</f>
        <v>5927606.66666667</v>
      </c>
      <c r="H60" s="37" t="n">
        <f aca="false">$G$35</f>
        <v>5927606.66666667</v>
      </c>
      <c r="I60" s="37"/>
      <c r="J60" s="37" t="n">
        <f aca="false">J59</f>
        <v>0</v>
      </c>
      <c r="K60" s="37"/>
      <c r="L60" s="37" t="n">
        <f aca="false">G60-H60-J60</f>
        <v>0</v>
      </c>
      <c r="M60" s="106"/>
      <c r="N60" s="105" t="n">
        <f aca="false">$E$6/12</f>
        <v>20298721.6666667</v>
      </c>
      <c r="O60" s="37" t="n">
        <f aca="false">$N$35</f>
        <v>24358466</v>
      </c>
      <c r="P60" s="37"/>
      <c r="Q60" s="37" t="n">
        <f aca="false">Q59</f>
        <v>-4059744.33333333</v>
      </c>
      <c r="R60" s="37"/>
      <c r="S60" s="37" t="n">
        <f aca="false">N60-O60-Q60</f>
        <v>0</v>
      </c>
      <c r="T60" s="106"/>
      <c r="U60" s="105" t="n">
        <f aca="false">$E$7/12</f>
        <v>49820650.25</v>
      </c>
      <c r="V60" s="37" t="n">
        <f aca="false">$U$35</f>
        <v>69748910.5</v>
      </c>
      <c r="W60" s="37"/>
      <c r="X60" s="37" t="n">
        <f aca="false">X59</f>
        <v>-19928260.25</v>
      </c>
      <c r="Y60" s="37"/>
      <c r="Z60" s="37" t="n">
        <f aca="false">U60-V60-X60</f>
        <v>0</v>
      </c>
      <c r="AA60" s="106"/>
      <c r="AB60" s="37"/>
      <c r="AC60" s="107" t="n">
        <f aca="false">G60-C60</f>
        <v>5927606.66666667</v>
      </c>
      <c r="AD60" s="107" t="n">
        <f aca="false">N60-C60</f>
        <v>20298721.6666667</v>
      </c>
      <c r="AE60" s="107" t="n">
        <f aca="false">U60-C60</f>
        <v>49820650.25</v>
      </c>
      <c r="AF60" s="37"/>
      <c r="AG60" s="37"/>
    </row>
    <row r="61" customFormat="false" ht="15.75" hidden="false" customHeight="false" outlineLevel="0" collapsed="false">
      <c r="A61" s="103" t="s">
        <v>86</v>
      </c>
      <c r="B61" s="104" t="n">
        <f aca="false">B60+1</f>
        <v>33</v>
      </c>
      <c r="C61" s="105"/>
      <c r="D61" s="37"/>
      <c r="E61" s="106"/>
      <c r="G61" s="105" t="n">
        <f aca="false">$E$5/12</f>
        <v>5927606.66666667</v>
      </c>
      <c r="H61" s="37" t="n">
        <f aca="false">$G$35</f>
        <v>5927606.66666667</v>
      </c>
      <c r="I61" s="37"/>
      <c r="J61" s="37" t="n">
        <f aca="false">J60</f>
        <v>0</v>
      </c>
      <c r="K61" s="37"/>
      <c r="L61" s="37" t="n">
        <f aca="false">G61-H61-J61</f>
        <v>0</v>
      </c>
      <c r="M61" s="106"/>
      <c r="N61" s="105" t="n">
        <f aca="false">$E$6/12</f>
        <v>20298721.6666667</v>
      </c>
      <c r="O61" s="37" t="n">
        <f aca="false">$N$35</f>
        <v>24358466</v>
      </c>
      <c r="P61" s="37"/>
      <c r="Q61" s="37" t="n">
        <f aca="false">Q60</f>
        <v>-4059744.33333333</v>
      </c>
      <c r="R61" s="37"/>
      <c r="S61" s="37" t="n">
        <f aca="false">N61-O61-Q61</f>
        <v>0</v>
      </c>
      <c r="T61" s="106"/>
      <c r="U61" s="105" t="n">
        <f aca="false">$E$7/12</f>
        <v>49820650.25</v>
      </c>
      <c r="V61" s="37" t="n">
        <f aca="false">$U$35</f>
        <v>69748910.5</v>
      </c>
      <c r="W61" s="37"/>
      <c r="X61" s="37" t="n">
        <f aca="false">X60</f>
        <v>-19928260.25</v>
      </c>
      <c r="Y61" s="37"/>
      <c r="Z61" s="37" t="n">
        <f aca="false">U61-V61-X61</f>
        <v>0</v>
      </c>
      <c r="AA61" s="106"/>
      <c r="AB61" s="37"/>
      <c r="AC61" s="107" t="n">
        <f aca="false">G61-C61</f>
        <v>5927606.66666667</v>
      </c>
      <c r="AD61" s="107" t="n">
        <f aca="false">N61-C61</f>
        <v>20298721.6666667</v>
      </c>
      <c r="AE61" s="107" t="n">
        <f aca="false">U61-C61</f>
        <v>49820650.25</v>
      </c>
      <c r="AF61" s="37"/>
      <c r="AG61" s="37"/>
    </row>
    <row r="62" customFormat="false" ht="15.75" hidden="false" customHeight="false" outlineLevel="0" collapsed="false">
      <c r="A62" s="103" t="s">
        <v>87</v>
      </c>
      <c r="B62" s="104" t="n">
        <f aca="false">B61+1</f>
        <v>34</v>
      </c>
      <c r="C62" s="105"/>
      <c r="D62" s="37"/>
      <c r="E62" s="106"/>
      <c r="G62" s="105" t="n">
        <f aca="false">$E$5/12</f>
        <v>5927606.66666667</v>
      </c>
      <c r="H62" s="37" t="n">
        <f aca="false">$G$35</f>
        <v>5927606.66666667</v>
      </c>
      <c r="I62" s="37"/>
      <c r="J62" s="37" t="n">
        <f aca="false">J61</f>
        <v>0</v>
      </c>
      <c r="K62" s="37"/>
      <c r="L62" s="37" t="n">
        <f aca="false">G62-H62-J62</f>
        <v>0</v>
      </c>
      <c r="M62" s="106"/>
      <c r="N62" s="105" t="n">
        <f aca="false">$E$6/12</f>
        <v>20298721.6666667</v>
      </c>
      <c r="O62" s="37" t="n">
        <f aca="false">$N$35</f>
        <v>24358466</v>
      </c>
      <c r="P62" s="37"/>
      <c r="Q62" s="37" t="n">
        <f aca="false">Q61</f>
        <v>-4059744.33333333</v>
      </c>
      <c r="R62" s="37"/>
      <c r="S62" s="37" t="n">
        <f aca="false">N62-O62-Q62</f>
        <v>0</v>
      </c>
      <c r="T62" s="106"/>
      <c r="U62" s="105" t="n">
        <f aca="false">$E$7/12</f>
        <v>49820650.25</v>
      </c>
      <c r="V62" s="37" t="n">
        <f aca="false">$U$35</f>
        <v>69748910.5</v>
      </c>
      <c r="W62" s="37"/>
      <c r="X62" s="37" t="n">
        <f aca="false">X61</f>
        <v>-19928260.25</v>
      </c>
      <c r="Y62" s="37"/>
      <c r="Z62" s="37" t="n">
        <f aca="false">U62-V62-X62</f>
        <v>0</v>
      </c>
      <c r="AA62" s="106"/>
      <c r="AB62" s="37"/>
      <c r="AC62" s="107" t="n">
        <f aca="false">G62-C62</f>
        <v>5927606.66666667</v>
      </c>
      <c r="AD62" s="107" t="n">
        <f aca="false">N62-C62</f>
        <v>20298721.6666667</v>
      </c>
      <c r="AE62" s="107" t="n">
        <f aca="false">U62-C62</f>
        <v>49820650.25</v>
      </c>
      <c r="AF62" s="37"/>
      <c r="AG62" s="37"/>
    </row>
    <row r="63" customFormat="false" ht="15.75" hidden="false" customHeight="false" outlineLevel="0" collapsed="false">
      <c r="A63" s="103" t="s">
        <v>88</v>
      </c>
      <c r="B63" s="104" t="n">
        <f aca="false">B62+1</f>
        <v>35</v>
      </c>
      <c r="C63" s="105"/>
      <c r="D63" s="37"/>
      <c r="E63" s="106"/>
      <c r="G63" s="105" t="n">
        <f aca="false">$E$5/12</f>
        <v>5927606.66666667</v>
      </c>
      <c r="H63" s="37" t="n">
        <f aca="false">$G$35</f>
        <v>5927606.66666667</v>
      </c>
      <c r="I63" s="37"/>
      <c r="J63" s="37" t="n">
        <f aca="false">J62</f>
        <v>0</v>
      </c>
      <c r="K63" s="37"/>
      <c r="L63" s="37" t="n">
        <f aca="false">G63-H63-J63</f>
        <v>0</v>
      </c>
      <c r="M63" s="106"/>
      <c r="N63" s="105" t="n">
        <f aca="false">$E$6/12</f>
        <v>20298721.6666667</v>
      </c>
      <c r="O63" s="37" t="n">
        <f aca="false">$N$35</f>
        <v>24358466</v>
      </c>
      <c r="P63" s="37"/>
      <c r="Q63" s="37" t="n">
        <f aca="false">Q62</f>
        <v>-4059744.33333333</v>
      </c>
      <c r="R63" s="37"/>
      <c r="S63" s="37" t="n">
        <f aca="false">N63-O63-Q63</f>
        <v>0</v>
      </c>
      <c r="T63" s="106"/>
      <c r="U63" s="105" t="n">
        <f aca="false">$E$7/12</f>
        <v>49820650.25</v>
      </c>
      <c r="V63" s="37" t="n">
        <f aca="false">$U$35</f>
        <v>69748910.5</v>
      </c>
      <c r="W63" s="37"/>
      <c r="X63" s="37" t="n">
        <f aca="false">X62</f>
        <v>-19928260.25</v>
      </c>
      <c r="Y63" s="37"/>
      <c r="Z63" s="37" t="n">
        <f aca="false">U63-V63-X63</f>
        <v>0</v>
      </c>
      <c r="AA63" s="106"/>
      <c r="AB63" s="37"/>
      <c r="AC63" s="107" t="n">
        <f aca="false">G63-C63</f>
        <v>5927606.66666667</v>
      </c>
      <c r="AD63" s="107" t="n">
        <f aca="false">N63-C63</f>
        <v>20298721.6666667</v>
      </c>
      <c r="AE63" s="107" t="n">
        <f aca="false">U63-C63</f>
        <v>49820650.25</v>
      </c>
      <c r="AF63" s="37"/>
      <c r="AG63" s="37"/>
    </row>
    <row r="64" customFormat="false" ht="15.75" hidden="false" customHeight="false" outlineLevel="0" collapsed="false">
      <c r="A64" s="103" t="s">
        <v>89</v>
      </c>
      <c r="B64" s="104" t="n">
        <f aca="false">B63+1</f>
        <v>36</v>
      </c>
      <c r="C64" s="105"/>
      <c r="D64" s="37"/>
      <c r="E64" s="106"/>
      <c r="G64" s="105" t="n">
        <f aca="false">$E$5/12</f>
        <v>5927606.66666667</v>
      </c>
      <c r="H64" s="37" t="n">
        <f aca="false">$G$35</f>
        <v>5927606.66666667</v>
      </c>
      <c r="I64" s="37"/>
      <c r="J64" s="37" t="n">
        <f aca="false">J63</f>
        <v>0</v>
      </c>
      <c r="K64" s="37"/>
      <c r="L64" s="37" t="n">
        <f aca="false">G64-H64-J64</f>
        <v>0</v>
      </c>
      <c r="M64" s="106"/>
      <c r="N64" s="105" t="n">
        <f aca="false">$E$6/12</f>
        <v>20298721.6666667</v>
      </c>
      <c r="O64" s="37" t="n">
        <f aca="false">$N$35</f>
        <v>24358466</v>
      </c>
      <c r="P64" s="37"/>
      <c r="Q64" s="37" t="n">
        <f aca="false">Q63</f>
        <v>-4059744.33333333</v>
      </c>
      <c r="R64" s="37"/>
      <c r="S64" s="37" t="n">
        <f aca="false">N64-O64-Q64</f>
        <v>0</v>
      </c>
      <c r="T64" s="106"/>
      <c r="U64" s="105" t="n">
        <f aca="false">$E$7/12</f>
        <v>49820650.25</v>
      </c>
      <c r="V64" s="37" t="n">
        <f aca="false">$U$35</f>
        <v>69748910.5</v>
      </c>
      <c r="W64" s="37"/>
      <c r="X64" s="37" t="n">
        <f aca="false">X63</f>
        <v>-19928260.25</v>
      </c>
      <c r="Y64" s="37"/>
      <c r="Z64" s="37" t="n">
        <f aca="false">U64-V64-X64</f>
        <v>0</v>
      </c>
      <c r="AA64" s="106"/>
      <c r="AB64" s="37"/>
      <c r="AC64" s="107" t="n">
        <f aca="false">G64-C64</f>
        <v>5927606.66666667</v>
      </c>
      <c r="AD64" s="107" t="n">
        <f aca="false">N64-C64</f>
        <v>20298721.6666667</v>
      </c>
      <c r="AE64" s="107" t="n">
        <f aca="false">U64-C64</f>
        <v>49820650.25</v>
      </c>
      <c r="AF64" s="37"/>
      <c r="AG64" s="37"/>
    </row>
    <row r="65" customFormat="false" ht="15.75" hidden="false" customHeight="false" outlineLevel="0" collapsed="false">
      <c r="A65" s="103" t="s">
        <v>90</v>
      </c>
      <c r="B65" s="104" t="n">
        <f aca="false">B64+1</f>
        <v>37</v>
      </c>
      <c r="C65" s="105" t="n">
        <f aca="false">F9</f>
        <v>203000</v>
      </c>
      <c r="D65" s="86"/>
      <c r="E65" s="106" t="n">
        <f aca="false">PV($B$20,3,-C65)-E53-E41</f>
        <v>152516.904583021</v>
      </c>
      <c r="G65" s="105" t="n">
        <f aca="false">$F$5/12</f>
        <v>5927606.66666667</v>
      </c>
      <c r="H65" s="37" t="n">
        <f aca="false">$G$35</f>
        <v>5927606.66666667</v>
      </c>
      <c r="I65" s="37"/>
      <c r="J65" s="37" t="n">
        <f aca="false">J64</f>
        <v>0</v>
      </c>
      <c r="K65" s="37"/>
      <c r="L65" s="37" t="n">
        <f aca="false">G65-H65-J65</f>
        <v>0</v>
      </c>
      <c r="M65" s="106"/>
      <c r="N65" s="105" t="n">
        <f aca="false">$F$6/12</f>
        <v>20298721.6666667</v>
      </c>
      <c r="O65" s="37" t="n">
        <f aca="false">$N$35</f>
        <v>24358466</v>
      </c>
      <c r="P65" s="37"/>
      <c r="Q65" s="37" t="n">
        <f aca="false">Q64</f>
        <v>-4059744.33333333</v>
      </c>
      <c r="R65" s="37"/>
      <c r="S65" s="37" t="n">
        <f aca="false">N65-O65-Q65</f>
        <v>0</v>
      </c>
      <c r="T65" s="106"/>
      <c r="U65" s="105" t="n">
        <f aca="false">$F$7/12</f>
        <v>49820650.25</v>
      </c>
      <c r="V65" s="37" t="n">
        <f aca="false">$U$35</f>
        <v>69748910.5</v>
      </c>
      <c r="W65" s="37"/>
      <c r="X65" s="37" t="n">
        <f aca="false">X64</f>
        <v>-19928260.25</v>
      </c>
      <c r="Y65" s="37"/>
      <c r="Z65" s="37" t="n">
        <f aca="false">U65-V65-X65</f>
        <v>0</v>
      </c>
      <c r="AA65" s="106"/>
      <c r="AB65" s="37"/>
      <c r="AC65" s="107" t="n">
        <f aca="false">G65-C65</f>
        <v>5724606.66666667</v>
      </c>
      <c r="AD65" s="107" t="n">
        <f aca="false">N65-C65</f>
        <v>20095721.6666667</v>
      </c>
      <c r="AE65" s="107" t="n">
        <f aca="false">U65-C65</f>
        <v>49617650.25</v>
      </c>
      <c r="AF65" s="37"/>
      <c r="AG65" s="37"/>
    </row>
    <row r="66" customFormat="false" ht="15.75" hidden="false" customHeight="false" outlineLevel="0" collapsed="false">
      <c r="A66" s="103" t="s">
        <v>91</v>
      </c>
      <c r="B66" s="104" t="n">
        <f aca="false">B65+1</f>
        <v>38</v>
      </c>
      <c r="C66" s="105"/>
      <c r="D66" s="37"/>
      <c r="E66" s="106"/>
      <c r="G66" s="105" t="n">
        <f aca="false">$F$5/12</f>
        <v>5927606.66666667</v>
      </c>
      <c r="H66" s="37" t="n">
        <f aca="false">$G$35</f>
        <v>5927606.66666667</v>
      </c>
      <c r="I66" s="37"/>
      <c r="J66" s="37" t="n">
        <f aca="false">J65</f>
        <v>0</v>
      </c>
      <c r="K66" s="37"/>
      <c r="L66" s="37" t="n">
        <f aca="false">G66-H66-J66</f>
        <v>0</v>
      </c>
      <c r="M66" s="106"/>
      <c r="N66" s="105" t="n">
        <f aca="false">$F$6/12</f>
        <v>20298721.6666667</v>
      </c>
      <c r="O66" s="37" t="n">
        <f aca="false">$N$35</f>
        <v>24358466</v>
      </c>
      <c r="P66" s="37"/>
      <c r="Q66" s="37" t="n">
        <f aca="false">Q65</f>
        <v>-4059744.33333333</v>
      </c>
      <c r="R66" s="37"/>
      <c r="S66" s="37" t="n">
        <f aca="false">N66-O66-Q66</f>
        <v>0</v>
      </c>
      <c r="T66" s="106"/>
      <c r="U66" s="105" t="n">
        <f aca="false">$F$7/12</f>
        <v>49820650.25</v>
      </c>
      <c r="V66" s="37" t="n">
        <f aca="false">$U$35</f>
        <v>69748910.5</v>
      </c>
      <c r="W66" s="37"/>
      <c r="X66" s="37" t="n">
        <f aca="false">X65</f>
        <v>-19928260.25</v>
      </c>
      <c r="Y66" s="37"/>
      <c r="Z66" s="37" t="n">
        <f aca="false">U66-V66-X66</f>
        <v>0</v>
      </c>
      <c r="AA66" s="106"/>
      <c r="AB66" s="37"/>
      <c r="AC66" s="107" t="n">
        <f aca="false">G66-C66</f>
        <v>5927606.66666667</v>
      </c>
      <c r="AD66" s="107" t="n">
        <f aca="false">N66-C66</f>
        <v>20298721.6666667</v>
      </c>
      <c r="AE66" s="107" t="n">
        <f aca="false">U66-C66</f>
        <v>49820650.25</v>
      </c>
      <c r="AF66" s="37"/>
      <c r="AG66" s="37"/>
    </row>
    <row r="67" customFormat="false" ht="15.75" hidden="false" customHeight="false" outlineLevel="0" collapsed="false">
      <c r="A67" s="103" t="s">
        <v>92</v>
      </c>
      <c r="B67" s="104" t="n">
        <f aca="false">B66+1</f>
        <v>39</v>
      </c>
      <c r="C67" s="105"/>
      <c r="D67" s="37"/>
      <c r="E67" s="106"/>
      <c r="G67" s="105" t="n">
        <f aca="false">$F$5/12</f>
        <v>5927606.66666667</v>
      </c>
      <c r="H67" s="37" t="n">
        <f aca="false">$G$35</f>
        <v>5927606.66666667</v>
      </c>
      <c r="I67" s="37"/>
      <c r="J67" s="37" t="n">
        <f aca="false">J66</f>
        <v>0</v>
      </c>
      <c r="K67" s="37"/>
      <c r="L67" s="37" t="n">
        <f aca="false">G67-H67-J67</f>
        <v>0</v>
      </c>
      <c r="M67" s="106"/>
      <c r="N67" s="105" t="n">
        <f aca="false">$F$6/12</f>
        <v>20298721.6666667</v>
      </c>
      <c r="O67" s="37" t="n">
        <f aca="false">$N$35</f>
        <v>24358466</v>
      </c>
      <c r="P67" s="37"/>
      <c r="Q67" s="37" t="n">
        <f aca="false">Q66</f>
        <v>-4059744.33333333</v>
      </c>
      <c r="R67" s="37"/>
      <c r="S67" s="37" t="n">
        <f aca="false">N67-O67-Q67</f>
        <v>0</v>
      </c>
      <c r="T67" s="106"/>
      <c r="U67" s="105" t="n">
        <f aca="false">$F$7/12</f>
        <v>49820650.25</v>
      </c>
      <c r="V67" s="37" t="n">
        <f aca="false">$U$35</f>
        <v>69748910.5</v>
      </c>
      <c r="W67" s="37"/>
      <c r="X67" s="37" t="n">
        <f aca="false">X66</f>
        <v>-19928260.25</v>
      </c>
      <c r="Y67" s="37"/>
      <c r="Z67" s="37" t="n">
        <f aca="false">U67-V67-X67</f>
        <v>0</v>
      </c>
      <c r="AA67" s="106"/>
      <c r="AB67" s="37"/>
      <c r="AC67" s="107" t="n">
        <f aca="false">G67-C67</f>
        <v>5927606.66666667</v>
      </c>
      <c r="AD67" s="107" t="n">
        <f aca="false">N67-C67</f>
        <v>20298721.6666667</v>
      </c>
      <c r="AE67" s="107" t="n">
        <f aca="false">U67-C67</f>
        <v>49820650.25</v>
      </c>
      <c r="AF67" s="37"/>
      <c r="AG67" s="37"/>
    </row>
    <row r="68" customFormat="false" ht="15.75" hidden="false" customHeight="false" outlineLevel="0" collapsed="false">
      <c r="A68" s="103" t="s">
        <v>93</v>
      </c>
      <c r="B68" s="104" t="n">
        <f aca="false">B67+1</f>
        <v>40</v>
      </c>
      <c r="C68" s="105"/>
      <c r="D68" s="37"/>
      <c r="E68" s="106"/>
      <c r="G68" s="105" t="n">
        <f aca="false">$F$5/12</f>
        <v>5927606.66666667</v>
      </c>
      <c r="H68" s="37" t="n">
        <f aca="false">$G$35</f>
        <v>5927606.66666667</v>
      </c>
      <c r="I68" s="37"/>
      <c r="J68" s="37" t="n">
        <f aca="false">J67</f>
        <v>0</v>
      </c>
      <c r="K68" s="37"/>
      <c r="L68" s="37" t="n">
        <f aca="false">G68-H68-J68</f>
        <v>0</v>
      </c>
      <c r="M68" s="106"/>
      <c r="N68" s="105" t="n">
        <f aca="false">$F$6/12</f>
        <v>20298721.6666667</v>
      </c>
      <c r="O68" s="37" t="n">
        <f aca="false">$N$35</f>
        <v>24358466</v>
      </c>
      <c r="P68" s="37"/>
      <c r="Q68" s="37" t="n">
        <f aca="false">Q67</f>
        <v>-4059744.33333333</v>
      </c>
      <c r="R68" s="37"/>
      <c r="S68" s="37" t="n">
        <f aca="false">N68-O68-Q68</f>
        <v>0</v>
      </c>
      <c r="T68" s="106"/>
      <c r="U68" s="105" t="n">
        <f aca="false">$F$7/12</f>
        <v>49820650.25</v>
      </c>
      <c r="V68" s="37" t="n">
        <f aca="false">$U$35</f>
        <v>69748910.5</v>
      </c>
      <c r="W68" s="37"/>
      <c r="X68" s="37" t="n">
        <f aca="false">X67</f>
        <v>-19928260.25</v>
      </c>
      <c r="Y68" s="37"/>
      <c r="Z68" s="37" t="n">
        <f aca="false">U68-V68-X68</f>
        <v>0</v>
      </c>
      <c r="AA68" s="106"/>
      <c r="AB68" s="37"/>
      <c r="AC68" s="107" t="n">
        <f aca="false">G68-C68</f>
        <v>5927606.66666667</v>
      </c>
      <c r="AD68" s="107" t="n">
        <f aca="false">N68-C68</f>
        <v>20298721.6666667</v>
      </c>
      <c r="AE68" s="107" t="n">
        <f aca="false">U68-C68</f>
        <v>49820650.25</v>
      </c>
      <c r="AF68" s="37"/>
      <c r="AG68" s="37"/>
    </row>
    <row r="69" customFormat="false" ht="15.75" hidden="false" customHeight="false" outlineLevel="0" collapsed="false">
      <c r="A69" s="103" t="s">
        <v>94</v>
      </c>
      <c r="B69" s="104" t="n">
        <f aca="false">B68+1</f>
        <v>41</v>
      </c>
      <c r="C69" s="105"/>
      <c r="D69" s="37"/>
      <c r="E69" s="106"/>
      <c r="G69" s="105" t="n">
        <f aca="false">$F$5/12</f>
        <v>5927606.66666667</v>
      </c>
      <c r="H69" s="37" t="n">
        <f aca="false">$G$35</f>
        <v>5927606.66666667</v>
      </c>
      <c r="I69" s="37"/>
      <c r="J69" s="37" t="n">
        <f aca="false">J68</f>
        <v>0</v>
      </c>
      <c r="K69" s="37"/>
      <c r="L69" s="37" t="n">
        <f aca="false">G69-H69-J69</f>
        <v>0</v>
      </c>
      <c r="M69" s="106"/>
      <c r="N69" s="105" t="n">
        <f aca="false">$F$6/12</f>
        <v>20298721.6666667</v>
      </c>
      <c r="O69" s="37" t="n">
        <f aca="false">$N$35</f>
        <v>24358466</v>
      </c>
      <c r="P69" s="37"/>
      <c r="Q69" s="37" t="n">
        <f aca="false">Q68</f>
        <v>-4059744.33333333</v>
      </c>
      <c r="R69" s="37"/>
      <c r="S69" s="37" t="n">
        <f aca="false">N69-O69-Q69</f>
        <v>0</v>
      </c>
      <c r="T69" s="106"/>
      <c r="U69" s="105" t="n">
        <f aca="false">$F$7/12</f>
        <v>49820650.25</v>
      </c>
      <c r="V69" s="37" t="n">
        <f aca="false">$U$35</f>
        <v>69748910.5</v>
      </c>
      <c r="W69" s="37"/>
      <c r="X69" s="37" t="n">
        <f aca="false">X68</f>
        <v>-19928260.25</v>
      </c>
      <c r="Y69" s="37"/>
      <c r="Z69" s="37" t="n">
        <f aca="false">U69-V69-X69</f>
        <v>0</v>
      </c>
      <c r="AA69" s="106"/>
      <c r="AB69" s="37"/>
      <c r="AC69" s="107" t="n">
        <f aca="false">G69-C69</f>
        <v>5927606.66666667</v>
      </c>
      <c r="AD69" s="107" t="n">
        <f aca="false">N69-C69</f>
        <v>20298721.6666667</v>
      </c>
      <c r="AE69" s="107" t="n">
        <f aca="false">U69-C69</f>
        <v>49820650.25</v>
      </c>
      <c r="AF69" s="37"/>
      <c r="AG69" s="37"/>
    </row>
    <row r="70" customFormat="false" ht="15.75" hidden="false" customHeight="false" outlineLevel="0" collapsed="false">
      <c r="A70" s="103" t="s">
        <v>95</v>
      </c>
      <c r="B70" s="104" t="n">
        <f aca="false">B69+1</f>
        <v>42</v>
      </c>
      <c r="C70" s="105"/>
      <c r="D70" s="37"/>
      <c r="E70" s="106"/>
      <c r="G70" s="105" t="n">
        <f aca="false">$F$5/12</f>
        <v>5927606.66666667</v>
      </c>
      <c r="H70" s="37" t="n">
        <f aca="false">$G$35</f>
        <v>5927606.66666667</v>
      </c>
      <c r="I70" s="37"/>
      <c r="J70" s="37" t="n">
        <f aca="false">J69</f>
        <v>0</v>
      </c>
      <c r="K70" s="37"/>
      <c r="L70" s="37" t="n">
        <f aca="false">G70-H70-J70</f>
        <v>0</v>
      </c>
      <c r="M70" s="106"/>
      <c r="N70" s="105" t="n">
        <f aca="false">$F$6/12</f>
        <v>20298721.6666667</v>
      </c>
      <c r="O70" s="37" t="n">
        <f aca="false">$N$35</f>
        <v>24358466</v>
      </c>
      <c r="P70" s="37"/>
      <c r="Q70" s="37" t="n">
        <f aca="false">Q69</f>
        <v>-4059744.33333333</v>
      </c>
      <c r="R70" s="37"/>
      <c r="S70" s="37" t="n">
        <f aca="false">N70-O70-Q70</f>
        <v>0</v>
      </c>
      <c r="T70" s="106"/>
      <c r="U70" s="105" t="n">
        <f aca="false">$F$7/12</f>
        <v>49820650.25</v>
      </c>
      <c r="V70" s="37" t="n">
        <f aca="false">$U$35</f>
        <v>69748910.5</v>
      </c>
      <c r="W70" s="37"/>
      <c r="X70" s="37" t="n">
        <f aca="false">X69</f>
        <v>-19928260.25</v>
      </c>
      <c r="Y70" s="37"/>
      <c r="Z70" s="37" t="n">
        <f aca="false">U70-V70-X70</f>
        <v>0</v>
      </c>
      <c r="AA70" s="106"/>
      <c r="AB70" s="37"/>
      <c r="AC70" s="107" t="n">
        <f aca="false">G70-C70</f>
        <v>5927606.66666667</v>
      </c>
      <c r="AD70" s="107" t="n">
        <f aca="false">N70-C70</f>
        <v>20298721.6666667</v>
      </c>
      <c r="AE70" s="107" t="n">
        <f aca="false">U70-C70</f>
        <v>49820650.25</v>
      </c>
      <c r="AF70" s="37"/>
      <c r="AG70" s="37"/>
    </row>
    <row r="71" customFormat="false" ht="15.75" hidden="false" customHeight="false" outlineLevel="0" collapsed="false">
      <c r="A71" s="103" t="s">
        <v>96</v>
      </c>
      <c r="B71" s="104" t="n">
        <f aca="false">B70+1</f>
        <v>43</v>
      </c>
      <c r="C71" s="105"/>
      <c r="D71" s="37"/>
      <c r="E71" s="106"/>
      <c r="G71" s="105" t="n">
        <f aca="false">$F$5/12</f>
        <v>5927606.66666667</v>
      </c>
      <c r="H71" s="37" t="n">
        <f aca="false">$G$35</f>
        <v>5927606.66666667</v>
      </c>
      <c r="I71" s="37"/>
      <c r="J71" s="37" t="n">
        <f aca="false">J70</f>
        <v>0</v>
      </c>
      <c r="K71" s="37"/>
      <c r="L71" s="37" t="n">
        <f aca="false">G71-H71-J71</f>
        <v>0</v>
      </c>
      <c r="M71" s="106"/>
      <c r="N71" s="105" t="n">
        <f aca="false">$F$6/12</f>
        <v>20298721.6666667</v>
      </c>
      <c r="O71" s="37" t="n">
        <f aca="false">$N$35</f>
        <v>24358466</v>
      </c>
      <c r="P71" s="37"/>
      <c r="Q71" s="37" t="n">
        <f aca="false">Q70</f>
        <v>-4059744.33333333</v>
      </c>
      <c r="R71" s="37"/>
      <c r="S71" s="37" t="n">
        <f aca="false">N71-O71-Q71</f>
        <v>0</v>
      </c>
      <c r="T71" s="106"/>
      <c r="U71" s="105" t="n">
        <f aca="false">$F$7/12</f>
        <v>49820650.25</v>
      </c>
      <c r="V71" s="37" t="n">
        <f aca="false">$U$35</f>
        <v>69748910.5</v>
      </c>
      <c r="W71" s="37"/>
      <c r="X71" s="37" t="n">
        <f aca="false">X70</f>
        <v>-19928260.25</v>
      </c>
      <c r="Y71" s="37"/>
      <c r="Z71" s="37" t="n">
        <f aca="false">U71-V71-X71</f>
        <v>0</v>
      </c>
      <c r="AA71" s="106"/>
      <c r="AB71" s="37"/>
      <c r="AC71" s="107" t="n">
        <f aca="false">G71-C71</f>
        <v>5927606.66666667</v>
      </c>
      <c r="AD71" s="107" t="n">
        <f aca="false">N71-C71</f>
        <v>20298721.6666667</v>
      </c>
      <c r="AE71" s="107" t="n">
        <f aca="false">U71-C71</f>
        <v>49820650.25</v>
      </c>
      <c r="AF71" s="37"/>
      <c r="AG71" s="37"/>
    </row>
    <row r="72" customFormat="false" ht="15.75" hidden="false" customHeight="false" outlineLevel="0" collapsed="false">
      <c r="A72" s="103" t="s">
        <v>97</v>
      </c>
      <c r="B72" s="104" t="n">
        <f aca="false">B71+1</f>
        <v>44</v>
      </c>
      <c r="C72" s="105"/>
      <c r="D72" s="37"/>
      <c r="E72" s="106"/>
      <c r="G72" s="105" t="n">
        <f aca="false">$F$5/12</f>
        <v>5927606.66666667</v>
      </c>
      <c r="H72" s="37" t="n">
        <f aca="false">$G$35</f>
        <v>5927606.66666667</v>
      </c>
      <c r="I72" s="37"/>
      <c r="J72" s="37" t="n">
        <f aca="false">J71</f>
        <v>0</v>
      </c>
      <c r="K72" s="37"/>
      <c r="L72" s="37" t="n">
        <f aca="false">G72-H72-J72</f>
        <v>0</v>
      </c>
      <c r="M72" s="106"/>
      <c r="N72" s="105" t="n">
        <f aca="false">$F$6/12</f>
        <v>20298721.6666667</v>
      </c>
      <c r="O72" s="37" t="n">
        <f aca="false">$N$35</f>
        <v>24358466</v>
      </c>
      <c r="P72" s="37"/>
      <c r="Q72" s="37" t="n">
        <f aca="false">Q71</f>
        <v>-4059744.33333333</v>
      </c>
      <c r="R72" s="37"/>
      <c r="S72" s="37" t="n">
        <f aca="false">N72-O72-Q72</f>
        <v>0</v>
      </c>
      <c r="T72" s="106"/>
      <c r="U72" s="105" t="n">
        <f aca="false">$F$7/12</f>
        <v>49820650.25</v>
      </c>
      <c r="V72" s="37" t="n">
        <f aca="false">$U$35</f>
        <v>69748910.5</v>
      </c>
      <c r="W72" s="37"/>
      <c r="X72" s="37" t="n">
        <f aca="false">X71</f>
        <v>-19928260.25</v>
      </c>
      <c r="Y72" s="37"/>
      <c r="Z72" s="37" t="n">
        <f aca="false">U72-V72-X72</f>
        <v>0</v>
      </c>
      <c r="AA72" s="106"/>
      <c r="AB72" s="37"/>
      <c r="AC72" s="107" t="n">
        <f aca="false">G72-C72</f>
        <v>5927606.66666667</v>
      </c>
      <c r="AD72" s="107" t="n">
        <f aca="false">N72-C72</f>
        <v>20298721.6666667</v>
      </c>
      <c r="AE72" s="107" t="n">
        <f aca="false">U72-C72</f>
        <v>49820650.25</v>
      </c>
      <c r="AF72" s="37"/>
      <c r="AG72" s="37"/>
    </row>
    <row r="73" customFormat="false" ht="15.75" hidden="false" customHeight="false" outlineLevel="0" collapsed="false">
      <c r="A73" s="103" t="s">
        <v>98</v>
      </c>
      <c r="B73" s="104" t="n">
        <f aca="false">B72+1</f>
        <v>45</v>
      </c>
      <c r="C73" s="105"/>
      <c r="D73" s="37"/>
      <c r="E73" s="106"/>
      <c r="G73" s="105" t="n">
        <f aca="false">$F$5/12</f>
        <v>5927606.66666667</v>
      </c>
      <c r="H73" s="37" t="n">
        <f aca="false">$G$35</f>
        <v>5927606.66666667</v>
      </c>
      <c r="I73" s="37"/>
      <c r="J73" s="37" t="n">
        <f aca="false">J72</f>
        <v>0</v>
      </c>
      <c r="K73" s="37"/>
      <c r="L73" s="37" t="n">
        <f aca="false">G73-H73-J73</f>
        <v>0</v>
      </c>
      <c r="M73" s="106"/>
      <c r="N73" s="105" t="n">
        <f aca="false">$F$6/12</f>
        <v>20298721.6666667</v>
      </c>
      <c r="O73" s="37" t="n">
        <f aca="false">$N$35</f>
        <v>24358466</v>
      </c>
      <c r="P73" s="37"/>
      <c r="Q73" s="37" t="n">
        <f aca="false">Q72</f>
        <v>-4059744.33333333</v>
      </c>
      <c r="R73" s="37"/>
      <c r="S73" s="37" t="n">
        <f aca="false">N73-O73-Q73</f>
        <v>0</v>
      </c>
      <c r="T73" s="106"/>
      <c r="U73" s="105" t="n">
        <f aca="false">$F$7/12</f>
        <v>49820650.25</v>
      </c>
      <c r="V73" s="37" t="n">
        <f aca="false">$U$35</f>
        <v>69748910.5</v>
      </c>
      <c r="W73" s="37"/>
      <c r="X73" s="37" t="n">
        <f aca="false">X72</f>
        <v>-19928260.25</v>
      </c>
      <c r="Y73" s="37"/>
      <c r="Z73" s="37" t="n">
        <f aca="false">U73-V73-X73</f>
        <v>0</v>
      </c>
      <c r="AA73" s="106"/>
      <c r="AB73" s="37"/>
      <c r="AC73" s="107" t="n">
        <f aca="false">G73-C73</f>
        <v>5927606.66666667</v>
      </c>
      <c r="AD73" s="107" t="n">
        <f aca="false">N73-C73</f>
        <v>20298721.6666667</v>
      </c>
      <c r="AE73" s="107" t="n">
        <f aca="false">U73-C73</f>
        <v>49820650.25</v>
      </c>
      <c r="AF73" s="37"/>
      <c r="AG73" s="37"/>
    </row>
    <row r="74" customFormat="false" ht="15.75" hidden="false" customHeight="false" outlineLevel="0" collapsed="false">
      <c r="A74" s="103" t="s">
        <v>99</v>
      </c>
      <c r="B74" s="104" t="n">
        <f aca="false">B73+1</f>
        <v>46</v>
      </c>
      <c r="C74" s="105"/>
      <c r="D74" s="37"/>
      <c r="E74" s="106"/>
      <c r="G74" s="105" t="n">
        <f aca="false">$F$5/12</f>
        <v>5927606.66666667</v>
      </c>
      <c r="H74" s="37" t="n">
        <f aca="false">$G$35</f>
        <v>5927606.66666667</v>
      </c>
      <c r="I74" s="37"/>
      <c r="J74" s="37" t="n">
        <f aca="false">J73</f>
        <v>0</v>
      </c>
      <c r="K74" s="37"/>
      <c r="L74" s="37" t="n">
        <f aca="false">G74-H74-J74</f>
        <v>0</v>
      </c>
      <c r="M74" s="106"/>
      <c r="N74" s="105" t="n">
        <f aca="false">$F$6/12</f>
        <v>20298721.6666667</v>
      </c>
      <c r="O74" s="37" t="n">
        <f aca="false">$N$35</f>
        <v>24358466</v>
      </c>
      <c r="P74" s="37"/>
      <c r="Q74" s="37" t="n">
        <f aca="false">Q73</f>
        <v>-4059744.33333333</v>
      </c>
      <c r="R74" s="37"/>
      <c r="S74" s="37" t="n">
        <f aca="false">N74-O74-Q74</f>
        <v>0</v>
      </c>
      <c r="T74" s="106"/>
      <c r="U74" s="105" t="n">
        <f aca="false">$F$7/12</f>
        <v>49820650.25</v>
      </c>
      <c r="V74" s="37" t="n">
        <f aca="false">$U$35</f>
        <v>69748910.5</v>
      </c>
      <c r="W74" s="37"/>
      <c r="X74" s="37" t="n">
        <f aca="false">X73</f>
        <v>-19928260.25</v>
      </c>
      <c r="Y74" s="37"/>
      <c r="Z74" s="37" t="n">
        <f aca="false">U74-V74-X74</f>
        <v>0</v>
      </c>
      <c r="AA74" s="106"/>
      <c r="AB74" s="37"/>
      <c r="AC74" s="107" t="n">
        <f aca="false">G74-C74</f>
        <v>5927606.66666667</v>
      </c>
      <c r="AD74" s="107" t="n">
        <f aca="false">N74-C74</f>
        <v>20298721.6666667</v>
      </c>
      <c r="AE74" s="107" t="n">
        <f aca="false">U74-C74</f>
        <v>49820650.25</v>
      </c>
      <c r="AF74" s="37"/>
      <c r="AG74" s="37"/>
    </row>
    <row r="75" customFormat="false" ht="15.75" hidden="false" customHeight="false" outlineLevel="0" collapsed="false">
      <c r="A75" s="103" t="s">
        <v>100</v>
      </c>
      <c r="B75" s="104" t="n">
        <f aca="false">B74+1</f>
        <v>47</v>
      </c>
      <c r="C75" s="105"/>
      <c r="D75" s="37"/>
      <c r="E75" s="106"/>
      <c r="G75" s="105" t="n">
        <f aca="false">$F$5/12</f>
        <v>5927606.66666667</v>
      </c>
      <c r="H75" s="37" t="n">
        <f aca="false">$G$35</f>
        <v>5927606.66666667</v>
      </c>
      <c r="I75" s="37"/>
      <c r="J75" s="37" t="n">
        <f aca="false">J74</f>
        <v>0</v>
      </c>
      <c r="K75" s="37"/>
      <c r="L75" s="37" t="n">
        <f aca="false">G75-H75-J75</f>
        <v>0</v>
      </c>
      <c r="M75" s="106"/>
      <c r="N75" s="105" t="n">
        <f aca="false">$F$6/12</f>
        <v>20298721.6666667</v>
      </c>
      <c r="O75" s="37" t="n">
        <f aca="false">$N$35</f>
        <v>24358466</v>
      </c>
      <c r="P75" s="37"/>
      <c r="Q75" s="37" t="n">
        <f aca="false">Q74</f>
        <v>-4059744.33333333</v>
      </c>
      <c r="R75" s="37"/>
      <c r="S75" s="37" t="n">
        <f aca="false">N75-O75-Q75</f>
        <v>0</v>
      </c>
      <c r="T75" s="106"/>
      <c r="U75" s="105" t="n">
        <f aca="false">$F$7/12</f>
        <v>49820650.25</v>
      </c>
      <c r="V75" s="37" t="n">
        <f aca="false">$U$35</f>
        <v>69748910.5</v>
      </c>
      <c r="W75" s="37"/>
      <c r="X75" s="37" t="n">
        <f aca="false">X74</f>
        <v>-19928260.25</v>
      </c>
      <c r="Y75" s="37"/>
      <c r="Z75" s="37" t="n">
        <f aca="false">U75-V75-X75</f>
        <v>0</v>
      </c>
      <c r="AA75" s="106"/>
      <c r="AB75" s="37"/>
      <c r="AC75" s="107" t="n">
        <f aca="false">G75-C75</f>
        <v>5927606.66666667</v>
      </c>
      <c r="AD75" s="107" t="n">
        <f aca="false">N75-C75</f>
        <v>20298721.6666667</v>
      </c>
      <c r="AE75" s="107" t="n">
        <f aca="false">U75-C75</f>
        <v>49820650.25</v>
      </c>
      <c r="AF75" s="37"/>
      <c r="AG75" s="37"/>
    </row>
    <row r="76" customFormat="false" ht="15.75" hidden="false" customHeight="false" outlineLevel="0" collapsed="false">
      <c r="A76" s="103" t="s">
        <v>101</v>
      </c>
      <c r="B76" s="104" t="n">
        <f aca="false">B75+1</f>
        <v>48</v>
      </c>
      <c r="C76" s="105"/>
      <c r="D76" s="37"/>
      <c r="E76" s="106"/>
      <c r="G76" s="105" t="n">
        <f aca="false">$F$5/12</f>
        <v>5927606.66666667</v>
      </c>
      <c r="H76" s="37" t="n">
        <f aca="false">$G$35</f>
        <v>5927606.66666667</v>
      </c>
      <c r="I76" s="37"/>
      <c r="J76" s="37" t="n">
        <f aca="false">J75</f>
        <v>0</v>
      </c>
      <c r="K76" s="37"/>
      <c r="L76" s="37" t="n">
        <f aca="false">G76-H76-J76</f>
        <v>0</v>
      </c>
      <c r="M76" s="106"/>
      <c r="N76" s="105" t="n">
        <f aca="false">$F$6/12</f>
        <v>20298721.6666667</v>
      </c>
      <c r="O76" s="37" t="n">
        <f aca="false">$N$35</f>
        <v>24358466</v>
      </c>
      <c r="P76" s="37"/>
      <c r="Q76" s="37" t="n">
        <f aca="false">Q75</f>
        <v>-4059744.33333333</v>
      </c>
      <c r="R76" s="37"/>
      <c r="S76" s="37" t="n">
        <f aca="false">N76-O76-Q76</f>
        <v>0</v>
      </c>
      <c r="T76" s="106"/>
      <c r="U76" s="105" t="n">
        <f aca="false">$F$7/12</f>
        <v>49820650.25</v>
      </c>
      <c r="V76" s="37" t="n">
        <f aca="false">$U$35</f>
        <v>69748910.5</v>
      </c>
      <c r="W76" s="37"/>
      <c r="X76" s="37" t="n">
        <f aca="false">X75</f>
        <v>-19928260.25</v>
      </c>
      <c r="Y76" s="37"/>
      <c r="Z76" s="37" t="n">
        <f aca="false">U76-V76-X76</f>
        <v>0</v>
      </c>
      <c r="AA76" s="106"/>
      <c r="AB76" s="37"/>
      <c r="AC76" s="107" t="n">
        <f aca="false">G76-C76</f>
        <v>5927606.66666667</v>
      </c>
      <c r="AD76" s="107" t="n">
        <f aca="false">N76-C76</f>
        <v>20298721.6666667</v>
      </c>
      <c r="AE76" s="107" t="n">
        <f aca="false">U76-C76</f>
        <v>49820650.25</v>
      </c>
      <c r="AF76" s="37"/>
      <c r="AG76" s="37"/>
    </row>
    <row r="77" customFormat="false" ht="15.75" hidden="false" customHeight="false" outlineLevel="0" collapsed="false">
      <c r="A77" s="103" t="s">
        <v>102</v>
      </c>
      <c r="B77" s="104" t="n">
        <f aca="false">B76+1</f>
        <v>49</v>
      </c>
      <c r="C77" s="105" t="n">
        <f aca="false">G9</f>
        <v>203000</v>
      </c>
      <c r="D77" s="86"/>
      <c r="E77" s="106" t="n">
        <f aca="false">PV($B$20,4,-C77)-E65-E53-E41</f>
        <v>138651.731439109</v>
      </c>
      <c r="G77" s="105" t="n">
        <f aca="false">$G$5/12</f>
        <v>5927606.66666667</v>
      </c>
      <c r="H77" s="37" t="n">
        <f aca="false">$G$35</f>
        <v>5927606.66666667</v>
      </c>
      <c r="I77" s="37"/>
      <c r="J77" s="37" t="n">
        <f aca="false">J76</f>
        <v>0</v>
      </c>
      <c r="K77" s="37"/>
      <c r="L77" s="37" t="n">
        <f aca="false">G77-H77-J77</f>
        <v>0</v>
      </c>
      <c r="M77" s="106"/>
      <c r="N77" s="105" t="n">
        <f aca="false">$G$6/12</f>
        <v>20298721.6666667</v>
      </c>
      <c r="O77" s="37" t="n">
        <f aca="false">$N$35</f>
        <v>24358466</v>
      </c>
      <c r="P77" s="37"/>
      <c r="Q77" s="37" t="n">
        <f aca="false">Q76</f>
        <v>-4059744.33333333</v>
      </c>
      <c r="R77" s="37"/>
      <c r="S77" s="37" t="n">
        <f aca="false">N77-O77-Q77</f>
        <v>0</v>
      </c>
      <c r="T77" s="106"/>
      <c r="U77" s="105" t="n">
        <f aca="false">$G$7/12</f>
        <v>49820650.25</v>
      </c>
      <c r="V77" s="37" t="n">
        <f aca="false">$U$35</f>
        <v>69748910.5</v>
      </c>
      <c r="W77" s="37"/>
      <c r="X77" s="37" t="n">
        <f aca="false">X76</f>
        <v>-19928260.25</v>
      </c>
      <c r="Y77" s="37"/>
      <c r="Z77" s="37" t="n">
        <f aca="false">U77-V77-X77</f>
        <v>0</v>
      </c>
      <c r="AA77" s="106"/>
      <c r="AB77" s="37"/>
      <c r="AC77" s="107" t="n">
        <f aca="false">G77-C77</f>
        <v>5724606.66666667</v>
      </c>
      <c r="AD77" s="107" t="n">
        <f aca="false">N77-C77</f>
        <v>20095721.6666667</v>
      </c>
      <c r="AE77" s="107" t="n">
        <f aca="false">U77-C77</f>
        <v>49617650.25</v>
      </c>
      <c r="AF77" s="37"/>
      <c r="AG77" s="37"/>
    </row>
    <row r="78" customFormat="false" ht="15.75" hidden="false" customHeight="false" outlineLevel="0" collapsed="false">
      <c r="A78" s="103" t="s">
        <v>103</v>
      </c>
      <c r="B78" s="104" t="n">
        <f aca="false">B77+1</f>
        <v>50</v>
      </c>
      <c r="C78" s="105"/>
      <c r="D78" s="37"/>
      <c r="E78" s="106"/>
      <c r="G78" s="105" t="n">
        <f aca="false">$G$5/12</f>
        <v>5927606.66666667</v>
      </c>
      <c r="H78" s="37" t="n">
        <f aca="false">$G$35</f>
        <v>5927606.66666667</v>
      </c>
      <c r="I78" s="37"/>
      <c r="J78" s="37" t="n">
        <f aca="false">J77</f>
        <v>0</v>
      </c>
      <c r="K78" s="37"/>
      <c r="L78" s="37" t="n">
        <f aca="false">G78-H78-J78</f>
        <v>0</v>
      </c>
      <c r="M78" s="106"/>
      <c r="N78" s="105" t="n">
        <f aca="false">$G$6/12</f>
        <v>20298721.6666667</v>
      </c>
      <c r="O78" s="37" t="n">
        <f aca="false">$N$35</f>
        <v>24358466</v>
      </c>
      <c r="P78" s="37"/>
      <c r="Q78" s="37" t="n">
        <f aca="false">Q77</f>
        <v>-4059744.33333333</v>
      </c>
      <c r="R78" s="37"/>
      <c r="S78" s="37" t="n">
        <f aca="false">N78-O78-Q78</f>
        <v>0</v>
      </c>
      <c r="T78" s="106"/>
      <c r="U78" s="105" t="n">
        <f aca="false">$G$7/12</f>
        <v>49820650.25</v>
      </c>
      <c r="V78" s="37" t="n">
        <f aca="false">$U$35</f>
        <v>69748910.5</v>
      </c>
      <c r="W78" s="37"/>
      <c r="X78" s="37" t="n">
        <f aca="false">X77</f>
        <v>-19928260.25</v>
      </c>
      <c r="Y78" s="37"/>
      <c r="Z78" s="37" t="n">
        <f aca="false">U78-V78-X78</f>
        <v>0</v>
      </c>
      <c r="AA78" s="106"/>
      <c r="AB78" s="37"/>
      <c r="AC78" s="107" t="n">
        <f aca="false">G78-C78</f>
        <v>5927606.66666667</v>
      </c>
      <c r="AD78" s="107" t="n">
        <f aca="false">N78-C78</f>
        <v>20298721.6666667</v>
      </c>
      <c r="AE78" s="107" t="n">
        <f aca="false">U78-C78</f>
        <v>49820650.25</v>
      </c>
      <c r="AF78" s="37"/>
      <c r="AG78" s="37"/>
    </row>
    <row r="79" customFormat="false" ht="15.75" hidden="false" customHeight="false" outlineLevel="0" collapsed="false">
      <c r="A79" s="103" t="s">
        <v>104</v>
      </c>
      <c r="B79" s="104" t="n">
        <f aca="false">B78+1</f>
        <v>51</v>
      </c>
      <c r="C79" s="105"/>
      <c r="D79" s="37"/>
      <c r="E79" s="106"/>
      <c r="G79" s="105" t="n">
        <f aca="false">$G$5/12</f>
        <v>5927606.66666667</v>
      </c>
      <c r="H79" s="37" t="n">
        <f aca="false">$G$35</f>
        <v>5927606.66666667</v>
      </c>
      <c r="I79" s="37"/>
      <c r="J79" s="37" t="n">
        <f aca="false">J78</f>
        <v>0</v>
      </c>
      <c r="K79" s="37"/>
      <c r="L79" s="37" t="n">
        <f aca="false">G79-H79-J79</f>
        <v>0</v>
      </c>
      <c r="M79" s="106"/>
      <c r="N79" s="105" t="n">
        <f aca="false">$G$6/12</f>
        <v>20298721.6666667</v>
      </c>
      <c r="O79" s="37" t="n">
        <f aca="false">$N$35</f>
        <v>24358466</v>
      </c>
      <c r="P79" s="37"/>
      <c r="Q79" s="37" t="n">
        <f aca="false">Q78</f>
        <v>-4059744.33333333</v>
      </c>
      <c r="R79" s="37"/>
      <c r="S79" s="37" t="n">
        <f aca="false">N79-O79-Q79</f>
        <v>0</v>
      </c>
      <c r="T79" s="106"/>
      <c r="U79" s="105" t="n">
        <f aca="false">$G$7/12</f>
        <v>49820650.25</v>
      </c>
      <c r="V79" s="37" t="n">
        <f aca="false">$U$35</f>
        <v>69748910.5</v>
      </c>
      <c r="W79" s="37"/>
      <c r="X79" s="37" t="n">
        <f aca="false">X78</f>
        <v>-19928260.25</v>
      </c>
      <c r="Y79" s="37"/>
      <c r="Z79" s="37" t="n">
        <f aca="false">U79-V79-X79</f>
        <v>0</v>
      </c>
      <c r="AA79" s="106"/>
      <c r="AB79" s="37"/>
      <c r="AC79" s="107" t="n">
        <f aca="false">G79-C79</f>
        <v>5927606.66666667</v>
      </c>
      <c r="AD79" s="107" t="n">
        <f aca="false">N79-C79</f>
        <v>20298721.6666667</v>
      </c>
      <c r="AE79" s="107" t="n">
        <f aca="false">U79-C79</f>
        <v>49820650.25</v>
      </c>
      <c r="AF79" s="37"/>
      <c r="AG79" s="37"/>
    </row>
    <row r="80" customFormat="false" ht="15.75" hidden="false" customHeight="false" outlineLevel="0" collapsed="false">
      <c r="A80" s="103" t="s">
        <v>105</v>
      </c>
      <c r="B80" s="104" t="n">
        <f aca="false">B79+1</f>
        <v>52</v>
      </c>
      <c r="C80" s="105"/>
      <c r="D80" s="37"/>
      <c r="E80" s="106"/>
      <c r="G80" s="105" t="n">
        <f aca="false">$G$5/12</f>
        <v>5927606.66666667</v>
      </c>
      <c r="H80" s="37" t="n">
        <f aca="false">$G$35</f>
        <v>5927606.66666667</v>
      </c>
      <c r="I80" s="37"/>
      <c r="J80" s="37" t="n">
        <f aca="false">J79</f>
        <v>0</v>
      </c>
      <c r="K80" s="37"/>
      <c r="L80" s="37" t="n">
        <f aca="false">G80-H80-J80</f>
        <v>0</v>
      </c>
      <c r="M80" s="106"/>
      <c r="N80" s="105" t="n">
        <f aca="false">$G$6/12</f>
        <v>20298721.6666667</v>
      </c>
      <c r="O80" s="37" t="n">
        <f aca="false">$N$35</f>
        <v>24358466</v>
      </c>
      <c r="P80" s="37"/>
      <c r="Q80" s="37" t="n">
        <f aca="false">Q79</f>
        <v>-4059744.33333333</v>
      </c>
      <c r="R80" s="37"/>
      <c r="S80" s="37" t="n">
        <f aca="false">N80-O80-Q80</f>
        <v>0</v>
      </c>
      <c r="T80" s="106"/>
      <c r="U80" s="105" t="n">
        <f aca="false">$G$7/12</f>
        <v>49820650.25</v>
      </c>
      <c r="V80" s="37" t="n">
        <f aca="false">$U$35</f>
        <v>69748910.5</v>
      </c>
      <c r="W80" s="37"/>
      <c r="X80" s="37" t="n">
        <f aca="false">X79</f>
        <v>-19928260.25</v>
      </c>
      <c r="Y80" s="37"/>
      <c r="Z80" s="37" t="n">
        <f aca="false">U80-V80-X80</f>
        <v>0</v>
      </c>
      <c r="AA80" s="106"/>
      <c r="AB80" s="37"/>
      <c r="AC80" s="107" t="n">
        <f aca="false">G80-C80</f>
        <v>5927606.66666667</v>
      </c>
      <c r="AD80" s="107" t="n">
        <f aca="false">N80-C80</f>
        <v>20298721.6666667</v>
      </c>
      <c r="AE80" s="107" t="n">
        <f aca="false">U80-C80</f>
        <v>49820650.25</v>
      </c>
      <c r="AF80" s="37"/>
      <c r="AG80" s="37"/>
    </row>
    <row r="81" customFormat="false" ht="15.75" hidden="false" customHeight="false" outlineLevel="0" collapsed="false">
      <c r="A81" s="103" t="s">
        <v>106</v>
      </c>
      <c r="B81" s="104" t="n">
        <f aca="false">B80+1</f>
        <v>53</v>
      </c>
      <c r="C81" s="105"/>
      <c r="D81" s="37"/>
      <c r="E81" s="106"/>
      <c r="G81" s="105" t="n">
        <f aca="false">$G$5/12</f>
        <v>5927606.66666667</v>
      </c>
      <c r="H81" s="37" t="n">
        <f aca="false">$G$35</f>
        <v>5927606.66666667</v>
      </c>
      <c r="I81" s="37"/>
      <c r="J81" s="37" t="n">
        <f aca="false">J80</f>
        <v>0</v>
      </c>
      <c r="K81" s="37"/>
      <c r="L81" s="37" t="n">
        <f aca="false">G81-H81-J81</f>
        <v>0</v>
      </c>
      <c r="M81" s="106"/>
      <c r="N81" s="105" t="n">
        <f aca="false">$G$6/12</f>
        <v>20298721.6666667</v>
      </c>
      <c r="O81" s="37" t="n">
        <f aca="false">$N$35</f>
        <v>24358466</v>
      </c>
      <c r="P81" s="37"/>
      <c r="Q81" s="37" t="n">
        <f aca="false">Q80</f>
        <v>-4059744.33333333</v>
      </c>
      <c r="R81" s="37"/>
      <c r="S81" s="37" t="n">
        <f aca="false">N81-O81-Q81</f>
        <v>0</v>
      </c>
      <c r="T81" s="106"/>
      <c r="U81" s="105" t="n">
        <f aca="false">$G$7/12</f>
        <v>49820650.25</v>
      </c>
      <c r="V81" s="37" t="n">
        <f aca="false">$U$35</f>
        <v>69748910.5</v>
      </c>
      <c r="W81" s="37"/>
      <c r="X81" s="37" t="n">
        <f aca="false">X80</f>
        <v>-19928260.25</v>
      </c>
      <c r="Y81" s="37"/>
      <c r="Z81" s="37" t="n">
        <f aca="false">U81-V81-X81</f>
        <v>0</v>
      </c>
      <c r="AA81" s="106"/>
      <c r="AB81" s="37"/>
      <c r="AC81" s="107" t="n">
        <f aca="false">G81-C81</f>
        <v>5927606.66666667</v>
      </c>
      <c r="AD81" s="107" t="n">
        <f aca="false">N81-C81</f>
        <v>20298721.6666667</v>
      </c>
      <c r="AE81" s="107" t="n">
        <f aca="false">U81-C81</f>
        <v>49820650.25</v>
      </c>
      <c r="AF81" s="37"/>
      <c r="AG81" s="37"/>
    </row>
    <row r="82" customFormat="false" ht="15.75" hidden="false" customHeight="false" outlineLevel="0" collapsed="false">
      <c r="A82" s="103" t="s">
        <v>107</v>
      </c>
      <c r="B82" s="104" t="n">
        <f aca="false">B81+1</f>
        <v>54</v>
      </c>
      <c r="C82" s="105"/>
      <c r="D82" s="37"/>
      <c r="E82" s="106"/>
      <c r="G82" s="105" t="n">
        <f aca="false">$G$5/12</f>
        <v>5927606.66666667</v>
      </c>
      <c r="H82" s="37" t="n">
        <f aca="false">$G$35</f>
        <v>5927606.66666667</v>
      </c>
      <c r="I82" s="37"/>
      <c r="J82" s="37" t="n">
        <f aca="false">J81</f>
        <v>0</v>
      </c>
      <c r="K82" s="37"/>
      <c r="L82" s="37" t="n">
        <f aca="false">G82-H82-J82</f>
        <v>0</v>
      </c>
      <c r="M82" s="106"/>
      <c r="N82" s="105" t="n">
        <f aca="false">$G$6/12</f>
        <v>20298721.6666667</v>
      </c>
      <c r="O82" s="37" t="n">
        <f aca="false">$N$35</f>
        <v>24358466</v>
      </c>
      <c r="P82" s="37"/>
      <c r="Q82" s="37" t="n">
        <f aca="false">Q81</f>
        <v>-4059744.33333333</v>
      </c>
      <c r="R82" s="37"/>
      <c r="S82" s="37" t="n">
        <f aca="false">N82-O82-Q82</f>
        <v>0</v>
      </c>
      <c r="T82" s="106"/>
      <c r="U82" s="105" t="n">
        <f aca="false">$G$7/12</f>
        <v>49820650.25</v>
      </c>
      <c r="V82" s="37" t="n">
        <f aca="false">$U$35</f>
        <v>69748910.5</v>
      </c>
      <c r="W82" s="37"/>
      <c r="X82" s="37" t="n">
        <f aca="false">X81</f>
        <v>-19928260.25</v>
      </c>
      <c r="Y82" s="37"/>
      <c r="Z82" s="37" t="n">
        <f aca="false">U82-V82-X82</f>
        <v>0</v>
      </c>
      <c r="AA82" s="106"/>
      <c r="AB82" s="37"/>
      <c r="AC82" s="107" t="n">
        <f aca="false">G82-C82</f>
        <v>5927606.66666667</v>
      </c>
      <c r="AD82" s="107" t="n">
        <f aca="false">N82-C82</f>
        <v>20298721.6666667</v>
      </c>
      <c r="AE82" s="107" t="n">
        <f aca="false">U82-C82</f>
        <v>49820650.25</v>
      </c>
      <c r="AF82" s="37"/>
      <c r="AG82" s="37"/>
    </row>
    <row r="83" customFormat="false" ht="15.75" hidden="false" customHeight="false" outlineLevel="0" collapsed="false">
      <c r="A83" s="103" t="s">
        <v>108</v>
      </c>
      <c r="B83" s="104" t="n">
        <f aca="false">B82+1</f>
        <v>55</v>
      </c>
      <c r="C83" s="105"/>
      <c r="D83" s="37"/>
      <c r="E83" s="106"/>
      <c r="G83" s="105" t="n">
        <f aca="false">$G$5/12</f>
        <v>5927606.66666667</v>
      </c>
      <c r="H83" s="37" t="n">
        <f aca="false">$G$35</f>
        <v>5927606.66666667</v>
      </c>
      <c r="I83" s="37"/>
      <c r="J83" s="37" t="n">
        <f aca="false">J82</f>
        <v>0</v>
      </c>
      <c r="K83" s="37"/>
      <c r="L83" s="37" t="n">
        <f aca="false">G83-H83-J83</f>
        <v>0</v>
      </c>
      <c r="M83" s="106"/>
      <c r="N83" s="105" t="n">
        <f aca="false">$G$6/12</f>
        <v>20298721.6666667</v>
      </c>
      <c r="O83" s="37" t="n">
        <f aca="false">$N$35</f>
        <v>24358466</v>
      </c>
      <c r="P83" s="37"/>
      <c r="Q83" s="37" t="n">
        <f aca="false">Q82</f>
        <v>-4059744.33333333</v>
      </c>
      <c r="R83" s="37"/>
      <c r="S83" s="37" t="n">
        <f aca="false">N83-O83-Q83</f>
        <v>0</v>
      </c>
      <c r="T83" s="106"/>
      <c r="U83" s="105" t="n">
        <f aca="false">$G$7/12</f>
        <v>49820650.25</v>
      </c>
      <c r="V83" s="37" t="n">
        <f aca="false">$U$35</f>
        <v>69748910.5</v>
      </c>
      <c r="W83" s="37"/>
      <c r="X83" s="37" t="n">
        <f aca="false">X82</f>
        <v>-19928260.25</v>
      </c>
      <c r="Y83" s="37"/>
      <c r="Z83" s="37" t="n">
        <f aca="false">U83-V83-X83</f>
        <v>0</v>
      </c>
      <c r="AA83" s="106"/>
      <c r="AB83" s="37"/>
      <c r="AC83" s="107" t="n">
        <f aca="false">G83-C83</f>
        <v>5927606.66666667</v>
      </c>
      <c r="AD83" s="107" t="n">
        <f aca="false">N83-C83</f>
        <v>20298721.6666667</v>
      </c>
      <c r="AE83" s="107" t="n">
        <f aca="false">U83-C83</f>
        <v>49820650.25</v>
      </c>
      <c r="AF83" s="37"/>
      <c r="AG83" s="37"/>
    </row>
    <row r="84" customFormat="false" ht="15.75" hidden="false" customHeight="false" outlineLevel="0" collapsed="false">
      <c r="A84" s="103" t="s">
        <v>109</v>
      </c>
      <c r="B84" s="104" t="n">
        <f aca="false">B83+1</f>
        <v>56</v>
      </c>
      <c r="C84" s="105"/>
      <c r="D84" s="37"/>
      <c r="E84" s="106"/>
      <c r="G84" s="105" t="n">
        <f aca="false">$G$5/12</f>
        <v>5927606.66666667</v>
      </c>
      <c r="H84" s="37" t="n">
        <f aca="false">$G$35</f>
        <v>5927606.66666667</v>
      </c>
      <c r="I84" s="37"/>
      <c r="J84" s="37" t="n">
        <f aca="false">J83</f>
        <v>0</v>
      </c>
      <c r="K84" s="37"/>
      <c r="L84" s="37" t="n">
        <f aca="false">G84-H84-J84</f>
        <v>0</v>
      </c>
      <c r="M84" s="106"/>
      <c r="N84" s="105" t="n">
        <f aca="false">$G$6/12</f>
        <v>20298721.6666667</v>
      </c>
      <c r="O84" s="37" t="n">
        <f aca="false">$N$35</f>
        <v>24358466</v>
      </c>
      <c r="P84" s="37"/>
      <c r="Q84" s="37" t="n">
        <f aca="false">Q83</f>
        <v>-4059744.33333333</v>
      </c>
      <c r="R84" s="37"/>
      <c r="S84" s="37" t="n">
        <f aca="false">N84-O84-Q84</f>
        <v>0</v>
      </c>
      <c r="T84" s="106"/>
      <c r="U84" s="105" t="n">
        <f aca="false">$G$7/12</f>
        <v>49820650.25</v>
      </c>
      <c r="V84" s="37" t="n">
        <f aca="false">$U$35</f>
        <v>69748910.5</v>
      </c>
      <c r="W84" s="37"/>
      <c r="X84" s="37" t="n">
        <f aca="false">X83</f>
        <v>-19928260.25</v>
      </c>
      <c r="Y84" s="37"/>
      <c r="Z84" s="37" t="n">
        <f aca="false">U84-V84-X84</f>
        <v>0</v>
      </c>
      <c r="AA84" s="106"/>
      <c r="AB84" s="37"/>
      <c r="AC84" s="107" t="n">
        <f aca="false">G84-C84</f>
        <v>5927606.66666667</v>
      </c>
      <c r="AD84" s="107" t="n">
        <f aca="false">N84-C84</f>
        <v>20298721.6666667</v>
      </c>
      <c r="AE84" s="107" t="n">
        <f aca="false">U84-C84</f>
        <v>49820650.25</v>
      </c>
      <c r="AF84" s="37"/>
      <c r="AG84" s="37"/>
    </row>
    <row r="85" customFormat="false" ht="15.75" hidden="false" customHeight="false" outlineLevel="0" collapsed="false">
      <c r="A85" s="103" t="s">
        <v>110</v>
      </c>
      <c r="B85" s="104" t="n">
        <f aca="false">B84+1</f>
        <v>57</v>
      </c>
      <c r="C85" s="105"/>
      <c r="D85" s="37"/>
      <c r="E85" s="106"/>
      <c r="G85" s="105" t="n">
        <f aca="false">$G$5/12</f>
        <v>5927606.66666667</v>
      </c>
      <c r="H85" s="37" t="n">
        <f aca="false">$G$35</f>
        <v>5927606.66666667</v>
      </c>
      <c r="I85" s="37"/>
      <c r="J85" s="37" t="n">
        <f aca="false">J84</f>
        <v>0</v>
      </c>
      <c r="K85" s="37"/>
      <c r="L85" s="37" t="n">
        <f aca="false">G85-H85-J85</f>
        <v>0</v>
      </c>
      <c r="M85" s="106"/>
      <c r="N85" s="105" t="n">
        <f aca="false">$G$6/12</f>
        <v>20298721.6666667</v>
      </c>
      <c r="O85" s="37" t="n">
        <f aca="false">$N$35</f>
        <v>24358466</v>
      </c>
      <c r="P85" s="37"/>
      <c r="Q85" s="37" t="n">
        <f aca="false">Q84</f>
        <v>-4059744.33333333</v>
      </c>
      <c r="R85" s="37"/>
      <c r="S85" s="37" t="n">
        <f aca="false">N85-O85-Q85</f>
        <v>0</v>
      </c>
      <c r="T85" s="106"/>
      <c r="U85" s="105" t="n">
        <f aca="false">$G$7/12</f>
        <v>49820650.25</v>
      </c>
      <c r="V85" s="37" t="n">
        <f aca="false">$U$35</f>
        <v>69748910.5</v>
      </c>
      <c r="W85" s="37"/>
      <c r="X85" s="37" t="n">
        <f aca="false">X84</f>
        <v>-19928260.25</v>
      </c>
      <c r="Y85" s="37"/>
      <c r="Z85" s="37" t="n">
        <f aca="false">U85-V85-X85</f>
        <v>0</v>
      </c>
      <c r="AA85" s="106"/>
      <c r="AB85" s="37"/>
      <c r="AC85" s="107" t="n">
        <f aca="false">G85-C85</f>
        <v>5927606.66666667</v>
      </c>
      <c r="AD85" s="107" t="n">
        <f aca="false">N85-C85</f>
        <v>20298721.6666667</v>
      </c>
      <c r="AE85" s="107" t="n">
        <f aca="false">U85-C85</f>
        <v>49820650.25</v>
      </c>
      <c r="AF85" s="37"/>
      <c r="AG85" s="37"/>
    </row>
    <row r="86" customFormat="false" ht="15.75" hidden="false" customHeight="false" outlineLevel="0" collapsed="false">
      <c r="A86" s="103" t="s">
        <v>111</v>
      </c>
      <c r="B86" s="104" t="n">
        <f aca="false">B85+1</f>
        <v>58</v>
      </c>
      <c r="C86" s="105"/>
      <c r="D86" s="37"/>
      <c r="E86" s="106"/>
      <c r="G86" s="105" t="n">
        <f aca="false">$G$5/12</f>
        <v>5927606.66666667</v>
      </c>
      <c r="H86" s="37" t="n">
        <f aca="false">$G$35</f>
        <v>5927606.66666667</v>
      </c>
      <c r="I86" s="37"/>
      <c r="J86" s="37" t="n">
        <f aca="false">J85</f>
        <v>0</v>
      </c>
      <c r="K86" s="37"/>
      <c r="L86" s="37" t="n">
        <f aca="false">G86-H86-J86</f>
        <v>0</v>
      </c>
      <c r="M86" s="106"/>
      <c r="N86" s="105" t="n">
        <f aca="false">$G$6/12</f>
        <v>20298721.6666667</v>
      </c>
      <c r="O86" s="37" t="n">
        <f aca="false">$N$35</f>
        <v>24358466</v>
      </c>
      <c r="P86" s="37"/>
      <c r="Q86" s="37" t="n">
        <f aca="false">Q85</f>
        <v>-4059744.33333333</v>
      </c>
      <c r="R86" s="37"/>
      <c r="S86" s="37" t="n">
        <f aca="false">N86-O86-Q86</f>
        <v>0</v>
      </c>
      <c r="T86" s="106"/>
      <c r="U86" s="105" t="n">
        <f aca="false">$G$7/12</f>
        <v>49820650.25</v>
      </c>
      <c r="V86" s="37" t="n">
        <f aca="false">$U$35</f>
        <v>69748910.5</v>
      </c>
      <c r="W86" s="37"/>
      <c r="X86" s="37" t="n">
        <f aca="false">X85</f>
        <v>-19928260.25</v>
      </c>
      <c r="Y86" s="37"/>
      <c r="Z86" s="37" t="n">
        <f aca="false">U86-V86-X86</f>
        <v>0</v>
      </c>
      <c r="AA86" s="106"/>
      <c r="AB86" s="37"/>
      <c r="AC86" s="107" t="n">
        <f aca="false">G86-C86</f>
        <v>5927606.66666667</v>
      </c>
      <c r="AD86" s="107" t="n">
        <f aca="false">N86-C86</f>
        <v>20298721.6666667</v>
      </c>
      <c r="AE86" s="107" t="n">
        <f aca="false">U86-C86</f>
        <v>49820650.25</v>
      </c>
      <c r="AF86" s="37"/>
      <c r="AG86" s="37"/>
    </row>
    <row r="87" customFormat="false" ht="15.75" hidden="false" customHeight="false" outlineLevel="0" collapsed="false">
      <c r="A87" s="103" t="s">
        <v>112</v>
      </c>
      <c r="B87" s="104" t="n">
        <f aca="false">B86+1</f>
        <v>59</v>
      </c>
      <c r="C87" s="105"/>
      <c r="D87" s="37"/>
      <c r="E87" s="106"/>
      <c r="G87" s="105" t="n">
        <f aca="false">$G$5/12</f>
        <v>5927606.66666667</v>
      </c>
      <c r="H87" s="37" t="n">
        <f aca="false">$G$35</f>
        <v>5927606.66666667</v>
      </c>
      <c r="I87" s="37"/>
      <c r="J87" s="37" t="n">
        <f aca="false">J86</f>
        <v>0</v>
      </c>
      <c r="K87" s="37"/>
      <c r="L87" s="37" t="n">
        <f aca="false">G87-H87-J87</f>
        <v>0</v>
      </c>
      <c r="M87" s="106"/>
      <c r="N87" s="105" t="n">
        <f aca="false">$G$6/12</f>
        <v>20298721.6666667</v>
      </c>
      <c r="O87" s="37" t="n">
        <f aca="false">$N$35</f>
        <v>24358466</v>
      </c>
      <c r="P87" s="37"/>
      <c r="Q87" s="37" t="n">
        <f aca="false">Q86</f>
        <v>-4059744.33333333</v>
      </c>
      <c r="R87" s="37"/>
      <c r="S87" s="37" t="n">
        <f aca="false">N87-O87-Q87</f>
        <v>0</v>
      </c>
      <c r="T87" s="106"/>
      <c r="U87" s="105" t="n">
        <f aca="false">$G$7/12</f>
        <v>49820650.25</v>
      </c>
      <c r="V87" s="37" t="n">
        <f aca="false">$U$35</f>
        <v>69748910.5</v>
      </c>
      <c r="W87" s="37"/>
      <c r="X87" s="37" t="n">
        <f aca="false">X86</f>
        <v>-19928260.25</v>
      </c>
      <c r="Y87" s="37"/>
      <c r="Z87" s="37" t="n">
        <f aca="false">U87-V87-X87</f>
        <v>0</v>
      </c>
      <c r="AA87" s="106"/>
      <c r="AB87" s="37"/>
      <c r="AC87" s="107" t="n">
        <f aca="false">G87-C87</f>
        <v>5927606.66666667</v>
      </c>
      <c r="AD87" s="107" t="n">
        <f aca="false">N87-C87</f>
        <v>20298721.6666667</v>
      </c>
      <c r="AE87" s="107" t="n">
        <f aca="false">U87-C87</f>
        <v>49820650.25</v>
      </c>
      <c r="AF87" s="37"/>
      <c r="AG87" s="37"/>
    </row>
    <row r="88" customFormat="false" ht="15.75" hidden="false" customHeight="false" outlineLevel="0" collapsed="false">
      <c r="A88" s="103" t="s">
        <v>113</v>
      </c>
      <c r="B88" s="104" t="n">
        <f aca="false">B87+1</f>
        <v>60</v>
      </c>
      <c r="C88" s="108"/>
      <c r="D88" s="109"/>
      <c r="E88" s="110"/>
      <c r="F88" s="86"/>
      <c r="G88" s="108" t="n">
        <f aca="false">$G$5/12</f>
        <v>5927606.66666667</v>
      </c>
      <c r="H88" s="109" t="n">
        <f aca="false">$G$35</f>
        <v>5927606.66666667</v>
      </c>
      <c r="I88" s="109"/>
      <c r="J88" s="109" t="n">
        <f aca="false">J87</f>
        <v>0</v>
      </c>
      <c r="K88" s="109"/>
      <c r="L88" s="109" t="n">
        <f aca="false">G88-H88-J88</f>
        <v>0</v>
      </c>
      <c r="M88" s="110"/>
      <c r="N88" s="108" t="n">
        <f aca="false">$G$6/12</f>
        <v>20298721.6666667</v>
      </c>
      <c r="O88" s="109" t="n">
        <f aca="false">$N$35</f>
        <v>24358466</v>
      </c>
      <c r="P88" s="109"/>
      <c r="Q88" s="109" t="n">
        <f aca="false">Q87</f>
        <v>-4059744.33333333</v>
      </c>
      <c r="R88" s="109"/>
      <c r="S88" s="109" t="n">
        <f aca="false">N88-O88-Q88</f>
        <v>0</v>
      </c>
      <c r="T88" s="110"/>
      <c r="U88" s="108" t="n">
        <f aca="false">$G$7/12</f>
        <v>49820650.25</v>
      </c>
      <c r="V88" s="109" t="n">
        <f aca="false">$U$35</f>
        <v>69748910.5</v>
      </c>
      <c r="W88" s="109"/>
      <c r="X88" s="109" t="n">
        <f aca="false">X87</f>
        <v>-19928260.25</v>
      </c>
      <c r="Y88" s="109"/>
      <c r="Z88" s="109" t="n">
        <f aca="false">U88-V88-X88</f>
        <v>0</v>
      </c>
      <c r="AA88" s="110"/>
      <c r="AB88" s="37"/>
      <c r="AC88" s="107" t="n">
        <f aca="false">G88-C88</f>
        <v>5927606.66666667</v>
      </c>
      <c r="AD88" s="107" t="n">
        <f aca="false">N88-C88</f>
        <v>20298721.6666667</v>
      </c>
      <c r="AE88" s="107" t="n">
        <f aca="false">U88-C88</f>
        <v>49820650.25</v>
      </c>
      <c r="AF88" s="37"/>
      <c r="AG88" s="37"/>
    </row>
    <row r="89" customFormat="false" ht="15.75" hidden="false" customHeight="false" outlineLevel="0" collapsed="false">
      <c r="A89" s="26" t="s">
        <v>8</v>
      </c>
      <c r="B89" s="104"/>
      <c r="C89" s="108" t="n">
        <f aca="false">SUM(C29:C88)</f>
        <v>2030000</v>
      </c>
      <c r="D89" s="109" t="n">
        <f aca="false">SUM(D29:D88)</f>
        <v>1183249.88534657</v>
      </c>
      <c r="E89" s="110" t="n">
        <f aca="false">SUM(E29:E88)</f>
        <v>643482.685608907</v>
      </c>
      <c r="G89" s="108" t="n">
        <f aca="false">SUM(G29:G88)</f>
        <v>320090760</v>
      </c>
      <c r="H89" s="109" t="n">
        <f aca="false">SUM(H29:H88)</f>
        <v>355656400</v>
      </c>
      <c r="I89" s="109" t="n">
        <f aca="false">SUM(I29:I88)</f>
        <v>-35565640</v>
      </c>
      <c r="J89" s="109" t="n">
        <f aca="false">SUM(J29:J88)</f>
        <v>0</v>
      </c>
      <c r="K89" s="109" t="n">
        <f aca="false">SUM(K29:K88)</f>
        <v>0</v>
      </c>
      <c r="L89" s="109" t="n">
        <f aca="false">SUM(L29:L88)</f>
        <v>0</v>
      </c>
      <c r="M89" s="110" t="n">
        <f aca="false">SUM(M29:M88)</f>
        <v>0</v>
      </c>
      <c r="N89" s="108" t="n">
        <f aca="false">SUM(N29:N88)</f>
        <v>1120489436</v>
      </c>
      <c r="O89" s="109" t="n">
        <f aca="false">SUM(O29:O88)</f>
        <v>1461507960</v>
      </c>
      <c r="P89" s="109" t="n">
        <f aca="false">SUM(P29:P88)</f>
        <v>-146150796</v>
      </c>
      <c r="Q89" s="109" t="n">
        <f aca="false">SUM(Q29:Q88)</f>
        <v>-243584660</v>
      </c>
      <c r="R89" s="109" t="n">
        <f aca="false">SUM(R29:R88)</f>
        <v>48716932</v>
      </c>
      <c r="S89" s="109" t="n">
        <f aca="false">SUM(S29:S88)</f>
        <v>0</v>
      </c>
      <c r="T89" s="110" t="n">
        <f aca="false">SUM(T29:T88)</f>
        <v>0</v>
      </c>
      <c r="U89" s="108" t="n">
        <f aca="false">SUM(U29:U88)</f>
        <v>2809884675</v>
      </c>
      <c r="V89" s="109" t="n">
        <f aca="false">SUM(V29:V88)</f>
        <v>4184934630</v>
      </c>
      <c r="W89" s="109" t="n">
        <f aca="false">SUM(W29:W88)</f>
        <v>-418493463</v>
      </c>
      <c r="X89" s="109" t="n">
        <f aca="false">SUM(X29:X88)</f>
        <v>-1195695615</v>
      </c>
      <c r="Y89" s="109" t="n">
        <f aca="false">SUM(Y29:Y88)</f>
        <v>239139123</v>
      </c>
      <c r="Z89" s="109" t="n">
        <f aca="false">SUM(Z29:Z88)</f>
        <v>0</v>
      </c>
      <c r="AA89" s="110" t="n">
        <f aca="false">SUM(AA29:AA88)</f>
        <v>0</v>
      </c>
      <c r="AB89" s="37"/>
      <c r="AC89" s="111" t="n">
        <f aca="false">SUM(AC29:AC88)</f>
        <v>318060760</v>
      </c>
      <c r="AD89" s="111" t="n">
        <f aca="false">SUM(AD29:AD88)</f>
        <v>1118459436</v>
      </c>
      <c r="AE89" s="111" t="n">
        <f aca="false">SUM(AE29:AE88)</f>
        <v>2807854675</v>
      </c>
      <c r="AF89" s="37"/>
      <c r="AG89" s="37"/>
    </row>
    <row r="90" customFormat="false" ht="15.75" hidden="false" customHeight="false" outlineLevel="0" collapsed="false">
      <c r="B90" s="104"/>
      <c r="D90" s="37"/>
      <c r="E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</row>
    <row r="91" customFormat="false" ht="11.25" hidden="false" customHeight="false" outlineLevel="0" collapsed="false">
      <c r="A91" s="112"/>
      <c r="B91" s="113" t="s">
        <v>114</v>
      </c>
      <c r="C91" s="114"/>
      <c r="D91" s="114"/>
      <c r="E91" s="114"/>
      <c r="F91" s="112"/>
      <c r="G91" s="114" t="n">
        <f aca="false">SUM(H89:M89)-G89</f>
        <v>0</v>
      </c>
      <c r="H91" s="114"/>
      <c r="I91" s="114"/>
      <c r="J91" s="114"/>
      <c r="K91" s="114"/>
      <c r="L91" s="114"/>
      <c r="M91" s="114"/>
      <c r="N91" s="114" t="n">
        <f aca="false">SUM(O89:T89)-N89</f>
        <v>0</v>
      </c>
      <c r="O91" s="114"/>
      <c r="P91" s="114"/>
      <c r="Q91" s="114"/>
      <c r="R91" s="114"/>
      <c r="S91" s="114"/>
      <c r="T91" s="114"/>
      <c r="U91" s="114" t="n">
        <f aca="false">SUM(V89:AA89)-U89</f>
        <v>0</v>
      </c>
      <c r="V91" s="114"/>
      <c r="W91" s="114"/>
      <c r="X91" s="114"/>
      <c r="Y91" s="114"/>
      <c r="Z91" s="114"/>
      <c r="AA91" s="114"/>
      <c r="AB91" s="114"/>
      <c r="AC91" s="114" t="n">
        <f aca="false">H5-$H$9-AC89</f>
        <v>0</v>
      </c>
      <c r="AD91" s="114" t="n">
        <f aca="false">H6-$H$9-AD89</f>
        <v>0</v>
      </c>
      <c r="AE91" s="114" t="n">
        <f aca="false">H7-$H$9-AE89</f>
        <v>0</v>
      </c>
      <c r="AF91" s="114"/>
      <c r="AG91" s="114"/>
      <c r="AH91" s="112"/>
      <c r="AI91" s="112"/>
      <c r="AJ91" s="112"/>
      <c r="AK91" s="112"/>
      <c r="AL91" s="112"/>
      <c r="AM91" s="112"/>
      <c r="AN91" s="112"/>
      <c r="AO91" s="112"/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12"/>
      <c r="BI91" s="112"/>
      <c r="BJ91" s="112"/>
      <c r="BK91" s="112"/>
      <c r="BL91" s="112"/>
      <c r="BM91" s="112"/>
      <c r="BN91" s="112"/>
      <c r="BO91" s="112"/>
      <c r="BP91" s="112"/>
      <c r="BQ91" s="112"/>
      <c r="BR91" s="112"/>
      <c r="BS91" s="112"/>
      <c r="BT91" s="112"/>
      <c r="BU91" s="112"/>
      <c r="BV91" s="112"/>
      <c r="BW91" s="112"/>
      <c r="BX91" s="112"/>
      <c r="BY91" s="112"/>
      <c r="BZ91" s="112"/>
      <c r="CA91" s="112"/>
      <c r="CB91" s="112"/>
      <c r="CC91" s="112"/>
      <c r="CD91" s="112"/>
      <c r="CE91" s="112"/>
      <c r="CF91" s="112"/>
      <c r="CG91" s="112"/>
      <c r="CH91" s="112"/>
      <c r="CI91" s="112"/>
      <c r="CJ91" s="112"/>
      <c r="CK91" s="112"/>
      <c r="CL91" s="112"/>
      <c r="CM91" s="112"/>
      <c r="CN91" s="112"/>
      <c r="CO91" s="112"/>
      <c r="CP91" s="112"/>
      <c r="CQ91" s="112"/>
      <c r="CR91" s="112"/>
      <c r="CS91" s="112"/>
      <c r="CT91" s="112"/>
      <c r="CU91" s="112"/>
      <c r="CV91" s="112"/>
      <c r="CW91" s="112"/>
      <c r="CX91" s="112"/>
      <c r="CY91" s="112"/>
      <c r="CZ91" s="112"/>
      <c r="DA91" s="112"/>
      <c r="DB91" s="112"/>
      <c r="DC91" s="112"/>
      <c r="DD91" s="112"/>
      <c r="DE91" s="112"/>
      <c r="DF91" s="112"/>
      <c r="DG91" s="112"/>
      <c r="DH91" s="112"/>
      <c r="DI91" s="112"/>
      <c r="DJ91" s="112"/>
      <c r="DK91" s="112"/>
      <c r="DL91" s="112"/>
      <c r="DM91" s="112"/>
      <c r="DN91" s="112"/>
      <c r="DO91" s="112"/>
      <c r="DP91" s="112"/>
      <c r="DQ91" s="112"/>
      <c r="DR91" s="112"/>
      <c r="DS91" s="112"/>
      <c r="DT91" s="112"/>
      <c r="DU91" s="112"/>
      <c r="DV91" s="112"/>
      <c r="DW91" s="112"/>
      <c r="DX91" s="112"/>
      <c r="DY91" s="112"/>
      <c r="DZ91" s="112"/>
      <c r="EA91" s="112"/>
      <c r="EB91" s="112"/>
      <c r="EC91" s="112"/>
      <c r="ED91" s="112"/>
      <c r="EE91" s="112"/>
      <c r="EF91" s="112"/>
      <c r="EG91" s="112"/>
      <c r="EH91" s="112"/>
      <c r="EI91" s="112"/>
      <c r="EJ91" s="112"/>
      <c r="EK91" s="112"/>
      <c r="EL91" s="112"/>
      <c r="EM91" s="112"/>
      <c r="EN91" s="112"/>
      <c r="EO91" s="112"/>
      <c r="EP91" s="112"/>
      <c r="EQ91" s="112"/>
      <c r="ER91" s="112"/>
      <c r="ES91" s="112"/>
      <c r="ET91" s="112"/>
      <c r="EU91" s="112"/>
      <c r="EV91" s="112"/>
      <c r="EW91" s="112"/>
      <c r="EX91" s="112"/>
      <c r="EY91" s="112"/>
      <c r="EZ91" s="112"/>
      <c r="FA91" s="112"/>
      <c r="FB91" s="112"/>
      <c r="FC91" s="112"/>
      <c r="FD91" s="112"/>
      <c r="FE91" s="112"/>
      <c r="FF91" s="112"/>
      <c r="FG91" s="112"/>
      <c r="FH91" s="112"/>
      <c r="FI91" s="112"/>
      <c r="FJ91" s="112"/>
      <c r="FK91" s="112"/>
      <c r="FL91" s="112"/>
      <c r="FM91" s="112"/>
      <c r="FN91" s="112"/>
      <c r="FO91" s="112"/>
      <c r="FP91" s="112"/>
      <c r="FQ91" s="112"/>
      <c r="FR91" s="112"/>
      <c r="FS91" s="112"/>
      <c r="FT91" s="112"/>
      <c r="FU91" s="112"/>
      <c r="FV91" s="112"/>
      <c r="FW91" s="112"/>
      <c r="FX91" s="112"/>
      <c r="FY91" s="112"/>
      <c r="FZ91" s="112"/>
      <c r="GA91" s="112"/>
      <c r="GB91" s="112"/>
      <c r="GC91" s="112"/>
      <c r="GD91" s="112"/>
      <c r="GE91" s="112"/>
      <c r="GF91" s="112"/>
      <c r="GG91" s="112"/>
      <c r="GH91" s="112"/>
      <c r="GI91" s="112"/>
      <c r="GJ91" s="112"/>
      <c r="GK91" s="112"/>
      <c r="GL91" s="112"/>
      <c r="GM91" s="112"/>
      <c r="GN91" s="112"/>
      <c r="GO91" s="112"/>
      <c r="GP91" s="112"/>
      <c r="GQ91" s="112"/>
      <c r="GR91" s="112"/>
      <c r="GS91" s="112"/>
      <c r="GT91" s="112"/>
      <c r="GU91" s="112"/>
      <c r="GV91" s="112"/>
      <c r="GW91" s="112"/>
      <c r="GX91" s="112"/>
      <c r="GY91" s="112"/>
      <c r="GZ91" s="112"/>
      <c r="HA91" s="112"/>
      <c r="HB91" s="112"/>
      <c r="HC91" s="112"/>
      <c r="HD91" s="112"/>
      <c r="HE91" s="112"/>
      <c r="HF91" s="112"/>
      <c r="HG91" s="112"/>
      <c r="HH91" s="112"/>
      <c r="HI91" s="112"/>
      <c r="HJ91" s="112"/>
      <c r="HK91" s="112"/>
      <c r="HL91" s="112"/>
      <c r="HM91" s="112"/>
      <c r="HN91" s="112"/>
      <c r="HO91" s="112"/>
      <c r="HP91" s="112"/>
      <c r="HQ91" s="112"/>
      <c r="HR91" s="112"/>
      <c r="HS91" s="112"/>
      <c r="HT91" s="112"/>
      <c r="HU91" s="112"/>
      <c r="HV91" s="112"/>
      <c r="HW91" s="112"/>
      <c r="HX91" s="112"/>
      <c r="HY91" s="112"/>
      <c r="HZ91" s="112"/>
      <c r="IA91" s="112"/>
      <c r="IB91" s="112"/>
      <c r="IC91" s="112"/>
      <c r="ID91" s="112"/>
      <c r="IE91" s="112"/>
      <c r="IF91" s="112"/>
      <c r="IG91" s="112"/>
      <c r="IH91" s="112"/>
      <c r="II91" s="112"/>
      <c r="IJ91" s="112"/>
      <c r="IK91" s="112"/>
      <c r="IL91" s="112"/>
      <c r="IM91" s="112"/>
      <c r="IN91" s="112"/>
      <c r="IO91" s="112"/>
      <c r="IP91" s="112"/>
      <c r="IQ91" s="112"/>
      <c r="IR91" s="112"/>
      <c r="IS91" s="112"/>
      <c r="IT91" s="112"/>
      <c r="IU91" s="112"/>
      <c r="IV91" s="112"/>
      <c r="IW91" s="112"/>
    </row>
    <row r="92" customFormat="false" ht="15.75" hidden="false" customHeight="false" outlineLevel="0" collapsed="false">
      <c r="B92" s="104"/>
      <c r="D92" s="37"/>
      <c r="E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D92" s="37"/>
      <c r="AE92" s="37"/>
      <c r="AF92" s="37"/>
      <c r="AG92" s="37"/>
    </row>
    <row r="93" customFormat="false" ht="15.75" hidden="false" customHeight="false" outlineLevel="0" collapsed="false">
      <c r="B93" s="104"/>
      <c r="D93" s="37"/>
      <c r="E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D93" s="37"/>
      <c r="AE93" s="37"/>
      <c r="AF93" s="37"/>
      <c r="AG93" s="37"/>
    </row>
    <row r="94" customFormat="false" ht="15.75" hidden="false" customHeight="false" outlineLevel="0" collapsed="false">
      <c r="B94" s="104"/>
      <c r="D94" s="37"/>
      <c r="E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</row>
    <row r="95" customFormat="false" ht="15.75" hidden="false" customHeight="false" outlineLevel="0" collapsed="false">
      <c r="B95" s="104"/>
      <c r="D95" s="37"/>
      <c r="E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</row>
    <row r="96" customFormat="false" ht="15.75" hidden="false" customHeight="false" outlineLevel="0" collapsed="false">
      <c r="B96" s="104"/>
      <c r="D96" s="37"/>
      <c r="E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</row>
    <row r="97" customFormat="false" ht="15.75" hidden="false" customHeight="false" outlineLevel="0" collapsed="false">
      <c r="B97" s="104"/>
      <c r="D97" s="37"/>
      <c r="E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</row>
    <row r="98" customFormat="false" ht="15.75" hidden="false" customHeight="false" outlineLevel="0" collapsed="false">
      <c r="B98" s="104"/>
      <c r="D98" s="37"/>
      <c r="E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</row>
    <row r="99" customFormat="false" ht="15.75" hidden="false" customHeight="false" outlineLevel="0" collapsed="false">
      <c r="B99" s="104"/>
      <c r="D99" s="37"/>
      <c r="E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</row>
    <row r="100" customFormat="false" ht="15.75" hidden="false" customHeight="false" outlineLevel="0" collapsed="false">
      <c r="B100" s="104"/>
      <c r="D100" s="37"/>
      <c r="E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</row>
    <row r="101" customFormat="false" ht="15.75" hidden="false" customHeight="false" outlineLevel="0" collapsed="false">
      <c r="B101" s="104"/>
      <c r="D101" s="37"/>
      <c r="E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</row>
    <row r="102" customFormat="false" ht="15.75" hidden="false" customHeight="false" outlineLevel="0" collapsed="false">
      <c r="D102" s="37"/>
      <c r="E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</row>
    <row r="103" customFormat="false" ht="15.75" hidden="false" customHeight="false" outlineLevel="0" collapsed="false">
      <c r="D103" s="37"/>
      <c r="E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</row>
    <row r="104" customFormat="false" ht="15.75" hidden="false" customHeight="false" outlineLevel="0" collapsed="false">
      <c r="D104" s="37"/>
      <c r="E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</row>
    <row r="105" customFormat="false" ht="15.75" hidden="false" customHeight="false" outlineLevel="0" collapsed="false">
      <c r="D105" s="37"/>
      <c r="E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</row>
    <row r="106" customFormat="false" ht="15.75" hidden="false" customHeight="false" outlineLevel="0" collapsed="false">
      <c r="D106" s="37"/>
      <c r="E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</row>
    <row r="107" customFormat="false" ht="15.75" hidden="false" customHeight="false" outlineLevel="0" collapsed="false">
      <c r="D107" s="37"/>
      <c r="E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</row>
    <row r="108" customFormat="false" ht="15.75" hidden="false" customHeight="false" outlineLevel="0" collapsed="false">
      <c r="D108" s="37"/>
      <c r="E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</row>
    <row r="109" customFormat="false" ht="15.75" hidden="false" customHeight="false" outlineLevel="0" collapsed="false"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</row>
    <row r="110" customFormat="false" ht="15.75" hidden="false" customHeight="false" outlineLevel="0" collapsed="false"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</row>
    <row r="111" customFormat="false" ht="15.75" hidden="false" customHeight="false" outlineLevel="0" collapsed="false"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</row>
    <row r="112" customFormat="false" ht="15.75" hidden="false" customHeight="false" outlineLevel="0" collapsed="false"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</row>
    <row r="113" customFormat="false" ht="15.75" hidden="false" customHeight="false" outlineLevel="0" collapsed="false"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</row>
    <row r="114" customFormat="false" ht="15.75" hidden="false" customHeight="false" outlineLevel="0" collapsed="false"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</row>
    <row r="115" customFormat="false" ht="15.75" hidden="false" customHeight="false" outlineLevel="0" collapsed="false"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</row>
    <row r="116" customFormat="false" ht="15.75" hidden="false" customHeight="false" outlineLevel="0" collapsed="false"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</row>
    <row r="117" customFormat="false" ht="15.75" hidden="false" customHeight="false" outlineLevel="0" collapsed="false"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</row>
    <row r="118" customFormat="false" ht="15.75" hidden="false" customHeight="false" outlineLevel="0" collapsed="false"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</row>
    <row r="119" customFormat="false" ht="15.75" hidden="false" customHeight="false" outlineLevel="0" collapsed="false"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</row>
    <row r="120" customFormat="false" ht="15.75" hidden="false" customHeight="false" outlineLevel="0" collapsed="false"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</row>
    <row r="121" customFormat="false" ht="15.75" hidden="false" customHeight="false" outlineLevel="0" collapsed="false"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</row>
    <row r="122" customFormat="false" ht="15.75" hidden="false" customHeight="false" outlineLevel="0" collapsed="false"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</row>
    <row r="123" customFormat="false" ht="15.75" hidden="false" customHeight="false" outlineLevel="0" collapsed="false"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</row>
    <row r="124" customFormat="false" ht="15.75" hidden="false" customHeight="false" outlineLevel="0" collapsed="false"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</row>
    <row r="125" customFormat="false" ht="15.75" hidden="false" customHeight="false" outlineLevel="0" collapsed="false"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</row>
    <row r="126" customFormat="false" ht="15.75" hidden="false" customHeight="false" outlineLevel="0" collapsed="false"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</row>
    <row r="127" customFormat="false" ht="15.75" hidden="false" customHeight="false" outlineLevel="0" collapsed="false"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</row>
    <row r="128" customFormat="false" ht="15.75" hidden="false" customHeight="false" outlineLevel="0" collapsed="false"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</row>
    <row r="129" customFormat="false" ht="15.75" hidden="false" customHeight="false" outlineLevel="0" collapsed="false"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</row>
    <row r="130" customFormat="false" ht="15.75" hidden="false" customHeight="false" outlineLevel="0" collapsed="false"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</row>
    <row r="131" customFormat="false" ht="15.75" hidden="false" customHeight="false" outlineLevel="0" collapsed="false"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</row>
    <row r="132" customFormat="false" ht="15.75" hidden="false" customHeight="false" outlineLevel="0" collapsed="false"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</row>
    <row r="133" customFormat="false" ht="15.75" hidden="false" customHeight="false" outlineLevel="0" collapsed="false"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</row>
    <row r="134" customFormat="false" ht="15.75" hidden="false" customHeight="false" outlineLevel="0" collapsed="false"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</row>
    <row r="135" customFormat="false" ht="15.75" hidden="false" customHeight="false" outlineLevel="0" collapsed="false"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</row>
    <row r="136" customFormat="false" ht="15.75" hidden="false" customHeight="false" outlineLevel="0" collapsed="false"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</row>
    <row r="137" customFormat="false" ht="15.75" hidden="false" customHeight="false" outlineLevel="0" collapsed="false"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</row>
    <row r="138" customFormat="false" ht="15.75" hidden="false" customHeight="false" outlineLevel="0" collapsed="false"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</row>
    <row r="139" customFormat="false" ht="15.75" hidden="false" customHeight="false" outlineLevel="0" collapsed="false"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</row>
    <row r="140" customFormat="false" ht="15.75" hidden="false" customHeight="false" outlineLevel="0" collapsed="false"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</row>
    <row r="141" customFormat="false" ht="15.75" hidden="false" customHeight="false" outlineLevel="0" collapsed="false"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</row>
    <row r="142" customFormat="false" ht="15.75" hidden="false" customHeight="false" outlineLevel="0" collapsed="false"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</row>
    <row r="143" customFormat="false" ht="15.75" hidden="false" customHeight="false" outlineLevel="0" collapsed="false"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</row>
    <row r="144" customFormat="false" ht="15.75" hidden="false" customHeight="false" outlineLevel="0" collapsed="false"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</row>
    <row r="145" customFormat="false" ht="15.75" hidden="false" customHeight="false" outlineLevel="0" collapsed="false"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</row>
    <row r="146" customFormat="false" ht="15.75" hidden="false" customHeight="false" outlineLevel="0" collapsed="false"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</row>
    <row r="147" customFormat="false" ht="15.75" hidden="false" customHeight="false" outlineLevel="0" collapsed="false"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</row>
    <row r="148" customFormat="false" ht="15.75" hidden="false" customHeight="false" outlineLevel="0" collapsed="false"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</row>
    <row r="149" customFormat="false" ht="15.75" hidden="false" customHeight="false" outlineLevel="0" collapsed="false"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</row>
    <row r="150" customFormat="false" ht="15.75" hidden="false" customHeight="false" outlineLevel="0" collapsed="false"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</row>
  </sheetData>
  <mergeCells count="8">
    <mergeCell ref="A2:H2"/>
    <mergeCell ref="C3:H3"/>
    <mergeCell ref="C23:D23"/>
    <mergeCell ref="G23:AA23"/>
    <mergeCell ref="AC23:AE23"/>
    <mergeCell ref="G24:M24"/>
    <mergeCell ref="N24:T24"/>
    <mergeCell ref="U24:AA24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H10" activeCellId="0" sqref="H1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6" width="32.7"/>
    <col collapsed="false" customWidth="true" hidden="false" outlineLevel="0" max="2" min="2" style="26" width="16.99"/>
    <col collapsed="false" customWidth="true" hidden="false" outlineLevel="0" max="3" min="3" style="26" width="14.56"/>
    <col collapsed="false" customWidth="true" hidden="false" outlineLevel="0" max="4" min="4" style="26" width="15.13"/>
    <col collapsed="false" customWidth="true" hidden="false" outlineLevel="0" max="6" min="5" style="26" width="14.56"/>
    <col collapsed="false" customWidth="true" hidden="false" outlineLevel="0" max="7" min="7" style="26" width="15.56"/>
    <col collapsed="false" customWidth="true" hidden="false" outlineLevel="0" max="8" min="8" style="26" width="16.28"/>
    <col collapsed="false" customWidth="true" hidden="false" outlineLevel="0" max="9" min="9" style="26" width="14.7"/>
    <col collapsed="false" customWidth="true" hidden="false" outlineLevel="0" max="10" min="10" style="26" width="15.56"/>
    <col collapsed="false" customWidth="true" hidden="false" outlineLevel="0" max="11" min="11" style="26" width="14.41"/>
    <col collapsed="false" customWidth="true" hidden="false" outlineLevel="0" max="12" min="12" style="26" width="10.28"/>
    <col collapsed="false" customWidth="true" hidden="false" outlineLevel="0" max="13" min="13" style="26" width="11.85"/>
    <col collapsed="false" customWidth="true" hidden="false" outlineLevel="0" max="15" min="14" style="26" width="15.56"/>
    <col collapsed="false" customWidth="true" hidden="false" outlineLevel="0" max="16" min="16" style="26" width="14.41"/>
    <col collapsed="false" customWidth="true" hidden="false" outlineLevel="0" max="17" min="17" style="26" width="13.14"/>
    <col collapsed="false" customWidth="true" hidden="false" outlineLevel="0" max="18" min="18" style="26" width="13.41"/>
    <col collapsed="false" customWidth="true" hidden="false" outlineLevel="0" max="19" min="19" style="26" width="12.14"/>
    <col collapsed="false" customWidth="true" hidden="false" outlineLevel="0" max="20" min="20" style="26" width="11.99"/>
    <col collapsed="false" customWidth="true" hidden="false" outlineLevel="0" max="21" min="21" style="26" width="13.41"/>
    <col collapsed="false" customWidth="true" hidden="false" outlineLevel="0" max="22" min="22" style="26" width="13.85"/>
    <col collapsed="false" customWidth="true" hidden="false" outlineLevel="0" max="24" min="23" style="26" width="13.41"/>
    <col collapsed="false" customWidth="true" hidden="false" outlineLevel="0" max="25" min="25" style="26" width="13.85"/>
    <col collapsed="false" customWidth="true" hidden="false" outlineLevel="0" max="26" min="26" style="26" width="12.14"/>
    <col collapsed="false" customWidth="true" hidden="false" outlineLevel="0" max="27" min="27" style="26" width="11.99"/>
    <col collapsed="false" customWidth="true" hidden="false" outlineLevel="0" max="28" min="28" style="26" width="4.7"/>
    <col collapsed="false" customWidth="true" hidden="false" outlineLevel="0" max="29" min="29" style="26" width="14.85"/>
    <col collapsed="false" customWidth="true" hidden="false" outlineLevel="0" max="31" min="30" style="26" width="13.41"/>
    <col collapsed="false" customWidth="false" hidden="false" outlineLevel="0" max="257" min="32" style="26" width="9.14"/>
  </cols>
  <sheetData>
    <row r="1" customFormat="false" ht="42" hidden="false" customHeight="true" outlineLevel="0" collapsed="false"/>
    <row r="2" customFormat="false" ht="37.5" hidden="false" customHeight="true" outlineLevel="0" collapsed="false">
      <c r="A2" s="27" t="s">
        <v>115</v>
      </c>
      <c r="B2" s="27"/>
      <c r="C2" s="27"/>
      <c r="D2" s="27"/>
      <c r="E2" s="27"/>
      <c r="F2" s="27"/>
      <c r="G2" s="27"/>
      <c r="H2" s="27"/>
    </row>
    <row r="3" customFormat="false" ht="18" hidden="false" customHeight="false" outlineLevel="0" collapsed="false">
      <c r="A3" s="28" t="s">
        <v>34</v>
      </c>
      <c r="B3" s="115"/>
      <c r="C3" s="30" t="s">
        <v>35</v>
      </c>
      <c r="D3" s="30"/>
      <c r="E3" s="30"/>
      <c r="F3" s="30"/>
      <c r="G3" s="30"/>
      <c r="H3" s="30"/>
    </row>
    <row r="4" customFormat="false" ht="15.75" hidden="false" customHeight="false" outlineLevel="0" collapsed="false">
      <c r="A4" s="116"/>
      <c r="B4" s="117"/>
      <c r="C4" s="33" t="s">
        <v>3</v>
      </c>
      <c r="D4" s="33" t="s">
        <v>4</v>
      </c>
      <c r="E4" s="33" t="s">
        <v>5</v>
      </c>
      <c r="F4" s="33" t="s">
        <v>6</v>
      </c>
      <c r="G4" s="33" t="s">
        <v>7</v>
      </c>
      <c r="H4" s="34" t="s">
        <v>8</v>
      </c>
    </row>
    <row r="5" customFormat="false" ht="15.75" hidden="false" customHeight="false" outlineLevel="0" collapsed="false">
      <c r="A5" s="35" t="str">
        <f aca="false">'ROI Breakdown'!A40</f>
        <v>Total Improvements (Net of Tax)</v>
      </c>
      <c r="B5" s="36" t="s">
        <v>1</v>
      </c>
      <c r="C5" s="37" t="n">
        <f aca="false">'ROI Breakdown'!D40</f>
        <v>20628071.2</v>
      </c>
      <c r="D5" s="37" t="n">
        <f aca="false">'ROI Breakdown'!F40</f>
        <v>41256142.4</v>
      </c>
      <c r="E5" s="37" t="n">
        <f aca="false">'ROI Breakdown'!H40</f>
        <v>41256142.4</v>
      </c>
      <c r="F5" s="37" t="n">
        <f aca="false">'ROI Breakdown'!J40</f>
        <v>41256142.4</v>
      </c>
      <c r="G5" s="37" t="n">
        <f aca="false">'ROI Breakdown'!L40</f>
        <v>41256142.4</v>
      </c>
      <c r="H5" s="118" t="n">
        <f aca="false">SUM(C5:G5)</f>
        <v>185652640.8</v>
      </c>
    </row>
    <row r="6" customFormat="false" ht="15.75" hidden="false" customHeight="false" outlineLevel="0" collapsed="false">
      <c r="A6" s="119"/>
      <c r="B6" s="36" t="s">
        <v>30</v>
      </c>
      <c r="C6" s="37" t="n">
        <f aca="false">'ROI Breakdown'!D41</f>
        <v>84767461.68</v>
      </c>
      <c r="D6" s="37" t="n">
        <f aca="false">'ROI Breakdown'!F41</f>
        <v>141279102.8</v>
      </c>
      <c r="E6" s="37" t="n">
        <f aca="false">'ROI Breakdown'!H41</f>
        <v>141279102.8</v>
      </c>
      <c r="F6" s="37" t="n">
        <f aca="false">'ROI Breakdown'!J41</f>
        <v>141279102.8</v>
      </c>
      <c r="G6" s="37" t="n">
        <f aca="false">'ROI Breakdown'!L41</f>
        <v>141279102.8</v>
      </c>
      <c r="H6" s="118" t="n">
        <f aca="false">SUM(C6:G6)</f>
        <v>649883872.88</v>
      </c>
    </row>
    <row r="7" customFormat="false" ht="15.75" hidden="false" customHeight="false" outlineLevel="0" collapsed="false">
      <c r="A7" s="119"/>
      <c r="B7" s="36" t="s">
        <v>31</v>
      </c>
      <c r="C7" s="37" t="n">
        <f aca="false">'ROI Breakdown'!D42</f>
        <v>242726208.54</v>
      </c>
      <c r="D7" s="37" t="n">
        <f aca="false">'ROI Breakdown'!F42</f>
        <v>346751725.74</v>
      </c>
      <c r="E7" s="37" t="n">
        <f aca="false">'ROI Breakdown'!H42</f>
        <v>346751725.74</v>
      </c>
      <c r="F7" s="37" t="n">
        <f aca="false">'ROI Breakdown'!J42</f>
        <v>346751725.74</v>
      </c>
      <c r="G7" s="37" t="n">
        <f aca="false">'ROI Breakdown'!L42</f>
        <v>346751725.74</v>
      </c>
      <c r="H7" s="118" t="n">
        <f aca="false">SUM(C7:G7)</f>
        <v>1629733111.5</v>
      </c>
    </row>
    <row r="8" customFormat="false" ht="15.75" hidden="false" customHeight="false" outlineLevel="0" collapsed="false">
      <c r="A8" s="120"/>
      <c r="B8" s="121"/>
      <c r="C8" s="122"/>
      <c r="D8" s="122"/>
      <c r="E8" s="123"/>
      <c r="F8" s="123"/>
      <c r="G8" s="123"/>
      <c r="H8" s="124"/>
    </row>
    <row r="9" customFormat="false" ht="16.5" hidden="false" customHeight="false" outlineLevel="0" collapsed="false">
      <c r="A9" s="45" t="s">
        <v>36</v>
      </c>
      <c r="B9" s="46"/>
      <c r="C9" s="125" t="n">
        <f aca="false">'ROI Breakdown'!D49</f>
        <v>201840</v>
      </c>
      <c r="D9" s="125" t="n">
        <f aca="false">'ROI Breakdown'!F49</f>
        <v>201840</v>
      </c>
      <c r="E9" s="125" t="n">
        <f aca="false">'ROI Breakdown'!H49</f>
        <v>201840</v>
      </c>
      <c r="F9" s="125" t="n">
        <f aca="false">'ROI Breakdown'!J49</f>
        <v>201840</v>
      </c>
      <c r="G9" s="125" t="n">
        <f aca="false">'ROI Breakdown'!L49</f>
        <v>201840</v>
      </c>
      <c r="H9" s="126" t="n">
        <f aca="false">SUM(C9:G9)</f>
        <v>1009200</v>
      </c>
    </row>
    <row r="10" customFormat="false" ht="16.5" hidden="false" customHeight="false" outlineLevel="0" collapsed="false">
      <c r="A10" s="127" t="s">
        <v>116</v>
      </c>
      <c r="B10" s="128"/>
      <c r="C10" s="129" t="n">
        <f aca="false">C6-C9</f>
        <v>84565621.68</v>
      </c>
      <c r="D10" s="129" t="n">
        <f aca="false">D6-D9</f>
        <v>141077262.8</v>
      </c>
      <c r="E10" s="129" t="n">
        <f aca="false">E6-E9</f>
        <v>141077262.8</v>
      </c>
      <c r="F10" s="129" t="n">
        <f aca="false">F6-F9</f>
        <v>141077262.8</v>
      </c>
      <c r="G10" s="129" t="n">
        <f aca="false">G6-G9</f>
        <v>141077262.8</v>
      </c>
      <c r="H10" s="130" t="n">
        <f aca="false">SUM(C10:G10)</f>
        <v>648874672.88</v>
      </c>
    </row>
    <row r="11" customFormat="false" ht="16.5" hidden="false" customHeight="false" outlineLevel="0" collapsed="false">
      <c r="A11" s="127"/>
      <c r="B11" s="128"/>
      <c r="C11" s="42"/>
      <c r="D11" s="42"/>
      <c r="E11" s="51"/>
      <c r="F11" s="51"/>
      <c r="G11" s="51"/>
      <c r="H11" s="52"/>
    </row>
    <row r="12" customFormat="false" ht="16.5" hidden="false" customHeight="false" outlineLevel="0" collapsed="false">
      <c r="A12" s="53"/>
      <c r="B12" s="131" t="s">
        <v>38</v>
      </c>
      <c r="C12" s="55" t="s">
        <v>1</v>
      </c>
      <c r="D12" s="55" t="s">
        <v>39</v>
      </c>
      <c r="E12" s="132" t="s">
        <v>31</v>
      </c>
      <c r="F12" s="129"/>
      <c r="G12" s="129"/>
      <c r="H12" s="130"/>
    </row>
    <row r="13" customFormat="false" ht="15.75" hidden="false" customHeight="false" outlineLevel="0" collapsed="false">
      <c r="A13" s="53"/>
      <c r="B13" s="57" t="s">
        <v>40</v>
      </c>
      <c r="C13" s="133" t="n">
        <f aca="false">(H5-H9)/H9</f>
        <v>182.960206896552</v>
      </c>
      <c r="D13" s="134" t="n">
        <f aca="false">(H6-H9)/H9</f>
        <v>642.959445977012</v>
      </c>
      <c r="E13" s="134" t="n">
        <f aca="false">(H7-H9)/H9</f>
        <v>1613.87625</v>
      </c>
      <c r="F13" s="129"/>
      <c r="G13" s="129"/>
      <c r="H13" s="130"/>
    </row>
    <row r="14" customFormat="false" ht="15.75" hidden="false" customHeight="false" outlineLevel="0" collapsed="false">
      <c r="A14" s="61" t="s">
        <v>41</v>
      </c>
      <c r="B14" s="135" t="s">
        <v>42</v>
      </c>
      <c r="C14" s="136" t="n">
        <f aca="false">G27-C27</f>
        <v>140980115.109403</v>
      </c>
      <c r="D14" s="136" t="n">
        <f aca="false">N27-C27</f>
        <v>497755119.291869</v>
      </c>
      <c r="E14" s="136" t="n">
        <f aca="false">U27-C27</f>
        <v>1254878088.0172</v>
      </c>
      <c r="F14" s="137"/>
      <c r="G14" s="137"/>
      <c r="H14" s="138"/>
    </row>
    <row r="15" customFormat="false" ht="15.75" hidden="false" customHeight="false" outlineLevel="0" collapsed="false">
      <c r="A15" s="61"/>
      <c r="B15" s="135" t="s">
        <v>43</v>
      </c>
      <c r="C15" s="139" t="n">
        <f aca="false">AC27</f>
        <v>17.1247010354676</v>
      </c>
      <c r="D15" s="67" t="n">
        <f aca="false">AD27</f>
        <v>24.8588857314771</v>
      </c>
      <c r="E15" s="139" t="n">
        <f aca="false">AE27</f>
        <v>31.9233933199455</v>
      </c>
      <c r="F15" s="137"/>
      <c r="G15" s="137"/>
      <c r="H15" s="138"/>
    </row>
    <row r="16" customFormat="false" ht="15.75" hidden="false" customHeight="false" outlineLevel="0" collapsed="false">
      <c r="A16" s="61"/>
      <c r="B16" s="62" t="s">
        <v>44</v>
      </c>
      <c r="C16" s="139"/>
      <c r="D16" s="63" t="e">
        <f aca="false">'ROI Breakdown'!F70</f>
        <v>#VALUE!</v>
      </c>
      <c r="E16" s="139"/>
      <c r="F16" s="137"/>
      <c r="G16" s="137"/>
      <c r="H16" s="138"/>
    </row>
    <row r="17" customFormat="false" ht="15.75" hidden="false" customHeight="false" outlineLevel="0" collapsed="false">
      <c r="A17" s="61"/>
      <c r="B17" s="62" t="s">
        <v>45</v>
      </c>
      <c r="C17" s="63"/>
      <c r="D17" s="140" t="e">
        <f aca="false">'ROI Breakdown'!F71</f>
        <v>#VALUE!</v>
      </c>
      <c r="E17" s="63"/>
      <c r="F17" s="137"/>
      <c r="G17" s="137"/>
      <c r="H17" s="138"/>
    </row>
    <row r="18" customFormat="false" ht="16.5" hidden="false" customHeight="false" outlineLevel="0" collapsed="false">
      <c r="A18" s="73" t="n">
        <f aca="false">I!F39</f>
        <v>0.1</v>
      </c>
      <c r="B18" s="74" t="s">
        <v>117</v>
      </c>
      <c r="C18" s="141" t="n">
        <f aca="false">H9/(H5/12)</f>
        <v>0.0652314987161766</v>
      </c>
      <c r="D18" s="142" t="n">
        <f aca="false">H9/(H6/12)</f>
        <v>0.0186347138394618</v>
      </c>
      <c r="E18" s="142" t="n">
        <f aca="false">H9/(H7/12)</f>
        <v>0.00743090995362648</v>
      </c>
      <c r="F18" s="77" t="s">
        <v>47</v>
      </c>
      <c r="G18" s="143"/>
      <c r="H18" s="144"/>
    </row>
    <row r="19" customFormat="false" ht="15.75" hidden="false" customHeight="false" outlineLevel="0" collapsed="false">
      <c r="A19" s="80" t="s">
        <v>48</v>
      </c>
    </row>
    <row r="20" customFormat="false" ht="15.75" hidden="false" customHeight="false" outlineLevel="0" collapsed="false">
      <c r="A20" s="26" t="s">
        <v>49</v>
      </c>
      <c r="B20" s="81" t="n">
        <f aca="false">A18</f>
        <v>0.1</v>
      </c>
    </row>
    <row r="21" customFormat="false" ht="15.75" hidden="false" customHeight="false" outlineLevel="0" collapsed="false">
      <c r="A21" s="26" t="s">
        <v>50</v>
      </c>
      <c r="B21" s="81" t="n">
        <f aca="false">A18/12</f>
        <v>0.00833333333333333</v>
      </c>
    </row>
    <row r="23" customFormat="false" ht="15.75" hidden="false" customHeight="false" outlineLevel="0" collapsed="false">
      <c r="C23" s="82" t="s">
        <v>51</v>
      </c>
      <c r="D23" s="82"/>
      <c r="E23" s="82"/>
      <c r="G23" s="84" t="s">
        <v>52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C23" s="82" t="s">
        <v>43</v>
      </c>
      <c r="AD23" s="82"/>
      <c r="AE23" s="82"/>
    </row>
    <row r="24" customFormat="false" ht="15.75" hidden="false" customHeight="false" outlineLevel="0" collapsed="false">
      <c r="C24" s="85"/>
      <c r="D24" s="145"/>
      <c r="E24" s="146"/>
      <c r="G24" s="82" t="s">
        <v>1</v>
      </c>
      <c r="H24" s="82"/>
      <c r="I24" s="82"/>
      <c r="J24" s="82"/>
      <c r="K24" s="82"/>
      <c r="L24" s="82"/>
      <c r="M24" s="82"/>
      <c r="N24" s="82" t="s">
        <v>30</v>
      </c>
      <c r="O24" s="82"/>
      <c r="P24" s="82"/>
      <c r="Q24" s="82"/>
      <c r="R24" s="82"/>
      <c r="S24" s="82"/>
      <c r="T24" s="82"/>
      <c r="U24" s="82" t="s">
        <v>31</v>
      </c>
      <c r="V24" s="82"/>
      <c r="W24" s="82"/>
      <c r="X24" s="82"/>
      <c r="Y24" s="82"/>
      <c r="Z24" s="82"/>
      <c r="AA24" s="82"/>
      <c r="AC24" s="82" t="s">
        <v>1</v>
      </c>
      <c r="AD24" s="82" t="s">
        <v>30</v>
      </c>
      <c r="AE24" s="82" t="s">
        <v>31</v>
      </c>
    </row>
    <row r="25" customFormat="false" ht="15.75" hidden="false" customHeight="false" outlineLevel="0" collapsed="false">
      <c r="C25" s="85"/>
      <c r="D25" s="145" t="n">
        <v>12</v>
      </c>
      <c r="E25" s="146" t="n">
        <v>60</v>
      </c>
      <c r="G25" s="88"/>
      <c r="H25" s="89" t="n">
        <v>60</v>
      </c>
      <c r="I25" s="89" t="n">
        <v>6</v>
      </c>
      <c r="J25" s="89" t="n">
        <v>60</v>
      </c>
      <c r="K25" s="89" t="n">
        <v>12</v>
      </c>
      <c r="L25" s="89" t="n">
        <v>60</v>
      </c>
      <c r="M25" s="90" t="n">
        <v>24</v>
      </c>
      <c r="N25" s="88"/>
      <c r="O25" s="89" t="n">
        <v>60</v>
      </c>
      <c r="P25" s="89" t="n">
        <v>6</v>
      </c>
      <c r="Q25" s="89" t="n">
        <v>60</v>
      </c>
      <c r="R25" s="89" t="n">
        <v>12</v>
      </c>
      <c r="S25" s="89" t="n">
        <v>60</v>
      </c>
      <c r="T25" s="90" t="n">
        <v>24</v>
      </c>
      <c r="U25" s="91"/>
      <c r="V25" s="89" t="n">
        <v>60</v>
      </c>
      <c r="W25" s="89" t="n">
        <v>6</v>
      </c>
      <c r="X25" s="89" t="n">
        <v>60</v>
      </c>
      <c r="Y25" s="89" t="n">
        <v>12</v>
      </c>
      <c r="Z25" s="89" t="n">
        <v>60</v>
      </c>
      <c r="AA25" s="90" t="n">
        <v>24</v>
      </c>
      <c r="AC25" s="92"/>
      <c r="AD25" s="92"/>
      <c r="AE25" s="92"/>
    </row>
    <row r="26" customFormat="false" ht="15.75" hidden="false" customHeight="false" outlineLevel="0" collapsed="false">
      <c r="C26" s="85" t="s">
        <v>8</v>
      </c>
      <c r="D26" s="86"/>
      <c r="E26" s="87"/>
      <c r="G26" s="85" t="s">
        <v>8</v>
      </c>
      <c r="H26" s="93"/>
      <c r="I26" s="93"/>
      <c r="J26" s="93"/>
      <c r="K26" s="93"/>
      <c r="L26" s="93"/>
      <c r="M26" s="94"/>
      <c r="N26" s="85" t="s">
        <v>8</v>
      </c>
      <c r="O26" s="93"/>
      <c r="P26" s="93"/>
      <c r="Q26" s="93"/>
      <c r="R26" s="93"/>
      <c r="S26" s="93"/>
      <c r="T26" s="94"/>
      <c r="U26" s="85" t="s">
        <v>8</v>
      </c>
      <c r="V26" s="93"/>
      <c r="W26" s="93"/>
      <c r="X26" s="93"/>
      <c r="Y26" s="93"/>
      <c r="Z26" s="93"/>
      <c r="AA26" s="94"/>
      <c r="AC26" s="95"/>
      <c r="AD26" s="95"/>
      <c r="AE26" s="95"/>
    </row>
    <row r="27" customFormat="false" ht="15.75" hidden="false" customHeight="false" outlineLevel="0" collapsed="false">
      <c r="A27" s="26" t="s">
        <v>53</v>
      </c>
      <c r="C27" s="96" t="n">
        <f aca="false">SUM(D27:E27)</f>
        <v>791639.506979507</v>
      </c>
      <c r="D27" s="97" t="n">
        <f aca="false">PV($B$21,12,-D29)</f>
        <v>-0</v>
      </c>
      <c r="E27" s="98" t="n">
        <f aca="false">PV($B$21,60,-E29)</f>
        <v>791639.506979507</v>
      </c>
      <c r="G27" s="99" t="n">
        <f aca="false">SUM(H27:M27)</f>
        <v>141771754.616382</v>
      </c>
      <c r="H27" s="97" t="n">
        <f aca="false">PV($B$21,H25,-H29)</f>
        <v>161811297.212705</v>
      </c>
      <c r="I27" s="97" t="n">
        <f aca="false">PV($B$21,I25,-I29)</f>
        <v>-20039542.5963226</v>
      </c>
      <c r="J27" s="97" t="n">
        <f aca="false">PV($B$21,J25,-J29)</f>
        <v>-0</v>
      </c>
      <c r="K27" s="97" t="n">
        <f aca="false">PV($B$21,K25,-K29)</f>
        <v>-0</v>
      </c>
      <c r="L27" s="97" t="n">
        <f aca="false">PV($B$21,L25,-L29)</f>
        <v>-0</v>
      </c>
      <c r="M27" s="98" t="n">
        <f aca="false">PV($B$21,M25,-M29)</f>
        <v>-0</v>
      </c>
      <c r="N27" s="99" t="n">
        <f aca="false">SUM(O27:T27)</f>
        <v>498546758.798848</v>
      </c>
      <c r="O27" s="97" t="n">
        <f aca="false">PV($B$21,O25,-O29)</f>
        <v>664935310.862658</v>
      </c>
      <c r="P27" s="97" t="n">
        <f aca="false">PV($B$21,P25,-P29)</f>
        <v>-82349006.0049096</v>
      </c>
      <c r="Q27" s="97" t="n">
        <f aca="false">PV($B$21,Q25,-Q29)</f>
        <v>-110822551.810443</v>
      </c>
      <c r="R27" s="97" t="n">
        <f aca="false">PV($B$21,R25,-R29)</f>
        <v>26783005.7515427</v>
      </c>
      <c r="S27" s="97" t="n">
        <f aca="false">PV($B$21,S25,-S29)</f>
        <v>-0</v>
      </c>
      <c r="T27" s="98" t="n">
        <f aca="false">PV($B$21,T25,-T29)</f>
        <v>-0</v>
      </c>
      <c r="U27" s="99" t="n">
        <f aca="false">SUM(V27:AA27)</f>
        <v>1255669727.52418</v>
      </c>
      <c r="V27" s="97" t="n">
        <f aca="false">PV($B$21,V25,-V29)</f>
        <v>1903999762.77854</v>
      </c>
      <c r="W27" s="97" t="n">
        <f aca="false">PV($B$21,W25,-W29)</f>
        <v>-235801115.291924</v>
      </c>
      <c r="X27" s="97" t="n">
        <f aca="false">PV($B$21,X25,-X29)</f>
        <v>-543999935.147217</v>
      </c>
      <c r="Y27" s="97" t="n">
        <f aca="false">PV($B$21,Y25,-Y29)</f>
        <v>131471015.18478</v>
      </c>
      <c r="Z27" s="97" t="n">
        <f aca="false">PV($B$21,Z25,-Z29)</f>
        <v>-0</v>
      </c>
      <c r="AA27" s="98" t="n">
        <f aca="false">PV($B$21,AA25,-AA29)</f>
        <v>-0</v>
      </c>
      <c r="AC27" s="100" t="n">
        <f aca="false">IRR(AC29:AC88,3%)*12</f>
        <v>17.1247010354676</v>
      </c>
      <c r="AD27" s="100" t="n">
        <f aca="false">IRR(AD29:AD88,3%)*12</f>
        <v>24.8588857314771</v>
      </c>
      <c r="AE27" s="100" t="n">
        <f aca="false">IRR(AE29:AE88,3%)*12</f>
        <v>31.9233933199455</v>
      </c>
      <c r="AF27" s="101"/>
      <c r="AG27" s="101"/>
      <c r="AH27" s="101"/>
    </row>
    <row r="28" customFormat="false" ht="15.75" hidden="false" customHeight="false" outlineLevel="0" collapsed="false">
      <c r="C28" s="85"/>
      <c r="D28" s="97"/>
      <c r="E28" s="87"/>
      <c r="G28" s="102"/>
      <c r="H28" s="97"/>
      <c r="I28" s="97"/>
      <c r="J28" s="97"/>
      <c r="K28" s="97"/>
      <c r="L28" s="97"/>
      <c r="M28" s="98"/>
      <c r="N28" s="102"/>
      <c r="O28" s="97"/>
      <c r="P28" s="97"/>
      <c r="Q28" s="97"/>
      <c r="R28" s="97"/>
      <c r="S28" s="97"/>
      <c r="T28" s="98"/>
      <c r="U28" s="102"/>
      <c r="V28" s="97"/>
      <c r="W28" s="97"/>
      <c r="X28" s="97"/>
      <c r="Y28" s="97"/>
      <c r="Z28" s="97"/>
      <c r="AA28" s="98"/>
      <c r="AC28" s="95"/>
      <c r="AD28" s="95"/>
      <c r="AE28" s="95"/>
    </row>
    <row r="29" customFormat="false" ht="15.75" hidden="false" customHeight="false" outlineLevel="0" collapsed="false">
      <c r="A29" s="103" t="s">
        <v>54</v>
      </c>
      <c r="B29" s="104" t="n">
        <v>1</v>
      </c>
      <c r="C29" s="105" t="n">
        <f aca="false">$C$9/12</f>
        <v>16820</v>
      </c>
      <c r="D29" s="147" t="n">
        <f aca="false">C29-E29</f>
        <v>0</v>
      </c>
      <c r="E29" s="106" t="n">
        <f aca="false">$C$41</f>
        <v>16820</v>
      </c>
      <c r="G29" s="105"/>
      <c r="H29" s="37" t="n">
        <f aca="false">$G$35</f>
        <v>3438011.86666667</v>
      </c>
      <c r="I29" s="37" t="n">
        <f aca="false">G29-H29</f>
        <v>-3438011.86666667</v>
      </c>
      <c r="J29" s="37" t="n">
        <f aca="false">$J$41</f>
        <v>0</v>
      </c>
      <c r="K29" s="37" t="n">
        <f aca="false">-J29</f>
        <v>-0</v>
      </c>
      <c r="L29" s="37" t="n">
        <f aca="false">L30</f>
        <v>0</v>
      </c>
      <c r="M29" s="106" t="n">
        <f aca="false">-L29</f>
        <v>-0</v>
      </c>
      <c r="N29" s="105"/>
      <c r="O29" s="37" t="n">
        <f aca="false">$N$35</f>
        <v>14127910.28</v>
      </c>
      <c r="P29" s="37" t="n">
        <f aca="false">N29-O29</f>
        <v>-14127910.28</v>
      </c>
      <c r="Q29" s="37" t="n">
        <f aca="false">Q30</f>
        <v>-2354651.71333333</v>
      </c>
      <c r="R29" s="37" t="n">
        <f aca="false">-Q29</f>
        <v>2354651.71333333</v>
      </c>
      <c r="S29" s="37" t="n">
        <f aca="false">S30</f>
        <v>0</v>
      </c>
      <c r="T29" s="106" t="n">
        <f aca="false">-S29</f>
        <v>-0</v>
      </c>
      <c r="U29" s="105"/>
      <c r="V29" s="37" t="n">
        <f aca="false">$U$35</f>
        <v>40454368.09</v>
      </c>
      <c r="W29" s="37" t="n">
        <f aca="false">U29-V29</f>
        <v>-40454368.09</v>
      </c>
      <c r="X29" s="37" t="n">
        <f aca="false">X30</f>
        <v>-11558390.945</v>
      </c>
      <c r="Y29" s="37" t="n">
        <f aca="false">-X29</f>
        <v>11558390.945</v>
      </c>
      <c r="Z29" s="37" t="n">
        <f aca="false">Z30</f>
        <v>0</v>
      </c>
      <c r="AA29" s="106" t="n">
        <f aca="false">-Z29</f>
        <v>-0</v>
      </c>
      <c r="AB29" s="37"/>
      <c r="AC29" s="107" t="n">
        <f aca="false">G29-C29</f>
        <v>-16820</v>
      </c>
      <c r="AD29" s="107" t="n">
        <f aca="false">N29-C29</f>
        <v>-16820</v>
      </c>
      <c r="AE29" s="107" t="n">
        <f aca="false">U29-C29</f>
        <v>-16820</v>
      </c>
      <c r="AF29" s="37"/>
      <c r="AG29" s="37"/>
    </row>
    <row r="30" customFormat="false" ht="15.75" hidden="false" customHeight="false" outlineLevel="0" collapsed="false">
      <c r="A30" s="103" t="s">
        <v>55</v>
      </c>
      <c r="B30" s="104" t="n">
        <f aca="false">B29+1</f>
        <v>2</v>
      </c>
      <c r="C30" s="105" t="n">
        <f aca="false">$C$9/12</f>
        <v>16820</v>
      </c>
      <c r="D30" s="147" t="n">
        <f aca="false">C30-E30</f>
        <v>0</v>
      </c>
      <c r="E30" s="106" t="n">
        <f aca="false">$C$41</f>
        <v>16820</v>
      </c>
      <c r="G30" s="105"/>
      <c r="H30" s="37" t="n">
        <f aca="false">$G$35</f>
        <v>3438011.86666667</v>
      </c>
      <c r="I30" s="37" t="n">
        <f aca="false">G30-H30</f>
        <v>-3438011.86666667</v>
      </c>
      <c r="J30" s="37" t="n">
        <f aca="false">$J$41</f>
        <v>0</v>
      </c>
      <c r="K30" s="37" t="n">
        <f aca="false">-J30</f>
        <v>-0</v>
      </c>
      <c r="L30" s="37" t="n">
        <f aca="false">L31</f>
        <v>0</v>
      </c>
      <c r="M30" s="106" t="n">
        <f aca="false">-L30</f>
        <v>-0</v>
      </c>
      <c r="N30" s="105"/>
      <c r="O30" s="37" t="n">
        <f aca="false">$N$35</f>
        <v>14127910.28</v>
      </c>
      <c r="P30" s="37" t="n">
        <f aca="false">N30-O30</f>
        <v>-14127910.28</v>
      </c>
      <c r="Q30" s="37" t="n">
        <f aca="false">Q31</f>
        <v>-2354651.71333333</v>
      </c>
      <c r="R30" s="37" t="n">
        <f aca="false">-Q30</f>
        <v>2354651.71333333</v>
      </c>
      <c r="S30" s="37" t="n">
        <f aca="false">S31</f>
        <v>0</v>
      </c>
      <c r="T30" s="106" t="n">
        <f aca="false">-S30</f>
        <v>-0</v>
      </c>
      <c r="U30" s="105"/>
      <c r="V30" s="37" t="n">
        <f aca="false">$U$35</f>
        <v>40454368.09</v>
      </c>
      <c r="W30" s="37" t="n">
        <f aca="false">U30-V30</f>
        <v>-40454368.09</v>
      </c>
      <c r="X30" s="37" t="n">
        <f aca="false">X31</f>
        <v>-11558390.945</v>
      </c>
      <c r="Y30" s="37" t="n">
        <f aca="false">-X30</f>
        <v>11558390.945</v>
      </c>
      <c r="Z30" s="37" t="n">
        <f aca="false">Z31</f>
        <v>0</v>
      </c>
      <c r="AA30" s="106" t="n">
        <f aca="false">-Z30</f>
        <v>-0</v>
      </c>
      <c r="AB30" s="37"/>
      <c r="AC30" s="107" t="n">
        <f aca="false">G30-C30</f>
        <v>-16820</v>
      </c>
      <c r="AD30" s="107" t="n">
        <f aca="false">N30-C30</f>
        <v>-16820</v>
      </c>
      <c r="AE30" s="107" t="n">
        <f aca="false">U30-C30</f>
        <v>-16820</v>
      </c>
      <c r="AF30" s="37"/>
      <c r="AG30" s="37"/>
    </row>
    <row r="31" customFormat="false" ht="15.75" hidden="false" customHeight="false" outlineLevel="0" collapsed="false">
      <c r="A31" s="103" t="s">
        <v>56</v>
      </c>
      <c r="B31" s="104" t="n">
        <f aca="false">B30+1</f>
        <v>3</v>
      </c>
      <c r="C31" s="105" t="n">
        <f aca="false">$C$9/12</f>
        <v>16820</v>
      </c>
      <c r="D31" s="147" t="n">
        <f aca="false">C31-E31</f>
        <v>0</v>
      </c>
      <c r="E31" s="106" t="n">
        <f aca="false">$C$41</f>
        <v>16820</v>
      </c>
      <c r="G31" s="105"/>
      <c r="H31" s="37" t="n">
        <f aca="false">$G$35</f>
        <v>3438011.86666667</v>
      </c>
      <c r="I31" s="37" t="n">
        <f aca="false">G31-H31</f>
        <v>-3438011.86666667</v>
      </c>
      <c r="J31" s="37" t="n">
        <f aca="false">$J$41</f>
        <v>0</v>
      </c>
      <c r="K31" s="37" t="n">
        <f aca="false">-J31</f>
        <v>-0</v>
      </c>
      <c r="L31" s="37" t="n">
        <f aca="false">L32</f>
        <v>0</v>
      </c>
      <c r="M31" s="106" t="n">
        <f aca="false">-L31</f>
        <v>-0</v>
      </c>
      <c r="N31" s="105"/>
      <c r="O31" s="37" t="n">
        <f aca="false">$N$35</f>
        <v>14127910.28</v>
      </c>
      <c r="P31" s="37" t="n">
        <f aca="false">N31-O31</f>
        <v>-14127910.28</v>
      </c>
      <c r="Q31" s="37" t="n">
        <f aca="false">Q32</f>
        <v>-2354651.71333333</v>
      </c>
      <c r="R31" s="37" t="n">
        <f aca="false">-Q31</f>
        <v>2354651.71333333</v>
      </c>
      <c r="S31" s="37" t="n">
        <f aca="false">S32</f>
        <v>0</v>
      </c>
      <c r="T31" s="106" t="n">
        <f aca="false">-S31</f>
        <v>-0</v>
      </c>
      <c r="U31" s="105"/>
      <c r="V31" s="37" t="n">
        <f aca="false">$U$35</f>
        <v>40454368.09</v>
      </c>
      <c r="W31" s="37" t="n">
        <f aca="false">U31-V31</f>
        <v>-40454368.09</v>
      </c>
      <c r="X31" s="37" t="n">
        <f aca="false">X32</f>
        <v>-11558390.945</v>
      </c>
      <c r="Y31" s="37" t="n">
        <f aca="false">-X31</f>
        <v>11558390.945</v>
      </c>
      <c r="Z31" s="37" t="n">
        <f aca="false">Z32</f>
        <v>0</v>
      </c>
      <c r="AA31" s="106" t="n">
        <f aca="false">-Z31</f>
        <v>-0</v>
      </c>
      <c r="AB31" s="37"/>
      <c r="AC31" s="107" t="n">
        <f aca="false">G31-C31</f>
        <v>-16820</v>
      </c>
      <c r="AD31" s="107" t="n">
        <f aca="false">N31-C31</f>
        <v>-16820</v>
      </c>
      <c r="AE31" s="107" t="n">
        <f aca="false">U31-C31</f>
        <v>-16820</v>
      </c>
      <c r="AF31" s="37"/>
      <c r="AG31" s="37"/>
    </row>
    <row r="32" customFormat="false" ht="15.75" hidden="false" customHeight="false" outlineLevel="0" collapsed="false">
      <c r="A32" s="103" t="s">
        <v>57</v>
      </c>
      <c r="B32" s="104" t="n">
        <f aca="false">B31+1</f>
        <v>4</v>
      </c>
      <c r="C32" s="105" t="n">
        <f aca="false">$C$9/12</f>
        <v>16820</v>
      </c>
      <c r="D32" s="147" t="n">
        <f aca="false">C32-E32</f>
        <v>0</v>
      </c>
      <c r="E32" s="106" t="n">
        <f aca="false">$C$41</f>
        <v>16820</v>
      </c>
      <c r="G32" s="105"/>
      <c r="H32" s="37" t="n">
        <f aca="false">$G$35</f>
        <v>3438011.86666667</v>
      </c>
      <c r="I32" s="37" t="n">
        <f aca="false">G32-H32</f>
        <v>-3438011.86666667</v>
      </c>
      <c r="J32" s="37" t="n">
        <f aca="false">$J$41</f>
        <v>0</v>
      </c>
      <c r="K32" s="37" t="n">
        <f aca="false">-J32</f>
        <v>-0</v>
      </c>
      <c r="L32" s="37" t="n">
        <f aca="false">L33</f>
        <v>0</v>
      </c>
      <c r="M32" s="106" t="n">
        <f aca="false">-L32</f>
        <v>-0</v>
      </c>
      <c r="N32" s="105"/>
      <c r="O32" s="37" t="n">
        <f aca="false">$N$35</f>
        <v>14127910.28</v>
      </c>
      <c r="P32" s="37" t="n">
        <f aca="false">N32-O32</f>
        <v>-14127910.28</v>
      </c>
      <c r="Q32" s="37" t="n">
        <f aca="false">Q33</f>
        <v>-2354651.71333333</v>
      </c>
      <c r="R32" s="37" t="n">
        <f aca="false">-Q32</f>
        <v>2354651.71333333</v>
      </c>
      <c r="S32" s="37" t="n">
        <f aca="false">S33</f>
        <v>0</v>
      </c>
      <c r="T32" s="106" t="n">
        <f aca="false">-S32</f>
        <v>-0</v>
      </c>
      <c r="U32" s="105"/>
      <c r="V32" s="37" t="n">
        <f aca="false">$U$35</f>
        <v>40454368.09</v>
      </c>
      <c r="W32" s="37" t="n">
        <f aca="false">U32-V32</f>
        <v>-40454368.09</v>
      </c>
      <c r="X32" s="37" t="n">
        <f aca="false">X33</f>
        <v>-11558390.945</v>
      </c>
      <c r="Y32" s="37" t="n">
        <f aca="false">-X32</f>
        <v>11558390.945</v>
      </c>
      <c r="Z32" s="37" t="n">
        <f aca="false">Z33</f>
        <v>0</v>
      </c>
      <c r="AA32" s="106" t="n">
        <f aca="false">-Z32</f>
        <v>-0</v>
      </c>
      <c r="AB32" s="37"/>
      <c r="AC32" s="107" t="n">
        <f aca="false">G32-C32</f>
        <v>-16820</v>
      </c>
      <c r="AD32" s="107" t="n">
        <f aca="false">N32-C32</f>
        <v>-16820</v>
      </c>
      <c r="AE32" s="107" t="n">
        <f aca="false">U32-C32</f>
        <v>-16820</v>
      </c>
      <c r="AF32" s="37"/>
      <c r="AG32" s="37"/>
    </row>
    <row r="33" customFormat="false" ht="15.75" hidden="false" customHeight="false" outlineLevel="0" collapsed="false">
      <c r="A33" s="103" t="s">
        <v>58</v>
      </c>
      <c r="B33" s="104" t="n">
        <f aca="false">B32+1</f>
        <v>5</v>
      </c>
      <c r="C33" s="105" t="n">
        <f aca="false">$C$9/12</f>
        <v>16820</v>
      </c>
      <c r="D33" s="147" t="n">
        <f aca="false">C33-E33</f>
        <v>0</v>
      </c>
      <c r="E33" s="106" t="n">
        <f aca="false">$C$41</f>
        <v>16820</v>
      </c>
      <c r="G33" s="105"/>
      <c r="H33" s="37" t="n">
        <f aca="false">$G$35</f>
        <v>3438011.86666667</v>
      </c>
      <c r="I33" s="37" t="n">
        <f aca="false">G33-H33</f>
        <v>-3438011.86666667</v>
      </c>
      <c r="J33" s="37" t="n">
        <f aca="false">$J$41</f>
        <v>0</v>
      </c>
      <c r="K33" s="37" t="n">
        <f aca="false">-J33</f>
        <v>-0</v>
      </c>
      <c r="L33" s="37" t="n">
        <f aca="false">L34</f>
        <v>0</v>
      </c>
      <c r="M33" s="106" t="n">
        <f aca="false">-L33</f>
        <v>-0</v>
      </c>
      <c r="N33" s="105"/>
      <c r="O33" s="37" t="n">
        <f aca="false">$N$35</f>
        <v>14127910.28</v>
      </c>
      <c r="P33" s="37" t="n">
        <f aca="false">N33-O33</f>
        <v>-14127910.28</v>
      </c>
      <c r="Q33" s="37" t="n">
        <f aca="false">Q34</f>
        <v>-2354651.71333333</v>
      </c>
      <c r="R33" s="37" t="n">
        <f aca="false">-Q33</f>
        <v>2354651.71333333</v>
      </c>
      <c r="S33" s="37" t="n">
        <f aca="false">S34</f>
        <v>0</v>
      </c>
      <c r="T33" s="106" t="n">
        <f aca="false">-S33</f>
        <v>-0</v>
      </c>
      <c r="U33" s="105"/>
      <c r="V33" s="37" t="n">
        <f aca="false">$U$35</f>
        <v>40454368.09</v>
      </c>
      <c r="W33" s="37" t="n">
        <f aca="false">U33-V33</f>
        <v>-40454368.09</v>
      </c>
      <c r="X33" s="37" t="n">
        <f aca="false">X34</f>
        <v>-11558390.945</v>
      </c>
      <c r="Y33" s="37" t="n">
        <f aca="false">-X33</f>
        <v>11558390.945</v>
      </c>
      <c r="Z33" s="37" t="n">
        <f aca="false">Z34</f>
        <v>0</v>
      </c>
      <c r="AA33" s="106" t="n">
        <f aca="false">-Z33</f>
        <v>-0</v>
      </c>
      <c r="AB33" s="37"/>
      <c r="AC33" s="107" t="n">
        <f aca="false">G33-C33</f>
        <v>-16820</v>
      </c>
      <c r="AD33" s="107" t="n">
        <f aca="false">N33-C33</f>
        <v>-16820</v>
      </c>
      <c r="AE33" s="107" t="n">
        <f aca="false">U33-C33</f>
        <v>-16820</v>
      </c>
      <c r="AF33" s="37"/>
      <c r="AG33" s="37"/>
    </row>
    <row r="34" customFormat="false" ht="15.75" hidden="false" customHeight="false" outlineLevel="0" collapsed="false">
      <c r="A34" s="103" t="s">
        <v>59</v>
      </c>
      <c r="B34" s="104" t="n">
        <f aca="false">B33+1</f>
        <v>6</v>
      </c>
      <c r="C34" s="105" t="n">
        <f aca="false">$C$9/12</f>
        <v>16820</v>
      </c>
      <c r="D34" s="147" t="n">
        <f aca="false">C34-E34</f>
        <v>0</v>
      </c>
      <c r="E34" s="106" t="n">
        <f aca="false">$C$41</f>
        <v>16820</v>
      </c>
      <c r="G34" s="105"/>
      <c r="H34" s="37" t="n">
        <f aca="false">$G$35</f>
        <v>3438011.86666667</v>
      </c>
      <c r="I34" s="37" t="n">
        <f aca="false">G34-H34</f>
        <v>-3438011.86666667</v>
      </c>
      <c r="J34" s="37" t="n">
        <f aca="false">$J$41</f>
        <v>0</v>
      </c>
      <c r="K34" s="37" t="n">
        <f aca="false">-J34</f>
        <v>-0</v>
      </c>
      <c r="L34" s="37" t="n">
        <f aca="false">L35</f>
        <v>0</v>
      </c>
      <c r="M34" s="106" t="n">
        <f aca="false">-L34</f>
        <v>-0</v>
      </c>
      <c r="N34" s="105"/>
      <c r="O34" s="37" t="n">
        <f aca="false">$N$35</f>
        <v>14127910.28</v>
      </c>
      <c r="P34" s="37" t="n">
        <f aca="false">N34-O34</f>
        <v>-14127910.28</v>
      </c>
      <c r="Q34" s="37" t="n">
        <f aca="false">Q35</f>
        <v>-2354651.71333333</v>
      </c>
      <c r="R34" s="37" t="n">
        <f aca="false">-Q34</f>
        <v>2354651.71333333</v>
      </c>
      <c r="S34" s="37" t="n">
        <f aca="false">S35</f>
        <v>0</v>
      </c>
      <c r="T34" s="106" t="n">
        <f aca="false">-S34</f>
        <v>-0</v>
      </c>
      <c r="U34" s="105"/>
      <c r="V34" s="37" t="n">
        <f aca="false">$U$35</f>
        <v>40454368.09</v>
      </c>
      <c r="W34" s="37" t="n">
        <f aca="false">U34-V34</f>
        <v>-40454368.09</v>
      </c>
      <c r="X34" s="37" t="n">
        <f aca="false">X35</f>
        <v>-11558390.945</v>
      </c>
      <c r="Y34" s="37" t="n">
        <f aca="false">-X34</f>
        <v>11558390.945</v>
      </c>
      <c r="Z34" s="37" t="n">
        <f aca="false">Z35</f>
        <v>0</v>
      </c>
      <c r="AA34" s="106" t="n">
        <f aca="false">-Z34</f>
        <v>-0</v>
      </c>
      <c r="AB34" s="37"/>
      <c r="AC34" s="107" t="n">
        <f aca="false">G34-C34</f>
        <v>-16820</v>
      </c>
      <c r="AD34" s="107" t="n">
        <f aca="false">N34-C34</f>
        <v>-16820</v>
      </c>
      <c r="AE34" s="107" t="n">
        <f aca="false">U34-C34</f>
        <v>-16820</v>
      </c>
      <c r="AF34" s="37"/>
      <c r="AG34" s="37"/>
    </row>
    <row r="35" customFormat="false" ht="15.75" hidden="false" customHeight="false" outlineLevel="0" collapsed="false">
      <c r="A35" s="103" t="s">
        <v>60</v>
      </c>
      <c r="B35" s="104" t="n">
        <f aca="false">B34+1</f>
        <v>7</v>
      </c>
      <c r="C35" s="105" t="n">
        <f aca="false">$C$9/12</f>
        <v>16820</v>
      </c>
      <c r="D35" s="147" t="n">
        <f aca="false">C35-E35</f>
        <v>0</v>
      </c>
      <c r="E35" s="106" t="n">
        <f aca="false">$C$41</f>
        <v>16820</v>
      </c>
      <c r="G35" s="105" t="n">
        <f aca="false">$C$5/6</f>
        <v>3438011.86666667</v>
      </c>
      <c r="H35" s="37" t="n">
        <f aca="false">$G$35</f>
        <v>3438011.86666667</v>
      </c>
      <c r="I35" s="37"/>
      <c r="J35" s="37" t="n">
        <f aca="false">$J$41</f>
        <v>0</v>
      </c>
      <c r="K35" s="37" t="n">
        <f aca="false">-J35</f>
        <v>-0</v>
      </c>
      <c r="L35" s="37" t="n">
        <f aca="false">L36</f>
        <v>0</v>
      </c>
      <c r="M35" s="106" t="n">
        <f aca="false">-L35</f>
        <v>-0</v>
      </c>
      <c r="N35" s="105" t="n">
        <f aca="false">$C$6/6</f>
        <v>14127910.28</v>
      </c>
      <c r="O35" s="37" t="n">
        <f aca="false">$N$35</f>
        <v>14127910.28</v>
      </c>
      <c r="P35" s="37"/>
      <c r="Q35" s="37" t="n">
        <f aca="false">Q36</f>
        <v>-2354651.71333333</v>
      </c>
      <c r="R35" s="37" t="n">
        <f aca="false">-Q35</f>
        <v>2354651.71333333</v>
      </c>
      <c r="S35" s="37" t="n">
        <f aca="false">S36</f>
        <v>0</v>
      </c>
      <c r="T35" s="106" t="n">
        <f aca="false">-S35</f>
        <v>-0</v>
      </c>
      <c r="U35" s="105" t="n">
        <f aca="false">$C$7/6</f>
        <v>40454368.09</v>
      </c>
      <c r="V35" s="37" t="n">
        <f aca="false">$U$35</f>
        <v>40454368.09</v>
      </c>
      <c r="W35" s="37"/>
      <c r="X35" s="37" t="n">
        <f aca="false">X36</f>
        <v>-11558390.945</v>
      </c>
      <c r="Y35" s="37" t="n">
        <f aca="false">-X35</f>
        <v>11558390.945</v>
      </c>
      <c r="Z35" s="37" t="n">
        <f aca="false">Z36</f>
        <v>0</v>
      </c>
      <c r="AA35" s="106" t="n">
        <f aca="false">-Z35</f>
        <v>-0</v>
      </c>
      <c r="AB35" s="37"/>
      <c r="AC35" s="107" t="n">
        <f aca="false">G35-C35</f>
        <v>3421191.86666667</v>
      </c>
      <c r="AD35" s="107" t="n">
        <f aca="false">N35-C35</f>
        <v>14111090.28</v>
      </c>
      <c r="AE35" s="107" t="n">
        <f aca="false">U35-C35</f>
        <v>40437548.09</v>
      </c>
      <c r="AF35" s="37"/>
      <c r="AG35" s="37"/>
    </row>
    <row r="36" customFormat="false" ht="15.75" hidden="false" customHeight="false" outlineLevel="0" collapsed="false">
      <c r="A36" s="103" t="s">
        <v>61</v>
      </c>
      <c r="B36" s="104" t="n">
        <f aca="false">B35+1</f>
        <v>8</v>
      </c>
      <c r="C36" s="105" t="n">
        <f aca="false">$C$9/12</f>
        <v>16820</v>
      </c>
      <c r="D36" s="147" t="n">
        <f aca="false">C36-E36</f>
        <v>0</v>
      </c>
      <c r="E36" s="106" t="n">
        <f aca="false">$C$41</f>
        <v>16820</v>
      </c>
      <c r="G36" s="105" t="n">
        <f aca="false">$C$5/6</f>
        <v>3438011.86666667</v>
      </c>
      <c r="H36" s="37" t="n">
        <f aca="false">$G$35</f>
        <v>3438011.86666667</v>
      </c>
      <c r="I36" s="37"/>
      <c r="J36" s="37" t="n">
        <f aca="false">$J$41</f>
        <v>0</v>
      </c>
      <c r="K36" s="37" t="n">
        <f aca="false">-J36</f>
        <v>-0</v>
      </c>
      <c r="L36" s="37" t="n">
        <f aca="false">L37</f>
        <v>0</v>
      </c>
      <c r="M36" s="106" t="n">
        <f aca="false">-L36</f>
        <v>-0</v>
      </c>
      <c r="N36" s="105" t="n">
        <f aca="false">$C$6/6</f>
        <v>14127910.28</v>
      </c>
      <c r="O36" s="37" t="n">
        <f aca="false">$N$35</f>
        <v>14127910.28</v>
      </c>
      <c r="P36" s="37"/>
      <c r="Q36" s="37" t="n">
        <f aca="false">Q37</f>
        <v>-2354651.71333333</v>
      </c>
      <c r="R36" s="37" t="n">
        <f aca="false">-Q36</f>
        <v>2354651.71333333</v>
      </c>
      <c r="S36" s="37" t="n">
        <f aca="false">S37</f>
        <v>0</v>
      </c>
      <c r="T36" s="106" t="n">
        <f aca="false">-S36</f>
        <v>-0</v>
      </c>
      <c r="U36" s="105" t="n">
        <f aca="false">$C$7/6</f>
        <v>40454368.09</v>
      </c>
      <c r="V36" s="37" t="n">
        <f aca="false">$U$35</f>
        <v>40454368.09</v>
      </c>
      <c r="W36" s="37"/>
      <c r="X36" s="37" t="n">
        <f aca="false">X37</f>
        <v>-11558390.945</v>
      </c>
      <c r="Y36" s="37" t="n">
        <f aca="false">-X36</f>
        <v>11558390.945</v>
      </c>
      <c r="Z36" s="37" t="n">
        <f aca="false">Z37</f>
        <v>0</v>
      </c>
      <c r="AA36" s="106" t="n">
        <f aca="false">-Z36</f>
        <v>-0</v>
      </c>
      <c r="AB36" s="37"/>
      <c r="AC36" s="107" t="n">
        <f aca="false">G36-C36</f>
        <v>3421191.86666667</v>
      </c>
      <c r="AD36" s="107" t="n">
        <f aca="false">N36-C36</f>
        <v>14111090.28</v>
      </c>
      <c r="AE36" s="107" t="n">
        <f aca="false">U36-C36</f>
        <v>40437548.09</v>
      </c>
      <c r="AF36" s="37"/>
      <c r="AG36" s="37"/>
    </row>
    <row r="37" customFormat="false" ht="15.75" hidden="false" customHeight="false" outlineLevel="0" collapsed="false">
      <c r="A37" s="103" t="s">
        <v>62</v>
      </c>
      <c r="B37" s="104" t="n">
        <f aca="false">B36+1</f>
        <v>9</v>
      </c>
      <c r="C37" s="105" t="n">
        <f aca="false">$C$9/12</f>
        <v>16820</v>
      </c>
      <c r="D37" s="147" t="n">
        <f aca="false">C37-E37</f>
        <v>0</v>
      </c>
      <c r="E37" s="106" t="n">
        <f aca="false">$C$41</f>
        <v>16820</v>
      </c>
      <c r="G37" s="105" t="n">
        <f aca="false">$C$5/6</f>
        <v>3438011.86666667</v>
      </c>
      <c r="H37" s="37" t="n">
        <f aca="false">$G$35</f>
        <v>3438011.86666667</v>
      </c>
      <c r="I37" s="37"/>
      <c r="J37" s="37" t="n">
        <f aca="false">$J$41</f>
        <v>0</v>
      </c>
      <c r="K37" s="37" t="n">
        <f aca="false">-J37</f>
        <v>-0</v>
      </c>
      <c r="L37" s="37" t="n">
        <f aca="false">L38</f>
        <v>0</v>
      </c>
      <c r="M37" s="106" t="n">
        <f aca="false">-L37</f>
        <v>-0</v>
      </c>
      <c r="N37" s="105" t="n">
        <f aca="false">$C$6/6</f>
        <v>14127910.28</v>
      </c>
      <c r="O37" s="37" t="n">
        <f aca="false">$N$35</f>
        <v>14127910.28</v>
      </c>
      <c r="P37" s="37"/>
      <c r="Q37" s="37" t="n">
        <f aca="false">Q38</f>
        <v>-2354651.71333333</v>
      </c>
      <c r="R37" s="37" t="n">
        <f aca="false">-Q37</f>
        <v>2354651.71333333</v>
      </c>
      <c r="S37" s="37" t="n">
        <f aca="false">S38</f>
        <v>0</v>
      </c>
      <c r="T37" s="106" t="n">
        <f aca="false">-S37</f>
        <v>-0</v>
      </c>
      <c r="U37" s="105" t="n">
        <f aca="false">$C$7/6</f>
        <v>40454368.09</v>
      </c>
      <c r="V37" s="37" t="n">
        <f aca="false">$U$35</f>
        <v>40454368.09</v>
      </c>
      <c r="W37" s="37"/>
      <c r="X37" s="37" t="n">
        <f aca="false">X38</f>
        <v>-11558390.945</v>
      </c>
      <c r="Y37" s="37" t="n">
        <f aca="false">-X37</f>
        <v>11558390.945</v>
      </c>
      <c r="Z37" s="37" t="n">
        <f aca="false">Z38</f>
        <v>0</v>
      </c>
      <c r="AA37" s="106" t="n">
        <f aca="false">-Z37</f>
        <v>-0</v>
      </c>
      <c r="AB37" s="37"/>
      <c r="AC37" s="107" t="n">
        <f aca="false">G37-C37</f>
        <v>3421191.86666667</v>
      </c>
      <c r="AD37" s="107" t="n">
        <f aca="false">N37-C37</f>
        <v>14111090.28</v>
      </c>
      <c r="AE37" s="107" t="n">
        <f aca="false">U37-C37</f>
        <v>40437548.09</v>
      </c>
      <c r="AF37" s="37"/>
      <c r="AG37" s="37"/>
    </row>
    <row r="38" customFormat="false" ht="15.75" hidden="false" customHeight="false" outlineLevel="0" collapsed="false">
      <c r="A38" s="103" t="s">
        <v>63</v>
      </c>
      <c r="B38" s="104" t="n">
        <f aca="false">B37+1</f>
        <v>10</v>
      </c>
      <c r="C38" s="105" t="n">
        <f aca="false">$C$9/12</f>
        <v>16820</v>
      </c>
      <c r="D38" s="147" t="n">
        <f aca="false">C38-E38</f>
        <v>0</v>
      </c>
      <c r="E38" s="106" t="n">
        <f aca="false">$C$41</f>
        <v>16820</v>
      </c>
      <c r="G38" s="105" t="n">
        <f aca="false">$C$5/6</f>
        <v>3438011.86666667</v>
      </c>
      <c r="H38" s="37" t="n">
        <f aca="false">$G$35</f>
        <v>3438011.86666667</v>
      </c>
      <c r="I38" s="37"/>
      <c r="J38" s="37" t="n">
        <f aca="false">$J$41</f>
        <v>0</v>
      </c>
      <c r="K38" s="37" t="n">
        <f aca="false">-J38</f>
        <v>-0</v>
      </c>
      <c r="L38" s="37" t="n">
        <f aca="false">L39</f>
        <v>0</v>
      </c>
      <c r="M38" s="106" t="n">
        <f aca="false">-L38</f>
        <v>-0</v>
      </c>
      <c r="N38" s="105" t="n">
        <f aca="false">$C$6/6</f>
        <v>14127910.28</v>
      </c>
      <c r="O38" s="37" t="n">
        <f aca="false">$N$35</f>
        <v>14127910.28</v>
      </c>
      <c r="P38" s="37"/>
      <c r="Q38" s="37" t="n">
        <f aca="false">Q39</f>
        <v>-2354651.71333333</v>
      </c>
      <c r="R38" s="37" t="n">
        <f aca="false">-Q38</f>
        <v>2354651.71333333</v>
      </c>
      <c r="S38" s="37" t="n">
        <f aca="false">S39</f>
        <v>0</v>
      </c>
      <c r="T38" s="106" t="n">
        <f aca="false">-S38</f>
        <v>-0</v>
      </c>
      <c r="U38" s="105" t="n">
        <f aca="false">$C$7/6</f>
        <v>40454368.09</v>
      </c>
      <c r="V38" s="37" t="n">
        <f aca="false">$U$35</f>
        <v>40454368.09</v>
      </c>
      <c r="W38" s="37"/>
      <c r="X38" s="37" t="n">
        <f aca="false">X39</f>
        <v>-11558390.945</v>
      </c>
      <c r="Y38" s="37" t="n">
        <f aca="false">-X38</f>
        <v>11558390.945</v>
      </c>
      <c r="Z38" s="37" t="n">
        <f aca="false">Z39</f>
        <v>0</v>
      </c>
      <c r="AA38" s="106" t="n">
        <f aca="false">-Z38</f>
        <v>-0</v>
      </c>
      <c r="AB38" s="37"/>
      <c r="AC38" s="107" t="n">
        <f aca="false">G38-C38</f>
        <v>3421191.86666667</v>
      </c>
      <c r="AD38" s="107" t="n">
        <f aca="false">N38-C38</f>
        <v>14111090.28</v>
      </c>
      <c r="AE38" s="107" t="n">
        <f aca="false">U38-C38</f>
        <v>40437548.09</v>
      </c>
      <c r="AF38" s="37"/>
      <c r="AG38" s="37"/>
    </row>
    <row r="39" customFormat="false" ht="15.75" hidden="false" customHeight="false" outlineLevel="0" collapsed="false">
      <c r="A39" s="103" t="s">
        <v>64</v>
      </c>
      <c r="B39" s="104" t="n">
        <f aca="false">B38+1</f>
        <v>11</v>
      </c>
      <c r="C39" s="105" t="n">
        <f aca="false">$C$9/12</f>
        <v>16820</v>
      </c>
      <c r="D39" s="147" t="n">
        <f aca="false">C39-E39</f>
        <v>0</v>
      </c>
      <c r="E39" s="106" t="n">
        <f aca="false">$C$41</f>
        <v>16820</v>
      </c>
      <c r="G39" s="105" t="n">
        <f aca="false">$C$5/6</f>
        <v>3438011.86666667</v>
      </c>
      <c r="H39" s="37" t="n">
        <f aca="false">$G$35</f>
        <v>3438011.86666667</v>
      </c>
      <c r="I39" s="37"/>
      <c r="J39" s="37" t="n">
        <f aca="false">$J$41</f>
        <v>0</v>
      </c>
      <c r="K39" s="37" t="n">
        <f aca="false">-J39</f>
        <v>-0</v>
      </c>
      <c r="L39" s="37" t="n">
        <f aca="false">L40</f>
        <v>0</v>
      </c>
      <c r="M39" s="106" t="n">
        <f aca="false">-L39</f>
        <v>-0</v>
      </c>
      <c r="N39" s="105" t="n">
        <f aca="false">$C$6/6</f>
        <v>14127910.28</v>
      </c>
      <c r="O39" s="37" t="n">
        <f aca="false">$N$35</f>
        <v>14127910.28</v>
      </c>
      <c r="P39" s="37"/>
      <c r="Q39" s="37" t="n">
        <f aca="false">Q40</f>
        <v>-2354651.71333333</v>
      </c>
      <c r="R39" s="37" t="n">
        <f aca="false">-Q39</f>
        <v>2354651.71333333</v>
      </c>
      <c r="S39" s="37" t="n">
        <f aca="false">S40</f>
        <v>0</v>
      </c>
      <c r="T39" s="106" t="n">
        <f aca="false">-S39</f>
        <v>-0</v>
      </c>
      <c r="U39" s="105" t="n">
        <f aca="false">$C$7/6</f>
        <v>40454368.09</v>
      </c>
      <c r="V39" s="37" t="n">
        <f aca="false">$U$35</f>
        <v>40454368.09</v>
      </c>
      <c r="W39" s="37"/>
      <c r="X39" s="37" t="n">
        <f aca="false">X40</f>
        <v>-11558390.945</v>
      </c>
      <c r="Y39" s="37" t="n">
        <f aca="false">-X39</f>
        <v>11558390.945</v>
      </c>
      <c r="Z39" s="37" t="n">
        <f aca="false">Z40</f>
        <v>0</v>
      </c>
      <c r="AA39" s="106" t="n">
        <f aca="false">-Z39</f>
        <v>-0</v>
      </c>
      <c r="AB39" s="37"/>
      <c r="AC39" s="107" t="n">
        <f aca="false">G39-C39</f>
        <v>3421191.86666667</v>
      </c>
      <c r="AD39" s="107" t="n">
        <f aca="false">N39-C39</f>
        <v>14111090.28</v>
      </c>
      <c r="AE39" s="107" t="n">
        <f aca="false">U39-C39</f>
        <v>40437548.09</v>
      </c>
      <c r="AF39" s="37"/>
      <c r="AG39" s="37"/>
    </row>
    <row r="40" customFormat="false" ht="15.75" hidden="false" customHeight="false" outlineLevel="0" collapsed="false">
      <c r="A40" s="103" t="s">
        <v>65</v>
      </c>
      <c r="B40" s="104" t="n">
        <f aca="false">B39+1</f>
        <v>12</v>
      </c>
      <c r="C40" s="105" t="n">
        <f aca="false">$C$9/12</f>
        <v>16820</v>
      </c>
      <c r="D40" s="147" t="n">
        <f aca="false">C40-E40</f>
        <v>0</v>
      </c>
      <c r="E40" s="106" t="n">
        <f aca="false">$C$41</f>
        <v>16820</v>
      </c>
      <c r="G40" s="105" t="n">
        <f aca="false">$C$5/6</f>
        <v>3438011.86666667</v>
      </c>
      <c r="H40" s="37" t="n">
        <f aca="false">$G$35</f>
        <v>3438011.86666667</v>
      </c>
      <c r="I40" s="37"/>
      <c r="J40" s="37" t="n">
        <f aca="false">$J$41</f>
        <v>0</v>
      </c>
      <c r="K40" s="37" t="n">
        <f aca="false">-J40</f>
        <v>-0</v>
      </c>
      <c r="L40" s="37" t="n">
        <f aca="false">L41</f>
        <v>0</v>
      </c>
      <c r="M40" s="106" t="n">
        <f aca="false">-L40</f>
        <v>-0</v>
      </c>
      <c r="N40" s="105" t="n">
        <f aca="false">$C$6/6</f>
        <v>14127910.28</v>
      </c>
      <c r="O40" s="37" t="n">
        <f aca="false">$N$35</f>
        <v>14127910.28</v>
      </c>
      <c r="P40" s="37"/>
      <c r="Q40" s="37" t="n">
        <f aca="false">Q41</f>
        <v>-2354651.71333333</v>
      </c>
      <c r="R40" s="37" t="n">
        <f aca="false">-Q40</f>
        <v>2354651.71333333</v>
      </c>
      <c r="S40" s="37" t="n">
        <f aca="false">S41</f>
        <v>0</v>
      </c>
      <c r="T40" s="106" t="n">
        <f aca="false">-S40</f>
        <v>-0</v>
      </c>
      <c r="U40" s="105" t="n">
        <f aca="false">$C$7/6</f>
        <v>40454368.09</v>
      </c>
      <c r="V40" s="37" t="n">
        <f aca="false">$U$35</f>
        <v>40454368.09</v>
      </c>
      <c r="W40" s="37"/>
      <c r="X40" s="37" t="n">
        <f aca="false">X41</f>
        <v>-11558390.945</v>
      </c>
      <c r="Y40" s="37" t="n">
        <f aca="false">-X40</f>
        <v>11558390.945</v>
      </c>
      <c r="Z40" s="37" t="n">
        <f aca="false">Z41</f>
        <v>0</v>
      </c>
      <c r="AA40" s="106" t="n">
        <f aca="false">-Z40</f>
        <v>-0</v>
      </c>
      <c r="AB40" s="37"/>
      <c r="AC40" s="107" t="n">
        <f aca="false">G40-C40</f>
        <v>3421191.86666667</v>
      </c>
      <c r="AD40" s="107" t="n">
        <f aca="false">N40-C40</f>
        <v>14111090.28</v>
      </c>
      <c r="AE40" s="107" t="n">
        <f aca="false">U40-C40</f>
        <v>40437548.09</v>
      </c>
      <c r="AF40" s="37"/>
      <c r="AG40" s="37"/>
    </row>
    <row r="41" customFormat="false" ht="15.75" hidden="false" customHeight="false" outlineLevel="0" collapsed="false">
      <c r="A41" s="103" t="s">
        <v>66</v>
      </c>
      <c r="B41" s="104" t="n">
        <f aca="false">B40+1</f>
        <v>13</v>
      </c>
      <c r="C41" s="105" t="n">
        <f aca="false">$D$9/12</f>
        <v>16820</v>
      </c>
      <c r="D41" s="86"/>
      <c r="E41" s="106" t="n">
        <f aca="false">$C$41</f>
        <v>16820</v>
      </c>
      <c r="G41" s="105" t="n">
        <f aca="false">$D$5/12</f>
        <v>3438011.86666667</v>
      </c>
      <c r="H41" s="37" t="n">
        <f aca="false">$G$35</f>
        <v>3438011.86666667</v>
      </c>
      <c r="I41" s="37"/>
      <c r="J41" s="37" t="n">
        <f aca="false">G41-H41</f>
        <v>0</v>
      </c>
      <c r="K41" s="37"/>
      <c r="L41" s="37" t="n">
        <f aca="false">L42</f>
        <v>0</v>
      </c>
      <c r="M41" s="106" t="n">
        <f aca="false">-L41</f>
        <v>-0</v>
      </c>
      <c r="N41" s="105" t="n">
        <f aca="false">$D$6/12</f>
        <v>11773258.5666667</v>
      </c>
      <c r="O41" s="37" t="n">
        <f aca="false">$N$35</f>
        <v>14127910.28</v>
      </c>
      <c r="P41" s="37"/>
      <c r="Q41" s="37" t="n">
        <f aca="false">N41-O41</f>
        <v>-2354651.71333333</v>
      </c>
      <c r="R41" s="37"/>
      <c r="S41" s="37" t="n">
        <f aca="false">S42</f>
        <v>0</v>
      </c>
      <c r="T41" s="106" t="n">
        <f aca="false">-S41</f>
        <v>-0</v>
      </c>
      <c r="U41" s="105" t="n">
        <f aca="false">$D$7/12</f>
        <v>28895977.145</v>
      </c>
      <c r="V41" s="37" t="n">
        <f aca="false">$U$35</f>
        <v>40454368.09</v>
      </c>
      <c r="W41" s="37"/>
      <c r="X41" s="37" t="n">
        <f aca="false">U41-V41</f>
        <v>-11558390.945</v>
      </c>
      <c r="Y41" s="37"/>
      <c r="Z41" s="37" t="n">
        <f aca="false">Z42</f>
        <v>0</v>
      </c>
      <c r="AA41" s="106" t="n">
        <f aca="false">-Z41</f>
        <v>-0</v>
      </c>
      <c r="AB41" s="37"/>
      <c r="AC41" s="107" t="n">
        <f aca="false">G41-C41</f>
        <v>3421191.86666667</v>
      </c>
      <c r="AD41" s="107" t="n">
        <f aca="false">N41-C41</f>
        <v>11756438.5666667</v>
      </c>
      <c r="AE41" s="107" t="n">
        <f aca="false">U41-C41</f>
        <v>28879157.145</v>
      </c>
      <c r="AF41" s="37"/>
      <c r="AG41" s="37"/>
    </row>
    <row r="42" customFormat="false" ht="15.75" hidden="false" customHeight="false" outlineLevel="0" collapsed="false">
      <c r="A42" s="103" t="s">
        <v>67</v>
      </c>
      <c r="B42" s="104" t="n">
        <f aca="false">B41+1</f>
        <v>14</v>
      </c>
      <c r="C42" s="105" t="n">
        <f aca="false">$D$9/12</f>
        <v>16820</v>
      </c>
      <c r="D42" s="37"/>
      <c r="E42" s="106" t="n">
        <f aca="false">$C$41</f>
        <v>16820</v>
      </c>
      <c r="G42" s="105" t="n">
        <f aca="false">$D$5/12</f>
        <v>3438011.86666667</v>
      </c>
      <c r="H42" s="37" t="n">
        <f aca="false">$G$35</f>
        <v>3438011.86666667</v>
      </c>
      <c r="I42" s="37"/>
      <c r="J42" s="37" t="n">
        <f aca="false">G42-H42</f>
        <v>0</v>
      </c>
      <c r="K42" s="37"/>
      <c r="L42" s="37" t="n">
        <f aca="false">L43</f>
        <v>0</v>
      </c>
      <c r="M42" s="106" t="n">
        <f aca="false">-L42</f>
        <v>-0</v>
      </c>
      <c r="N42" s="105" t="n">
        <f aca="false">$D$6/12</f>
        <v>11773258.5666667</v>
      </c>
      <c r="O42" s="37" t="n">
        <f aca="false">$N$35</f>
        <v>14127910.28</v>
      </c>
      <c r="P42" s="37"/>
      <c r="Q42" s="37" t="n">
        <f aca="false">N42-O42</f>
        <v>-2354651.71333333</v>
      </c>
      <c r="R42" s="37"/>
      <c r="S42" s="37" t="n">
        <f aca="false">S43</f>
        <v>0</v>
      </c>
      <c r="T42" s="106" t="n">
        <f aca="false">-S42</f>
        <v>-0</v>
      </c>
      <c r="U42" s="105" t="n">
        <f aca="false">$D$7/12</f>
        <v>28895977.145</v>
      </c>
      <c r="V42" s="37" t="n">
        <f aca="false">$U$35</f>
        <v>40454368.09</v>
      </c>
      <c r="W42" s="37"/>
      <c r="X42" s="37" t="n">
        <f aca="false">U42-V42</f>
        <v>-11558390.945</v>
      </c>
      <c r="Y42" s="37"/>
      <c r="Z42" s="37" t="n">
        <f aca="false">Z43</f>
        <v>0</v>
      </c>
      <c r="AA42" s="106" t="n">
        <f aca="false">-Z42</f>
        <v>-0</v>
      </c>
      <c r="AB42" s="37"/>
      <c r="AC42" s="107" t="n">
        <f aca="false">G42-C42</f>
        <v>3421191.86666667</v>
      </c>
      <c r="AD42" s="107" t="n">
        <f aca="false">N42-C42</f>
        <v>11756438.5666667</v>
      </c>
      <c r="AE42" s="107" t="n">
        <f aca="false">U42-C42</f>
        <v>28879157.145</v>
      </c>
      <c r="AF42" s="37"/>
      <c r="AG42" s="37"/>
    </row>
    <row r="43" customFormat="false" ht="15.75" hidden="false" customHeight="false" outlineLevel="0" collapsed="false">
      <c r="A43" s="103" t="s">
        <v>68</v>
      </c>
      <c r="B43" s="104" t="n">
        <f aca="false">B42+1</f>
        <v>15</v>
      </c>
      <c r="C43" s="105" t="n">
        <f aca="false">$D$9/12</f>
        <v>16820</v>
      </c>
      <c r="D43" s="37"/>
      <c r="E43" s="106" t="n">
        <f aca="false">$C$41</f>
        <v>16820</v>
      </c>
      <c r="G43" s="105" t="n">
        <f aca="false">$D$5/12</f>
        <v>3438011.86666667</v>
      </c>
      <c r="H43" s="37" t="n">
        <f aca="false">$G$35</f>
        <v>3438011.86666667</v>
      </c>
      <c r="I43" s="37"/>
      <c r="J43" s="37" t="n">
        <f aca="false">G43-H43</f>
        <v>0</v>
      </c>
      <c r="K43" s="37"/>
      <c r="L43" s="37" t="n">
        <f aca="false">L44</f>
        <v>0</v>
      </c>
      <c r="M43" s="106" t="n">
        <f aca="false">-L43</f>
        <v>-0</v>
      </c>
      <c r="N43" s="105" t="n">
        <f aca="false">$D$6/12</f>
        <v>11773258.5666667</v>
      </c>
      <c r="O43" s="37" t="n">
        <f aca="false">$N$35</f>
        <v>14127910.28</v>
      </c>
      <c r="P43" s="37"/>
      <c r="Q43" s="37" t="n">
        <f aca="false">N43-O43</f>
        <v>-2354651.71333333</v>
      </c>
      <c r="R43" s="37"/>
      <c r="S43" s="37" t="n">
        <f aca="false">S44</f>
        <v>0</v>
      </c>
      <c r="T43" s="106" t="n">
        <f aca="false">-S43</f>
        <v>-0</v>
      </c>
      <c r="U43" s="105" t="n">
        <f aca="false">$D$7/12</f>
        <v>28895977.145</v>
      </c>
      <c r="V43" s="37" t="n">
        <f aca="false">$U$35</f>
        <v>40454368.09</v>
      </c>
      <c r="W43" s="37"/>
      <c r="X43" s="37" t="n">
        <f aca="false">U43-V43</f>
        <v>-11558390.945</v>
      </c>
      <c r="Y43" s="37"/>
      <c r="Z43" s="37" t="n">
        <f aca="false">Z44</f>
        <v>0</v>
      </c>
      <c r="AA43" s="106" t="n">
        <f aca="false">-Z43</f>
        <v>-0</v>
      </c>
      <c r="AB43" s="37"/>
      <c r="AC43" s="107" t="n">
        <f aca="false">G43-C43</f>
        <v>3421191.86666667</v>
      </c>
      <c r="AD43" s="107" t="n">
        <f aca="false">N43-C43</f>
        <v>11756438.5666667</v>
      </c>
      <c r="AE43" s="107" t="n">
        <f aca="false">U43-C43</f>
        <v>28879157.145</v>
      </c>
      <c r="AF43" s="37"/>
      <c r="AG43" s="37"/>
    </row>
    <row r="44" customFormat="false" ht="15.75" hidden="false" customHeight="false" outlineLevel="0" collapsed="false">
      <c r="A44" s="103" t="s">
        <v>69</v>
      </c>
      <c r="B44" s="104" t="n">
        <f aca="false">B43+1</f>
        <v>16</v>
      </c>
      <c r="C44" s="105" t="n">
        <f aca="false">$D$9/12</f>
        <v>16820</v>
      </c>
      <c r="D44" s="37"/>
      <c r="E44" s="106" t="n">
        <f aca="false">$C$41</f>
        <v>16820</v>
      </c>
      <c r="G44" s="105" t="n">
        <f aca="false">$D$5/12</f>
        <v>3438011.86666667</v>
      </c>
      <c r="H44" s="37" t="n">
        <f aca="false">$G$35</f>
        <v>3438011.86666667</v>
      </c>
      <c r="I44" s="37"/>
      <c r="J44" s="37" t="n">
        <f aca="false">G44-H44</f>
        <v>0</v>
      </c>
      <c r="K44" s="37"/>
      <c r="L44" s="37" t="n">
        <f aca="false">L45</f>
        <v>0</v>
      </c>
      <c r="M44" s="106" t="n">
        <f aca="false">-L44</f>
        <v>-0</v>
      </c>
      <c r="N44" s="105" t="n">
        <f aca="false">$D$6/12</f>
        <v>11773258.5666667</v>
      </c>
      <c r="O44" s="37" t="n">
        <f aca="false">$N$35</f>
        <v>14127910.28</v>
      </c>
      <c r="P44" s="37"/>
      <c r="Q44" s="37" t="n">
        <f aca="false">N44-O44</f>
        <v>-2354651.71333333</v>
      </c>
      <c r="R44" s="37"/>
      <c r="S44" s="37" t="n">
        <f aca="false">S45</f>
        <v>0</v>
      </c>
      <c r="T44" s="106" t="n">
        <f aca="false">-S44</f>
        <v>-0</v>
      </c>
      <c r="U44" s="105" t="n">
        <f aca="false">$D$7/12</f>
        <v>28895977.145</v>
      </c>
      <c r="V44" s="37" t="n">
        <f aca="false">$U$35</f>
        <v>40454368.09</v>
      </c>
      <c r="W44" s="37"/>
      <c r="X44" s="37" t="n">
        <f aca="false">U44-V44</f>
        <v>-11558390.945</v>
      </c>
      <c r="Y44" s="37"/>
      <c r="Z44" s="37" t="n">
        <f aca="false">Z45</f>
        <v>0</v>
      </c>
      <c r="AA44" s="106" t="n">
        <f aca="false">-Z44</f>
        <v>-0</v>
      </c>
      <c r="AB44" s="37"/>
      <c r="AC44" s="107" t="n">
        <f aca="false">G44-C44</f>
        <v>3421191.86666667</v>
      </c>
      <c r="AD44" s="107" t="n">
        <f aca="false">N44-C44</f>
        <v>11756438.5666667</v>
      </c>
      <c r="AE44" s="107" t="n">
        <f aca="false">U44-C44</f>
        <v>28879157.145</v>
      </c>
      <c r="AF44" s="37"/>
      <c r="AG44" s="37"/>
    </row>
    <row r="45" customFormat="false" ht="15.75" hidden="false" customHeight="false" outlineLevel="0" collapsed="false">
      <c r="A45" s="103" t="s">
        <v>70</v>
      </c>
      <c r="B45" s="104" t="n">
        <f aca="false">B44+1</f>
        <v>17</v>
      </c>
      <c r="C45" s="105" t="n">
        <f aca="false">$D$9/12</f>
        <v>16820</v>
      </c>
      <c r="D45" s="37"/>
      <c r="E45" s="106" t="n">
        <f aca="false">$C$41</f>
        <v>16820</v>
      </c>
      <c r="G45" s="105" t="n">
        <f aca="false">$D$5/12</f>
        <v>3438011.86666667</v>
      </c>
      <c r="H45" s="37" t="n">
        <f aca="false">$G$35</f>
        <v>3438011.86666667</v>
      </c>
      <c r="I45" s="37"/>
      <c r="J45" s="37" t="n">
        <f aca="false">G45-H45</f>
        <v>0</v>
      </c>
      <c r="K45" s="37"/>
      <c r="L45" s="37" t="n">
        <f aca="false">L46</f>
        <v>0</v>
      </c>
      <c r="M45" s="106" t="n">
        <f aca="false">-L45</f>
        <v>-0</v>
      </c>
      <c r="N45" s="105" t="n">
        <f aca="false">$D$6/12</f>
        <v>11773258.5666667</v>
      </c>
      <c r="O45" s="37" t="n">
        <f aca="false">$N$35</f>
        <v>14127910.28</v>
      </c>
      <c r="P45" s="37"/>
      <c r="Q45" s="37" t="n">
        <f aca="false">N45-O45</f>
        <v>-2354651.71333333</v>
      </c>
      <c r="R45" s="37"/>
      <c r="S45" s="37" t="n">
        <f aca="false">S46</f>
        <v>0</v>
      </c>
      <c r="T45" s="106" t="n">
        <f aca="false">-S45</f>
        <v>-0</v>
      </c>
      <c r="U45" s="105" t="n">
        <f aca="false">$D$7/12</f>
        <v>28895977.145</v>
      </c>
      <c r="V45" s="37" t="n">
        <f aca="false">$U$35</f>
        <v>40454368.09</v>
      </c>
      <c r="W45" s="37"/>
      <c r="X45" s="37" t="n">
        <f aca="false">U45-V45</f>
        <v>-11558390.945</v>
      </c>
      <c r="Y45" s="37"/>
      <c r="Z45" s="37" t="n">
        <f aca="false">Z46</f>
        <v>0</v>
      </c>
      <c r="AA45" s="106" t="n">
        <f aca="false">-Z45</f>
        <v>-0</v>
      </c>
      <c r="AB45" s="37"/>
      <c r="AC45" s="107" t="n">
        <f aca="false">G45-C45</f>
        <v>3421191.86666667</v>
      </c>
      <c r="AD45" s="107" t="n">
        <f aca="false">N45-C45</f>
        <v>11756438.5666667</v>
      </c>
      <c r="AE45" s="107" t="n">
        <f aca="false">U45-C45</f>
        <v>28879157.145</v>
      </c>
      <c r="AF45" s="37"/>
      <c r="AG45" s="37"/>
    </row>
    <row r="46" customFormat="false" ht="15.75" hidden="false" customHeight="false" outlineLevel="0" collapsed="false">
      <c r="A46" s="103" t="s">
        <v>71</v>
      </c>
      <c r="B46" s="104" t="n">
        <f aca="false">B45+1</f>
        <v>18</v>
      </c>
      <c r="C46" s="105" t="n">
        <f aca="false">$D$9/12</f>
        <v>16820</v>
      </c>
      <c r="D46" s="37"/>
      <c r="E46" s="106" t="n">
        <f aca="false">$C$41</f>
        <v>16820</v>
      </c>
      <c r="G46" s="105" t="n">
        <f aca="false">$D$5/12</f>
        <v>3438011.86666667</v>
      </c>
      <c r="H46" s="37" t="n">
        <f aca="false">$G$35</f>
        <v>3438011.86666667</v>
      </c>
      <c r="I46" s="37"/>
      <c r="J46" s="37" t="n">
        <f aca="false">G46-H46</f>
        <v>0</v>
      </c>
      <c r="K46" s="37"/>
      <c r="L46" s="37" t="n">
        <f aca="false">L47</f>
        <v>0</v>
      </c>
      <c r="M46" s="106" t="n">
        <f aca="false">-L46</f>
        <v>-0</v>
      </c>
      <c r="N46" s="105" t="n">
        <f aca="false">$D$6/12</f>
        <v>11773258.5666667</v>
      </c>
      <c r="O46" s="37" t="n">
        <f aca="false">$N$35</f>
        <v>14127910.28</v>
      </c>
      <c r="P46" s="37"/>
      <c r="Q46" s="37" t="n">
        <f aca="false">N46-O46</f>
        <v>-2354651.71333333</v>
      </c>
      <c r="R46" s="37"/>
      <c r="S46" s="37" t="n">
        <f aca="false">S47</f>
        <v>0</v>
      </c>
      <c r="T46" s="106" t="n">
        <f aca="false">-S46</f>
        <v>-0</v>
      </c>
      <c r="U46" s="105" t="n">
        <f aca="false">$D$7/12</f>
        <v>28895977.145</v>
      </c>
      <c r="V46" s="37" t="n">
        <f aca="false">$U$35</f>
        <v>40454368.09</v>
      </c>
      <c r="W46" s="37"/>
      <c r="X46" s="37" t="n">
        <f aca="false">U46-V46</f>
        <v>-11558390.945</v>
      </c>
      <c r="Y46" s="37"/>
      <c r="Z46" s="37" t="n">
        <f aca="false">Z47</f>
        <v>0</v>
      </c>
      <c r="AA46" s="106" t="n">
        <f aca="false">-Z46</f>
        <v>-0</v>
      </c>
      <c r="AB46" s="37"/>
      <c r="AC46" s="107" t="n">
        <f aca="false">G46-C46</f>
        <v>3421191.86666667</v>
      </c>
      <c r="AD46" s="107" t="n">
        <f aca="false">N46-C46</f>
        <v>11756438.5666667</v>
      </c>
      <c r="AE46" s="107" t="n">
        <f aca="false">U46-C46</f>
        <v>28879157.145</v>
      </c>
      <c r="AF46" s="37"/>
      <c r="AG46" s="37"/>
    </row>
    <row r="47" customFormat="false" ht="15.75" hidden="false" customHeight="false" outlineLevel="0" collapsed="false">
      <c r="A47" s="103" t="s">
        <v>72</v>
      </c>
      <c r="B47" s="104" t="n">
        <f aca="false">B46+1</f>
        <v>19</v>
      </c>
      <c r="C47" s="105" t="n">
        <f aca="false">$D$9/12</f>
        <v>16820</v>
      </c>
      <c r="D47" s="37"/>
      <c r="E47" s="106" t="n">
        <f aca="false">$C$41</f>
        <v>16820</v>
      </c>
      <c r="G47" s="105" t="n">
        <f aca="false">$D$5/12</f>
        <v>3438011.86666667</v>
      </c>
      <c r="H47" s="37" t="n">
        <f aca="false">$G$35</f>
        <v>3438011.86666667</v>
      </c>
      <c r="I47" s="37"/>
      <c r="J47" s="37" t="n">
        <f aca="false">G47-H47</f>
        <v>0</v>
      </c>
      <c r="K47" s="37"/>
      <c r="L47" s="37" t="n">
        <f aca="false">L48</f>
        <v>0</v>
      </c>
      <c r="M47" s="106" t="n">
        <f aca="false">-L47</f>
        <v>-0</v>
      </c>
      <c r="N47" s="105" t="n">
        <f aca="false">$D$6/12</f>
        <v>11773258.5666667</v>
      </c>
      <c r="O47" s="37" t="n">
        <f aca="false">$N$35</f>
        <v>14127910.28</v>
      </c>
      <c r="P47" s="37"/>
      <c r="Q47" s="37" t="n">
        <f aca="false">N47-O47</f>
        <v>-2354651.71333333</v>
      </c>
      <c r="R47" s="37"/>
      <c r="S47" s="37" t="n">
        <f aca="false">S48</f>
        <v>0</v>
      </c>
      <c r="T47" s="106" t="n">
        <f aca="false">-S47</f>
        <v>-0</v>
      </c>
      <c r="U47" s="105" t="n">
        <f aca="false">$D$7/12</f>
        <v>28895977.145</v>
      </c>
      <c r="V47" s="37" t="n">
        <f aca="false">$U$35</f>
        <v>40454368.09</v>
      </c>
      <c r="W47" s="37"/>
      <c r="X47" s="37" t="n">
        <f aca="false">U47-V47</f>
        <v>-11558390.945</v>
      </c>
      <c r="Y47" s="37"/>
      <c r="Z47" s="37" t="n">
        <f aca="false">Z48</f>
        <v>0</v>
      </c>
      <c r="AA47" s="106" t="n">
        <f aca="false">-Z47</f>
        <v>-0</v>
      </c>
      <c r="AB47" s="37"/>
      <c r="AC47" s="107" t="n">
        <f aca="false">G47-C47</f>
        <v>3421191.86666667</v>
      </c>
      <c r="AD47" s="107" t="n">
        <f aca="false">N47-C47</f>
        <v>11756438.5666667</v>
      </c>
      <c r="AE47" s="107" t="n">
        <f aca="false">U47-C47</f>
        <v>28879157.145</v>
      </c>
      <c r="AF47" s="37"/>
      <c r="AG47" s="37"/>
    </row>
    <row r="48" customFormat="false" ht="15.75" hidden="false" customHeight="false" outlineLevel="0" collapsed="false">
      <c r="A48" s="103" t="s">
        <v>73</v>
      </c>
      <c r="B48" s="104" t="n">
        <f aca="false">B47+1</f>
        <v>20</v>
      </c>
      <c r="C48" s="105" t="n">
        <f aca="false">$D$9/12</f>
        <v>16820</v>
      </c>
      <c r="D48" s="37"/>
      <c r="E48" s="106" t="n">
        <f aca="false">$C$41</f>
        <v>16820</v>
      </c>
      <c r="G48" s="105" t="n">
        <f aca="false">$D$5/12</f>
        <v>3438011.86666667</v>
      </c>
      <c r="H48" s="37" t="n">
        <f aca="false">$G$35</f>
        <v>3438011.86666667</v>
      </c>
      <c r="I48" s="37"/>
      <c r="J48" s="37" t="n">
        <f aca="false">G48-H48</f>
        <v>0</v>
      </c>
      <c r="K48" s="37"/>
      <c r="L48" s="37" t="n">
        <f aca="false">L49</f>
        <v>0</v>
      </c>
      <c r="M48" s="106" t="n">
        <f aca="false">-L48</f>
        <v>-0</v>
      </c>
      <c r="N48" s="105" t="n">
        <f aca="false">$D$6/12</f>
        <v>11773258.5666667</v>
      </c>
      <c r="O48" s="37" t="n">
        <f aca="false">$N$35</f>
        <v>14127910.28</v>
      </c>
      <c r="P48" s="37"/>
      <c r="Q48" s="37" t="n">
        <f aca="false">N48-O48</f>
        <v>-2354651.71333333</v>
      </c>
      <c r="R48" s="37"/>
      <c r="S48" s="37" t="n">
        <f aca="false">S49</f>
        <v>0</v>
      </c>
      <c r="T48" s="106" t="n">
        <f aca="false">-S48</f>
        <v>-0</v>
      </c>
      <c r="U48" s="105" t="n">
        <f aca="false">$D$7/12</f>
        <v>28895977.145</v>
      </c>
      <c r="V48" s="37" t="n">
        <f aca="false">$U$35</f>
        <v>40454368.09</v>
      </c>
      <c r="W48" s="37"/>
      <c r="X48" s="37" t="n">
        <f aca="false">U48-V48</f>
        <v>-11558390.945</v>
      </c>
      <c r="Y48" s="37"/>
      <c r="Z48" s="37" t="n">
        <f aca="false">Z49</f>
        <v>0</v>
      </c>
      <c r="AA48" s="106" t="n">
        <f aca="false">-Z48</f>
        <v>-0</v>
      </c>
      <c r="AB48" s="37"/>
      <c r="AC48" s="107" t="n">
        <f aca="false">G48-C48</f>
        <v>3421191.86666667</v>
      </c>
      <c r="AD48" s="107" t="n">
        <f aca="false">N48-C48</f>
        <v>11756438.5666667</v>
      </c>
      <c r="AE48" s="107" t="n">
        <f aca="false">U48-C48</f>
        <v>28879157.145</v>
      </c>
      <c r="AF48" s="37"/>
      <c r="AG48" s="37"/>
    </row>
    <row r="49" customFormat="false" ht="15.75" hidden="false" customHeight="false" outlineLevel="0" collapsed="false">
      <c r="A49" s="103" t="s">
        <v>74</v>
      </c>
      <c r="B49" s="104" t="n">
        <f aca="false">B48+1</f>
        <v>21</v>
      </c>
      <c r="C49" s="105" t="n">
        <f aca="false">$D$9/12</f>
        <v>16820</v>
      </c>
      <c r="D49" s="37"/>
      <c r="E49" s="106" t="n">
        <f aca="false">$C$41</f>
        <v>16820</v>
      </c>
      <c r="G49" s="105" t="n">
        <f aca="false">$D$5/12</f>
        <v>3438011.86666667</v>
      </c>
      <c r="H49" s="37" t="n">
        <f aca="false">$G$35</f>
        <v>3438011.86666667</v>
      </c>
      <c r="I49" s="37"/>
      <c r="J49" s="37" t="n">
        <f aca="false">G49-H49</f>
        <v>0</v>
      </c>
      <c r="K49" s="37"/>
      <c r="L49" s="37" t="n">
        <f aca="false">L50</f>
        <v>0</v>
      </c>
      <c r="M49" s="106" t="n">
        <f aca="false">-L49</f>
        <v>-0</v>
      </c>
      <c r="N49" s="105" t="n">
        <f aca="false">$D$6/12</f>
        <v>11773258.5666667</v>
      </c>
      <c r="O49" s="37" t="n">
        <f aca="false">$N$35</f>
        <v>14127910.28</v>
      </c>
      <c r="P49" s="37"/>
      <c r="Q49" s="37" t="n">
        <f aca="false">N49-O49</f>
        <v>-2354651.71333333</v>
      </c>
      <c r="R49" s="37"/>
      <c r="S49" s="37" t="n">
        <f aca="false">S50</f>
        <v>0</v>
      </c>
      <c r="T49" s="106" t="n">
        <f aca="false">-S49</f>
        <v>-0</v>
      </c>
      <c r="U49" s="105" t="n">
        <f aca="false">$D$7/12</f>
        <v>28895977.145</v>
      </c>
      <c r="V49" s="37" t="n">
        <f aca="false">$U$35</f>
        <v>40454368.09</v>
      </c>
      <c r="W49" s="37"/>
      <c r="X49" s="37" t="n">
        <f aca="false">U49-V49</f>
        <v>-11558390.945</v>
      </c>
      <c r="Y49" s="37"/>
      <c r="Z49" s="37" t="n">
        <f aca="false">Z50</f>
        <v>0</v>
      </c>
      <c r="AA49" s="106" t="n">
        <f aca="false">-Z49</f>
        <v>-0</v>
      </c>
      <c r="AB49" s="37"/>
      <c r="AC49" s="107" t="n">
        <f aca="false">G49-C49</f>
        <v>3421191.86666667</v>
      </c>
      <c r="AD49" s="107" t="n">
        <f aca="false">N49-C49</f>
        <v>11756438.5666667</v>
      </c>
      <c r="AE49" s="107" t="n">
        <f aca="false">U49-C49</f>
        <v>28879157.145</v>
      </c>
      <c r="AF49" s="37"/>
      <c r="AG49" s="37"/>
    </row>
    <row r="50" customFormat="false" ht="15.75" hidden="false" customHeight="false" outlineLevel="0" collapsed="false">
      <c r="A50" s="103" t="s">
        <v>75</v>
      </c>
      <c r="B50" s="104" t="n">
        <f aca="false">B49+1</f>
        <v>22</v>
      </c>
      <c r="C50" s="105" t="n">
        <f aca="false">$D$9/12</f>
        <v>16820</v>
      </c>
      <c r="D50" s="37"/>
      <c r="E50" s="106" t="n">
        <f aca="false">$C$41</f>
        <v>16820</v>
      </c>
      <c r="G50" s="105" t="n">
        <f aca="false">$D$5/12</f>
        <v>3438011.86666667</v>
      </c>
      <c r="H50" s="37" t="n">
        <f aca="false">$G$35</f>
        <v>3438011.86666667</v>
      </c>
      <c r="I50" s="37"/>
      <c r="J50" s="37" t="n">
        <f aca="false">G50-H50</f>
        <v>0</v>
      </c>
      <c r="K50" s="37"/>
      <c r="L50" s="37" t="n">
        <f aca="false">L51</f>
        <v>0</v>
      </c>
      <c r="M50" s="106" t="n">
        <f aca="false">-L50</f>
        <v>-0</v>
      </c>
      <c r="N50" s="105" t="n">
        <f aca="false">$D$6/12</f>
        <v>11773258.5666667</v>
      </c>
      <c r="O50" s="37" t="n">
        <f aca="false">$N$35</f>
        <v>14127910.28</v>
      </c>
      <c r="P50" s="37"/>
      <c r="Q50" s="37" t="n">
        <f aca="false">N50-O50</f>
        <v>-2354651.71333333</v>
      </c>
      <c r="R50" s="37"/>
      <c r="S50" s="37" t="n">
        <f aca="false">S51</f>
        <v>0</v>
      </c>
      <c r="T50" s="106" t="n">
        <f aca="false">-S50</f>
        <v>-0</v>
      </c>
      <c r="U50" s="105" t="n">
        <f aca="false">$D$7/12</f>
        <v>28895977.145</v>
      </c>
      <c r="V50" s="37" t="n">
        <f aca="false">$U$35</f>
        <v>40454368.09</v>
      </c>
      <c r="W50" s="37"/>
      <c r="X50" s="37" t="n">
        <f aca="false">U50-V50</f>
        <v>-11558390.945</v>
      </c>
      <c r="Y50" s="37"/>
      <c r="Z50" s="37" t="n">
        <f aca="false">Z51</f>
        <v>0</v>
      </c>
      <c r="AA50" s="106" t="n">
        <f aca="false">-Z50</f>
        <v>-0</v>
      </c>
      <c r="AB50" s="37"/>
      <c r="AC50" s="107" t="n">
        <f aca="false">G50-C50</f>
        <v>3421191.86666667</v>
      </c>
      <c r="AD50" s="107" t="n">
        <f aca="false">N50-C50</f>
        <v>11756438.5666667</v>
      </c>
      <c r="AE50" s="107" t="n">
        <f aca="false">U50-C50</f>
        <v>28879157.145</v>
      </c>
      <c r="AF50" s="37"/>
      <c r="AG50" s="37"/>
    </row>
    <row r="51" customFormat="false" ht="15.75" hidden="false" customHeight="false" outlineLevel="0" collapsed="false">
      <c r="A51" s="103" t="s">
        <v>76</v>
      </c>
      <c r="B51" s="104" t="n">
        <f aca="false">B50+1</f>
        <v>23</v>
      </c>
      <c r="C51" s="105" t="n">
        <f aca="false">$D$9/12</f>
        <v>16820</v>
      </c>
      <c r="D51" s="37"/>
      <c r="E51" s="106" t="n">
        <f aca="false">$C$41</f>
        <v>16820</v>
      </c>
      <c r="G51" s="105" t="n">
        <f aca="false">$D$5/12</f>
        <v>3438011.86666667</v>
      </c>
      <c r="H51" s="37" t="n">
        <f aca="false">$G$35</f>
        <v>3438011.86666667</v>
      </c>
      <c r="I51" s="37"/>
      <c r="J51" s="37" t="n">
        <f aca="false">G51-H51</f>
        <v>0</v>
      </c>
      <c r="K51" s="37"/>
      <c r="L51" s="37" t="n">
        <f aca="false">L52</f>
        <v>0</v>
      </c>
      <c r="M51" s="106" t="n">
        <f aca="false">-L51</f>
        <v>-0</v>
      </c>
      <c r="N51" s="105" t="n">
        <f aca="false">$D$6/12</f>
        <v>11773258.5666667</v>
      </c>
      <c r="O51" s="37" t="n">
        <f aca="false">$N$35</f>
        <v>14127910.28</v>
      </c>
      <c r="P51" s="37"/>
      <c r="Q51" s="37" t="n">
        <f aca="false">N51-O51</f>
        <v>-2354651.71333333</v>
      </c>
      <c r="R51" s="37"/>
      <c r="S51" s="37" t="n">
        <f aca="false">S52</f>
        <v>0</v>
      </c>
      <c r="T51" s="106" t="n">
        <f aca="false">-S51</f>
        <v>-0</v>
      </c>
      <c r="U51" s="105" t="n">
        <f aca="false">$D$7/12</f>
        <v>28895977.145</v>
      </c>
      <c r="V51" s="37" t="n">
        <f aca="false">$U$35</f>
        <v>40454368.09</v>
      </c>
      <c r="W51" s="37"/>
      <c r="X51" s="37" t="n">
        <f aca="false">U51-V51</f>
        <v>-11558390.945</v>
      </c>
      <c r="Y51" s="37"/>
      <c r="Z51" s="37" t="n">
        <f aca="false">Z52</f>
        <v>0</v>
      </c>
      <c r="AA51" s="106" t="n">
        <f aca="false">-Z51</f>
        <v>-0</v>
      </c>
      <c r="AB51" s="37"/>
      <c r="AC51" s="107" t="n">
        <f aca="false">G51-C51</f>
        <v>3421191.86666667</v>
      </c>
      <c r="AD51" s="107" t="n">
        <f aca="false">N51-C51</f>
        <v>11756438.5666667</v>
      </c>
      <c r="AE51" s="107" t="n">
        <f aca="false">U51-C51</f>
        <v>28879157.145</v>
      </c>
      <c r="AF51" s="37"/>
      <c r="AG51" s="37"/>
    </row>
    <row r="52" customFormat="false" ht="15.75" hidden="false" customHeight="false" outlineLevel="0" collapsed="false">
      <c r="A52" s="103" t="s">
        <v>77</v>
      </c>
      <c r="B52" s="104" t="n">
        <f aca="false">B51+1</f>
        <v>24</v>
      </c>
      <c r="C52" s="105" t="n">
        <f aca="false">$D$9/12</f>
        <v>16820</v>
      </c>
      <c r="D52" s="37"/>
      <c r="E52" s="106" t="n">
        <f aca="false">$C$41</f>
        <v>16820</v>
      </c>
      <c r="G52" s="105" t="n">
        <f aca="false">$D$5/12</f>
        <v>3438011.86666667</v>
      </c>
      <c r="H52" s="37" t="n">
        <f aca="false">$G$35</f>
        <v>3438011.86666667</v>
      </c>
      <c r="I52" s="37"/>
      <c r="J52" s="37" t="n">
        <f aca="false">G52-H52</f>
        <v>0</v>
      </c>
      <c r="K52" s="37"/>
      <c r="L52" s="37" t="n">
        <f aca="false">L53</f>
        <v>0</v>
      </c>
      <c r="M52" s="106" t="n">
        <f aca="false">-L52</f>
        <v>-0</v>
      </c>
      <c r="N52" s="105" t="n">
        <f aca="false">$D$6/12</f>
        <v>11773258.5666667</v>
      </c>
      <c r="O52" s="37" t="n">
        <f aca="false">$N$35</f>
        <v>14127910.28</v>
      </c>
      <c r="P52" s="37"/>
      <c r="Q52" s="37" t="n">
        <f aca="false">N52-O52</f>
        <v>-2354651.71333333</v>
      </c>
      <c r="R52" s="37"/>
      <c r="S52" s="37" t="n">
        <f aca="false">S53</f>
        <v>0</v>
      </c>
      <c r="T52" s="106" t="n">
        <f aca="false">-S52</f>
        <v>-0</v>
      </c>
      <c r="U52" s="105" t="n">
        <f aca="false">$D$7/12</f>
        <v>28895977.145</v>
      </c>
      <c r="V52" s="37" t="n">
        <f aca="false">$U$35</f>
        <v>40454368.09</v>
      </c>
      <c r="W52" s="37"/>
      <c r="X52" s="37" t="n">
        <f aca="false">U52-V52</f>
        <v>-11558390.945</v>
      </c>
      <c r="Y52" s="37"/>
      <c r="Z52" s="37" t="n">
        <f aca="false">Z53</f>
        <v>0</v>
      </c>
      <c r="AA52" s="106" t="n">
        <f aca="false">-Z52</f>
        <v>-0</v>
      </c>
      <c r="AB52" s="37"/>
      <c r="AC52" s="107" t="n">
        <f aca="false">G52-C52</f>
        <v>3421191.86666667</v>
      </c>
      <c r="AD52" s="107" t="n">
        <f aca="false">N52-C52</f>
        <v>11756438.5666667</v>
      </c>
      <c r="AE52" s="107" t="n">
        <f aca="false">U52-C52</f>
        <v>28879157.145</v>
      </c>
      <c r="AF52" s="37"/>
      <c r="AG52" s="37"/>
    </row>
    <row r="53" customFormat="false" ht="15.75" hidden="false" customHeight="false" outlineLevel="0" collapsed="false">
      <c r="A53" s="103" t="s">
        <v>78</v>
      </c>
      <c r="B53" s="104" t="n">
        <f aca="false">B52+1</f>
        <v>25</v>
      </c>
      <c r="C53" s="105" t="n">
        <f aca="false">$E$9/12</f>
        <v>16820</v>
      </c>
      <c r="D53" s="86"/>
      <c r="E53" s="106" t="n">
        <f aca="false">$C$41</f>
        <v>16820</v>
      </c>
      <c r="G53" s="105" t="n">
        <f aca="false">$E$5/12</f>
        <v>3438011.86666667</v>
      </c>
      <c r="H53" s="37" t="n">
        <f aca="false">$G$35</f>
        <v>3438011.86666667</v>
      </c>
      <c r="I53" s="37"/>
      <c r="J53" s="37" t="n">
        <f aca="false">J52</f>
        <v>0</v>
      </c>
      <c r="K53" s="37"/>
      <c r="L53" s="37" t="n">
        <f aca="false">G53-H53-J53</f>
        <v>0</v>
      </c>
      <c r="M53" s="106"/>
      <c r="N53" s="105" t="n">
        <f aca="false">$E$6/12</f>
        <v>11773258.5666667</v>
      </c>
      <c r="O53" s="37" t="n">
        <f aca="false">$N$35</f>
        <v>14127910.28</v>
      </c>
      <c r="P53" s="37"/>
      <c r="Q53" s="37" t="n">
        <f aca="false">Q52</f>
        <v>-2354651.71333333</v>
      </c>
      <c r="R53" s="37"/>
      <c r="S53" s="37" t="n">
        <f aca="false">N53-O53-Q53</f>
        <v>0</v>
      </c>
      <c r="T53" s="106"/>
      <c r="U53" s="105" t="n">
        <f aca="false">$E$7/12</f>
        <v>28895977.145</v>
      </c>
      <c r="V53" s="37" t="n">
        <f aca="false">$U$35</f>
        <v>40454368.09</v>
      </c>
      <c r="W53" s="37"/>
      <c r="X53" s="37" t="n">
        <f aca="false">X52</f>
        <v>-11558390.945</v>
      </c>
      <c r="Y53" s="37"/>
      <c r="Z53" s="37" t="n">
        <f aca="false">U53-V53-X53</f>
        <v>0</v>
      </c>
      <c r="AA53" s="106"/>
      <c r="AB53" s="37"/>
      <c r="AC53" s="107" t="n">
        <f aca="false">G53-C53</f>
        <v>3421191.86666667</v>
      </c>
      <c r="AD53" s="107" t="n">
        <f aca="false">N53-C53</f>
        <v>11756438.5666667</v>
      </c>
      <c r="AE53" s="107" t="n">
        <f aca="false">U53-C53</f>
        <v>28879157.145</v>
      </c>
      <c r="AF53" s="37"/>
      <c r="AG53" s="37"/>
    </row>
    <row r="54" customFormat="false" ht="15.75" hidden="false" customHeight="false" outlineLevel="0" collapsed="false">
      <c r="A54" s="103" t="s">
        <v>79</v>
      </c>
      <c r="B54" s="104" t="n">
        <f aca="false">B53+1</f>
        <v>26</v>
      </c>
      <c r="C54" s="105" t="n">
        <f aca="false">$E$9/12</f>
        <v>16820</v>
      </c>
      <c r="D54" s="37"/>
      <c r="E54" s="106" t="n">
        <f aca="false">$C$41</f>
        <v>16820</v>
      </c>
      <c r="G54" s="105" t="n">
        <f aca="false">$E$5/12</f>
        <v>3438011.86666667</v>
      </c>
      <c r="H54" s="37" t="n">
        <f aca="false">$G$35</f>
        <v>3438011.86666667</v>
      </c>
      <c r="I54" s="37"/>
      <c r="J54" s="37" t="n">
        <f aca="false">J53</f>
        <v>0</v>
      </c>
      <c r="K54" s="37"/>
      <c r="L54" s="37" t="n">
        <f aca="false">G54-H54-J54</f>
        <v>0</v>
      </c>
      <c r="M54" s="106"/>
      <c r="N54" s="105" t="n">
        <f aca="false">$E$6/12</f>
        <v>11773258.5666667</v>
      </c>
      <c r="O54" s="37" t="n">
        <f aca="false">$N$35</f>
        <v>14127910.28</v>
      </c>
      <c r="P54" s="37"/>
      <c r="Q54" s="37" t="n">
        <f aca="false">Q53</f>
        <v>-2354651.71333333</v>
      </c>
      <c r="R54" s="37"/>
      <c r="S54" s="37" t="n">
        <f aca="false">N54-O54-Q54</f>
        <v>0</v>
      </c>
      <c r="T54" s="106"/>
      <c r="U54" s="105" t="n">
        <f aca="false">$E$7/12</f>
        <v>28895977.145</v>
      </c>
      <c r="V54" s="37" t="n">
        <f aca="false">$U$35</f>
        <v>40454368.09</v>
      </c>
      <c r="W54" s="37"/>
      <c r="X54" s="37" t="n">
        <f aca="false">X53</f>
        <v>-11558390.945</v>
      </c>
      <c r="Y54" s="37"/>
      <c r="Z54" s="37" t="n">
        <f aca="false">U54-V54-X54</f>
        <v>0</v>
      </c>
      <c r="AA54" s="106"/>
      <c r="AB54" s="37"/>
      <c r="AC54" s="107" t="n">
        <f aca="false">G54-C54</f>
        <v>3421191.86666667</v>
      </c>
      <c r="AD54" s="107" t="n">
        <f aca="false">N54-C54</f>
        <v>11756438.5666667</v>
      </c>
      <c r="AE54" s="107" t="n">
        <f aca="false">U54-C54</f>
        <v>28879157.145</v>
      </c>
      <c r="AF54" s="37"/>
      <c r="AG54" s="37"/>
    </row>
    <row r="55" customFormat="false" ht="15.75" hidden="false" customHeight="false" outlineLevel="0" collapsed="false">
      <c r="A55" s="103" t="s">
        <v>80</v>
      </c>
      <c r="B55" s="104" t="n">
        <f aca="false">B54+1</f>
        <v>27</v>
      </c>
      <c r="C55" s="105" t="n">
        <f aca="false">$E$9/12</f>
        <v>16820</v>
      </c>
      <c r="D55" s="37"/>
      <c r="E55" s="106" t="n">
        <f aca="false">$C$41</f>
        <v>16820</v>
      </c>
      <c r="G55" s="105" t="n">
        <f aca="false">$E$5/12</f>
        <v>3438011.86666667</v>
      </c>
      <c r="H55" s="37" t="n">
        <f aca="false">$G$35</f>
        <v>3438011.86666667</v>
      </c>
      <c r="I55" s="37"/>
      <c r="J55" s="37" t="n">
        <f aca="false">J54</f>
        <v>0</v>
      </c>
      <c r="K55" s="37"/>
      <c r="L55" s="37" t="n">
        <f aca="false">G55-H55-J55</f>
        <v>0</v>
      </c>
      <c r="M55" s="106"/>
      <c r="N55" s="105" t="n">
        <f aca="false">$E$6/12</f>
        <v>11773258.5666667</v>
      </c>
      <c r="O55" s="37" t="n">
        <f aca="false">$N$35</f>
        <v>14127910.28</v>
      </c>
      <c r="P55" s="37"/>
      <c r="Q55" s="37" t="n">
        <f aca="false">Q54</f>
        <v>-2354651.71333333</v>
      </c>
      <c r="R55" s="37"/>
      <c r="S55" s="37" t="n">
        <f aca="false">N55-O55-Q55</f>
        <v>0</v>
      </c>
      <c r="T55" s="106"/>
      <c r="U55" s="105" t="n">
        <f aca="false">$E$7/12</f>
        <v>28895977.145</v>
      </c>
      <c r="V55" s="37" t="n">
        <f aca="false">$U$35</f>
        <v>40454368.09</v>
      </c>
      <c r="W55" s="37"/>
      <c r="X55" s="37" t="n">
        <f aca="false">X54</f>
        <v>-11558390.945</v>
      </c>
      <c r="Y55" s="37"/>
      <c r="Z55" s="37" t="n">
        <f aca="false">U55-V55-X55</f>
        <v>0</v>
      </c>
      <c r="AA55" s="106"/>
      <c r="AB55" s="37"/>
      <c r="AC55" s="107" t="n">
        <f aca="false">G55-C55</f>
        <v>3421191.86666667</v>
      </c>
      <c r="AD55" s="107" t="n">
        <f aca="false">N55-C55</f>
        <v>11756438.5666667</v>
      </c>
      <c r="AE55" s="107" t="n">
        <f aca="false">U55-C55</f>
        <v>28879157.145</v>
      </c>
      <c r="AF55" s="37"/>
      <c r="AG55" s="37"/>
    </row>
    <row r="56" customFormat="false" ht="15.75" hidden="false" customHeight="false" outlineLevel="0" collapsed="false">
      <c r="A56" s="103" t="s">
        <v>81</v>
      </c>
      <c r="B56" s="104" t="n">
        <f aca="false">B55+1</f>
        <v>28</v>
      </c>
      <c r="C56" s="105" t="n">
        <f aca="false">$E$9/12</f>
        <v>16820</v>
      </c>
      <c r="D56" s="37"/>
      <c r="E56" s="106" t="n">
        <f aca="false">$C$41</f>
        <v>16820</v>
      </c>
      <c r="G56" s="105" t="n">
        <f aca="false">$E$5/12</f>
        <v>3438011.86666667</v>
      </c>
      <c r="H56" s="37" t="n">
        <f aca="false">$G$35</f>
        <v>3438011.86666667</v>
      </c>
      <c r="I56" s="37"/>
      <c r="J56" s="37" t="n">
        <f aca="false">J55</f>
        <v>0</v>
      </c>
      <c r="K56" s="37"/>
      <c r="L56" s="37" t="n">
        <f aca="false">G56-H56-J56</f>
        <v>0</v>
      </c>
      <c r="M56" s="106"/>
      <c r="N56" s="105" t="n">
        <f aca="false">$E$6/12</f>
        <v>11773258.5666667</v>
      </c>
      <c r="O56" s="37" t="n">
        <f aca="false">$N$35</f>
        <v>14127910.28</v>
      </c>
      <c r="P56" s="37"/>
      <c r="Q56" s="37" t="n">
        <f aca="false">Q55</f>
        <v>-2354651.71333333</v>
      </c>
      <c r="R56" s="37"/>
      <c r="S56" s="37" t="n">
        <f aca="false">N56-O56-Q56</f>
        <v>0</v>
      </c>
      <c r="T56" s="106"/>
      <c r="U56" s="105" t="n">
        <f aca="false">$E$7/12</f>
        <v>28895977.145</v>
      </c>
      <c r="V56" s="37" t="n">
        <f aca="false">$U$35</f>
        <v>40454368.09</v>
      </c>
      <c r="W56" s="37"/>
      <c r="X56" s="37" t="n">
        <f aca="false">X55</f>
        <v>-11558390.945</v>
      </c>
      <c r="Y56" s="37"/>
      <c r="Z56" s="37" t="n">
        <f aca="false">U56-V56-X56</f>
        <v>0</v>
      </c>
      <c r="AA56" s="106"/>
      <c r="AB56" s="37"/>
      <c r="AC56" s="107" t="n">
        <f aca="false">G56-C56</f>
        <v>3421191.86666667</v>
      </c>
      <c r="AD56" s="107" t="n">
        <f aca="false">N56-C56</f>
        <v>11756438.5666667</v>
      </c>
      <c r="AE56" s="107" t="n">
        <f aca="false">U56-C56</f>
        <v>28879157.145</v>
      </c>
      <c r="AF56" s="37"/>
      <c r="AG56" s="37"/>
    </row>
    <row r="57" customFormat="false" ht="15.75" hidden="false" customHeight="false" outlineLevel="0" collapsed="false">
      <c r="A57" s="103" t="s">
        <v>82</v>
      </c>
      <c r="B57" s="104" t="n">
        <f aca="false">B56+1</f>
        <v>29</v>
      </c>
      <c r="C57" s="105" t="n">
        <f aca="false">$E$9/12</f>
        <v>16820</v>
      </c>
      <c r="D57" s="37"/>
      <c r="E57" s="106" t="n">
        <f aca="false">$C$41</f>
        <v>16820</v>
      </c>
      <c r="G57" s="105" t="n">
        <f aca="false">$E$5/12</f>
        <v>3438011.86666667</v>
      </c>
      <c r="H57" s="37" t="n">
        <f aca="false">$G$35</f>
        <v>3438011.86666667</v>
      </c>
      <c r="I57" s="37"/>
      <c r="J57" s="37" t="n">
        <f aca="false">J56</f>
        <v>0</v>
      </c>
      <c r="K57" s="37"/>
      <c r="L57" s="37" t="n">
        <f aca="false">G57-H57-J57</f>
        <v>0</v>
      </c>
      <c r="M57" s="106"/>
      <c r="N57" s="105" t="n">
        <f aca="false">$E$6/12</f>
        <v>11773258.5666667</v>
      </c>
      <c r="O57" s="37" t="n">
        <f aca="false">$N$35</f>
        <v>14127910.28</v>
      </c>
      <c r="P57" s="37"/>
      <c r="Q57" s="37" t="n">
        <f aca="false">Q56</f>
        <v>-2354651.71333333</v>
      </c>
      <c r="R57" s="37"/>
      <c r="S57" s="37" t="n">
        <f aca="false">N57-O57-Q57</f>
        <v>0</v>
      </c>
      <c r="T57" s="106"/>
      <c r="U57" s="105" t="n">
        <f aca="false">$E$7/12</f>
        <v>28895977.145</v>
      </c>
      <c r="V57" s="37" t="n">
        <f aca="false">$U$35</f>
        <v>40454368.09</v>
      </c>
      <c r="W57" s="37"/>
      <c r="X57" s="37" t="n">
        <f aca="false">X56</f>
        <v>-11558390.945</v>
      </c>
      <c r="Y57" s="37"/>
      <c r="Z57" s="37" t="n">
        <f aca="false">U57-V57-X57</f>
        <v>0</v>
      </c>
      <c r="AA57" s="106"/>
      <c r="AB57" s="37"/>
      <c r="AC57" s="107" t="n">
        <f aca="false">G57-C57</f>
        <v>3421191.86666667</v>
      </c>
      <c r="AD57" s="107" t="n">
        <f aca="false">N57-C57</f>
        <v>11756438.5666667</v>
      </c>
      <c r="AE57" s="107" t="n">
        <f aca="false">U57-C57</f>
        <v>28879157.145</v>
      </c>
      <c r="AF57" s="37"/>
      <c r="AG57" s="37"/>
    </row>
    <row r="58" customFormat="false" ht="15.75" hidden="false" customHeight="false" outlineLevel="0" collapsed="false">
      <c r="A58" s="103" t="s">
        <v>83</v>
      </c>
      <c r="B58" s="104" t="n">
        <f aca="false">B57+1</f>
        <v>30</v>
      </c>
      <c r="C58" s="105" t="n">
        <f aca="false">$E$9/12</f>
        <v>16820</v>
      </c>
      <c r="D58" s="37"/>
      <c r="E58" s="106" t="n">
        <f aca="false">$C$41</f>
        <v>16820</v>
      </c>
      <c r="G58" s="105" t="n">
        <f aca="false">$E$5/12</f>
        <v>3438011.86666667</v>
      </c>
      <c r="H58" s="37" t="n">
        <f aca="false">$G$35</f>
        <v>3438011.86666667</v>
      </c>
      <c r="I58" s="37"/>
      <c r="J58" s="37" t="n">
        <f aca="false">J57</f>
        <v>0</v>
      </c>
      <c r="K58" s="37"/>
      <c r="L58" s="37" t="n">
        <f aca="false">G58-H58-J58</f>
        <v>0</v>
      </c>
      <c r="M58" s="106"/>
      <c r="N58" s="105" t="n">
        <f aca="false">$E$6/12</f>
        <v>11773258.5666667</v>
      </c>
      <c r="O58" s="37" t="n">
        <f aca="false">$N$35</f>
        <v>14127910.28</v>
      </c>
      <c r="P58" s="37"/>
      <c r="Q58" s="37" t="n">
        <f aca="false">Q57</f>
        <v>-2354651.71333333</v>
      </c>
      <c r="R58" s="37"/>
      <c r="S58" s="37" t="n">
        <f aca="false">N58-O58-Q58</f>
        <v>0</v>
      </c>
      <c r="T58" s="106"/>
      <c r="U58" s="105" t="n">
        <f aca="false">$E$7/12</f>
        <v>28895977.145</v>
      </c>
      <c r="V58" s="37" t="n">
        <f aca="false">$U$35</f>
        <v>40454368.09</v>
      </c>
      <c r="W58" s="37"/>
      <c r="X58" s="37" t="n">
        <f aca="false">X57</f>
        <v>-11558390.945</v>
      </c>
      <c r="Y58" s="37"/>
      <c r="Z58" s="37" t="n">
        <f aca="false">U58-V58-X58</f>
        <v>0</v>
      </c>
      <c r="AA58" s="106"/>
      <c r="AB58" s="37"/>
      <c r="AC58" s="107" t="n">
        <f aca="false">G58-C58</f>
        <v>3421191.86666667</v>
      </c>
      <c r="AD58" s="107" t="n">
        <f aca="false">N58-C58</f>
        <v>11756438.5666667</v>
      </c>
      <c r="AE58" s="107" t="n">
        <f aca="false">U58-C58</f>
        <v>28879157.145</v>
      </c>
      <c r="AF58" s="37"/>
      <c r="AG58" s="37"/>
    </row>
    <row r="59" customFormat="false" ht="15.75" hidden="false" customHeight="false" outlineLevel="0" collapsed="false">
      <c r="A59" s="103" t="s">
        <v>84</v>
      </c>
      <c r="B59" s="104" t="n">
        <f aca="false">B58+1</f>
        <v>31</v>
      </c>
      <c r="C59" s="105" t="n">
        <f aca="false">$E$9/12</f>
        <v>16820</v>
      </c>
      <c r="D59" s="37"/>
      <c r="E59" s="106" t="n">
        <f aca="false">$C$41</f>
        <v>16820</v>
      </c>
      <c r="G59" s="105" t="n">
        <f aca="false">$E$5/12</f>
        <v>3438011.86666667</v>
      </c>
      <c r="H59" s="37" t="n">
        <f aca="false">$G$35</f>
        <v>3438011.86666667</v>
      </c>
      <c r="I59" s="37"/>
      <c r="J59" s="37" t="n">
        <f aca="false">J58</f>
        <v>0</v>
      </c>
      <c r="K59" s="37"/>
      <c r="L59" s="37" t="n">
        <f aca="false">G59-H59-J59</f>
        <v>0</v>
      </c>
      <c r="M59" s="106"/>
      <c r="N59" s="105" t="n">
        <f aca="false">$E$6/12</f>
        <v>11773258.5666667</v>
      </c>
      <c r="O59" s="37" t="n">
        <f aca="false">$N$35</f>
        <v>14127910.28</v>
      </c>
      <c r="P59" s="37"/>
      <c r="Q59" s="37" t="n">
        <f aca="false">Q58</f>
        <v>-2354651.71333333</v>
      </c>
      <c r="R59" s="37"/>
      <c r="S59" s="37" t="n">
        <f aca="false">N59-O59-Q59</f>
        <v>0</v>
      </c>
      <c r="T59" s="106"/>
      <c r="U59" s="105" t="n">
        <f aca="false">$E$7/12</f>
        <v>28895977.145</v>
      </c>
      <c r="V59" s="37" t="n">
        <f aca="false">$U$35</f>
        <v>40454368.09</v>
      </c>
      <c r="W59" s="37"/>
      <c r="X59" s="37" t="n">
        <f aca="false">X58</f>
        <v>-11558390.945</v>
      </c>
      <c r="Y59" s="37"/>
      <c r="Z59" s="37" t="n">
        <f aca="false">U59-V59-X59</f>
        <v>0</v>
      </c>
      <c r="AA59" s="106"/>
      <c r="AB59" s="37"/>
      <c r="AC59" s="107" t="n">
        <f aca="false">G59-C59</f>
        <v>3421191.86666667</v>
      </c>
      <c r="AD59" s="107" t="n">
        <f aca="false">N59-C59</f>
        <v>11756438.5666667</v>
      </c>
      <c r="AE59" s="107" t="n">
        <f aca="false">U59-C59</f>
        <v>28879157.145</v>
      </c>
      <c r="AF59" s="37"/>
      <c r="AG59" s="37"/>
    </row>
    <row r="60" customFormat="false" ht="15.75" hidden="false" customHeight="false" outlineLevel="0" collapsed="false">
      <c r="A60" s="103" t="s">
        <v>85</v>
      </c>
      <c r="B60" s="104" t="n">
        <f aca="false">B59+1</f>
        <v>32</v>
      </c>
      <c r="C60" s="105" t="n">
        <f aca="false">$E$9/12</f>
        <v>16820</v>
      </c>
      <c r="D60" s="37"/>
      <c r="E60" s="106" t="n">
        <f aca="false">$C$41</f>
        <v>16820</v>
      </c>
      <c r="G60" s="105" t="n">
        <f aca="false">$E$5/12</f>
        <v>3438011.86666667</v>
      </c>
      <c r="H60" s="37" t="n">
        <f aca="false">$G$35</f>
        <v>3438011.86666667</v>
      </c>
      <c r="I60" s="37"/>
      <c r="J60" s="37" t="n">
        <f aca="false">J59</f>
        <v>0</v>
      </c>
      <c r="K60" s="37"/>
      <c r="L60" s="37" t="n">
        <f aca="false">G60-H60-J60</f>
        <v>0</v>
      </c>
      <c r="M60" s="106"/>
      <c r="N60" s="105" t="n">
        <f aca="false">$E$6/12</f>
        <v>11773258.5666667</v>
      </c>
      <c r="O60" s="37" t="n">
        <f aca="false">$N$35</f>
        <v>14127910.28</v>
      </c>
      <c r="P60" s="37"/>
      <c r="Q60" s="37" t="n">
        <f aca="false">Q59</f>
        <v>-2354651.71333333</v>
      </c>
      <c r="R60" s="37"/>
      <c r="S60" s="37" t="n">
        <f aca="false">N60-O60-Q60</f>
        <v>0</v>
      </c>
      <c r="T60" s="106"/>
      <c r="U60" s="105" t="n">
        <f aca="false">$E$7/12</f>
        <v>28895977.145</v>
      </c>
      <c r="V60" s="37" t="n">
        <f aca="false">$U$35</f>
        <v>40454368.09</v>
      </c>
      <c r="W60" s="37"/>
      <c r="X60" s="37" t="n">
        <f aca="false">X59</f>
        <v>-11558390.945</v>
      </c>
      <c r="Y60" s="37"/>
      <c r="Z60" s="37" t="n">
        <f aca="false">U60-V60-X60</f>
        <v>0</v>
      </c>
      <c r="AA60" s="106"/>
      <c r="AB60" s="37"/>
      <c r="AC60" s="107" t="n">
        <f aca="false">G60-C60</f>
        <v>3421191.86666667</v>
      </c>
      <c r="AD60" s="107" t="n">
        <f aca="false">N60-C60</f>
        <v>11756438.5666667</v>
      </c>
      <c r="AE60" s="107" t="n">
        <f aca="false">U60-C60</f>
        <v>28879157.145</v>
      </c>
      <c r="AF60" s="37"/>
      <c r="AG60" s="37"/>
    </row>
    <row r="61" customFormat="false" ht="15.75" hidden="false" customHeight="false" outlineLevel="0" collapsed="false">
      <c r="A61" s="103" t="s">
        <v>86</v>
      </c>
      <c r="B61" s="104" t="n">
        <f aca="false">B60+1</f>
        <v>33</v>
      </c>
      <c r="C61" s="105" t="n">
        <f aca="false">$E$9/12</f>
        <v>16820</v>
      </c>
      <c r="D61" s="37"/>
      <c r="E61" s="106" t="n">
        <f aca="false">$C$41</f>
        <v>16820</v>
      </c>
      <c r="G61" s="105" t="n">
        <f aca="false">$E$5/12</f>
        <v>3438011.86666667</v>
      </c>
      <c r="H61" s="37" t="n">
        <f aca="false">$G$35</f>
        <v>3438011.86666667</v>
      </c>
      <c r="I61" s="37"/>
      <c r="J61" s="37" t="n">
        <f aca="false">J60</f>
        <v>0</v>
      </c>
      <c r="K61" s="37"/>
      <c r="L61" s="37" t="n">
        <f aca="false">G61-H61-J61</f>
        <v>0</v>
      </c>
      <c r="M61" s="106"/>
      <c r="N61" s="105" t="n">
        <f aca="false">$E$6/12</f>
        <v>11773258.5666667</v>
      </c>
      <c r="O61" s="37" t="n">
        <f aca="false">$N$35</f>
        <v>14127910.28</v>
      </c>
      <c r="P61" s="37"/>
      <c r="Q61" s="37" t="n">
        <f aca="false">Q60</f>
        <v>-2354651.71333333</v>
      </c>
      <c r="R61" s="37"/>
      <c r="S61" s="37" t="n">
        <f aca="false">N61-O61-Q61</f>
        <v>0</v>
      </c>
      <c r="T61" s="106"/>
      <c r="U61" s="105" t="n">
        <f aca="false">$E$7/12</f>
        <v>28895977.145</v>
      </c>
      <c r="V61" s="37" t="n">
        <f aca="false">$U$35</f>
        <v>40454368.09</v>
      </c>
      <c r="W61" s="37"/>
      <c r="X61" s="37" t="n">
        <f aca="false">X60</f>
        <v>-11558390.945</v>
      </c>
      <c r="Y61" s="37"/>
      <c r="Z61" s="37" t="n">
        <f aca="false">U61-V61-X61</f>
        <v>0</v>
      </c>
      <c r="AA61" s="106"/>
      <c r="AB61" s="37"/>
      <c r="AC61" s="107" t="n">
        <f aca="false">G61-C61</f>
        <v>3421191.86666667</v>
      </c>
      <c r="AD61" s="107" t="n">
        <f aca="false">N61-C61</f>
        <v>11756438.5666667</v>
      </c>
      <c r="AE61" s="107" t="n">
        <f aca="false">U61-C61</f>
        <v>28879157.145</v>
      </c>
      <c r="AF61" s="37"/>
      <c r="AG61" s="37"/>
    </row>
    <row r="62" customFormat="false" ht="15.75" hidden="false" customHeight="false" outlineLevel="0" collapsed="false">
      <c r="A62" s="103" t="s">
        <v>87</v>
      </c>
      <c r="B62" s="104" t="n">
        <f aca="false">B61+1</f>
        <v>34</v>
      </c>
      <c r="C62" s="105" t="n">
        <f aca="false">$E$9/12</f>
        <v>16820</v>
      </c>
      <c r="D62" s="37"/>
      <c r="E62" s="106" t="n">
        <f aca="false">$C$41</f>
        <v>16820</v>
      </c>
      <c r="G62" s="105" t="n">
        <f aca="false">$E$5/12</f>
        <v>3438011.86666667</v>
      </c>
      <c r="H62" s="37" t="n">
        <f aca="false">$G$35</f>
        <v>3438011.86666667</v>
      </c>
      <c r="I62" s="37"/>
      <c r="J62" s="37" t="n">
        <f aca="false">J61</f>
        <v>0</v>
      </c>
      <c r="K62" s="37"/>
      <c r="L62" s="37" t="n">
        <f aca="false">G62-H62-J62</f>
        <v>0</v>
      </c>
      <c r="M62" s="106"/>
      <c r="N62" s="105" t="n">
        <f aca="false">$E$6/12</f>
        <v>11773258.5666667</v>
      </c>
      <c r="O62" s="37" t="n">
        <f aca="false">$N$35</f>
        <v>14127910.28</v>
      </c>
      <c r="P62" s="37"/>
      <c r="Q62" s="37" t="n">
        <f aca="false">Q61</f>
        <v>-2354651.71333333</v>
      </c>
      <c r="R62" s="37"/>
      <c r="S62" s="37" t="n">
        <f aca="false">N62-O62-Q62</f>
        <v>0</v>
      </c>
      <c r="T62" s="106"/>
      <c r="U62" s="105" t="n">
        <f aca="false">$E$7/12</f>
        <v>28895977.145</v>
      </c>
      <c r="V62" s="37" t="n">
        <f aca="false">$U$35</f>
        <v>40454368.09</v>
      </c>
      <c r="W62" s="37"/>
      <c r="X62" s="37" t="n">
        <f aca="false">X61</f>
        <v>-11558390.945</v>
      </c>
      <c r="Y62" s="37"/>
      <c r="Z62" s="37" t="n">
        <f aca="false">U62-V62-X62</f>
        <v>0</v>
      </c>
      <c r="AA62" s="106"/>
      <c r="AB62" s="37"/>
      <c r="AC62" s="107" t="n">
        <f aca="false">G62-C62</f>
        <v>3421191.86666667</v>
      </c>
      <c r="AD62" s="107" t="n">
        <f aca="false">N62-C62</f>
        <v>11756438.5666667</v>
      </c>
      <c r="AE62" s="107" t="n">
        <f aca="false">U62-C62</f>
        <v>28879157.145</v>
      </c>
      <c r="AF62" s="37"/>
      <c r="AG62" s="37"/>
    </row>
    <row r="63" customFormat="false" ht="15.75" hidden="false" customHeight="false" outlineLevel="0" collapsed="false">
      <c r="A63" s="103" t="s">
        <v>88</v>
      </c>
      <c r="B63" s="104" t="n">
        <f aca="false">B62+1</f>
        <v>35</v>
      </c>
      <c r="C63" s="105" t="n">
        <f aca="false">$E$9/12</f>
        <v>16820</v>
      </c>
      <c r="D63" s="37"/>
      <c r="E63" s="106" t="n">
        <f aca="false">$C$41</f>
        <v>16820</v>
      </c>
      <c r="G63" s="105" t="n">
        <f aca="false">$E$5/12</f>
        <v>3438011.86666667</v>
      </c>
      <c r="H63" s="37" t="n">
        <f aca="false">$G$35</f>
        <v>3438011.86666667</v>
      </c>
      <c r="I63" s="37"/>
      <c r="J63" s="37" t="n">
        <f aca="false">J62</f>
        <v>0</v>
      </c>
      <c r="K63" s="37"/>
      <c r="L63" s="37" t="n">
        <f aca="false">G63-H63-J63</f>
        <v>0</v>
      </c>
      <c r="M63" s="106"/>
      <c r="N63" s="105" t="n">
        <f aca="false">$E$6/12</f>
        <v>11773258.5666667</v>
      </c>
      <c r="O63" s="37" t="n">
        <f aca="false">$N$35</f>
        <v>14127910.28</v>
      </c>
      <c r="P63" s="37"/>
      <c r="Q63" s="37" t="n">
        <f aca="false">Q62</f>
        <v>-2354651.71333333</v>
      </c>
      <c r="R63" s="37"/>
      <c r="S63" s="37" t="n">
        <f aca="false">N63-O63-Q63</f>
        <v>0</v>
      </c>
      <c r="T63" s="106"/>
      <c r="U63" s="105" t="n">
        <f aca="false">$E$7/12</f>
        <v>28895977.145</v>
      </c>
      <c r="V63" s="37" t="n">
        <f aca="false">$U$35</f>
        <v>40454368.09</v>
      </c>
      <c r="W63" s="37"/>
      <c r="X63" s="37" t="n">
        <f aca="false">X62</f>
        <v>-11558390.945</v>
      </c>
      <c r="Y63" s="37"/>
      <c r="Z63" s="37" t="n">
        <f aca="false">U63-V63-X63</f>
        <v>0</v>
      </c>
      <c r="AA63" s="106"/>
      <c r="AB63" s="37"/>
      <c r="AC63" s="107" t="n">
        <f aca="false">G63-C63</f>
        <v>3421191.86666667</v>
      </c>
      <c r="AD63" s="107" t="n">
        <f aca="false">N63-C63</f>
        <v>11756438.5666667</v>
      </c>
      <c r="AE63" s="107" t="n">
        <f aca="false">U63-C63</f>
        <v>28879157.145</v>
      </c>
      <c r="AF63" s="37"/>
      <c r="AG63" s="37"/>
    </row>
    <row r="64" customFormat="false" ht="15.75" hidden="false" customHeight="false" outlineLevel="0" collapsed="false">
      <c r="A64" s="103" t="s">
        <v>89</v>
      </c>
      <c r="B64" s="104" t="n">
        <f aca="false">B63+1</f>
        <v>36</v>
      </c>
      <c r="C64" s="105" t="n">
        <f aca="false">$E$9/12</f>
        <v>16820</v>
      </c>
      <c r="D64" s="37"/>
      <c r="E64" s="106" t="n">
        <f aca="false">$C$41</f>
        <v>16820</v>
      </c>
      <c r="G64" s="105" t="n">
        <f aca="false">$E$5/12</f>
        <v>3438011.86666667</v>
      </c>
      <c r="H64" s="37" t="n">
        <f aca="false">$G$35</f>
        <v>3438011.86666667</v>
      </c>
      <c r="I64" s="37"/>
      <c r="J64" s="37" t="n">
        <f aca="false">J63</f>
        <v>0</v>
      </c>
      <c r="K64" s="37"/>
      <c r="L64" s="37" t="n">
        <f aca="false">G64-H64-J64</f>
        <v>0</v>
      </c>
      <c r="M64" s="106"/>
      <c r="N64" s="105" t="n">
        <f aca="false">$E$6/12</f>
        <v>11773258.5666667</v>
      </c>
      <c r="O64" s="37" t="n">
        <f aca="false">$N$35</f>
        <v>14127910.28</v>
      </c>
      <c r="P64" s="37"/>
      <c r="Q64" s="37" t="n">
        <f aca="false">Q63</f>
        <v>-2354651.71333333</v>
      </c>
      <c r="R64" s="37"/>
      <c r="S64" s="37" t="n">
        <f aca="false">N64-O64-Q64</f>
        <v>0</v>
      </c>
      <c r="T64" s="106"/>
      <c r="U64" s="105" t="n">
        <f aca="false">$E$7/12</f>
        <v>28895977.145</v>
      </c>
      <c r="V64" s="37" t="n">
        <f aca="false">$U$35</f>
        <v>40454368.09</v>
      </c>
      <c r="W64" s="37"/>
      <c r="X64" s="37" t="n">
        <f aca="false">X63</f>
        <v>-11558390.945</v>
      </c>
      <c r="Y64" s="37"/>
      <c r="Z64" s="37" t="n">
        <f aca="false">U64-V64-X64</f>
        <v>0</v>
      </c>
      <c r="AA64" s="106"/>
      <c r="AB64" s="37"/>
      <c r="AC64" s="107" t="n">
        <f aca="false">G64-C64</f>
        <v>3421191.86666667</v>
      </c>
      <c r="AD64" s="107" t="n">
        <f aca="false">N64-C64</f>
        <v>11756438.5666667</v>
      </c>
      <c r="AE64" s="107" t="n">
        <f aca="false">U64-C64</f>
        <v>28879157.145</v>
      </c>
      <c r="AF64" s="37"/>
      <c r="AG64" s="37"/>
    </row>
    <row r="65" customFormat="false" ht="15.75" hidden="false" customHeight="false" outlineLevel="0" collapsed="false">
      <c r="A65" s="103" t="s">
        <v>90</v>
      </c>
      <c r="B65" s="104" t="n">
        <f aca="false">B64+1</f>
        <v>37</v>
      </c>
      <c r="C65" s="105" t="n">
        <f aca="false">$F$9/12</f>
        <v>16820</v>
      </c>
      <c r="D65" s="86"/>
      <c r="E65" s="106" t="n">
        <f aca="false">$C$41</f>
        <v>16820</v>
      </c>
      <c r="G65" s="105" t="n">
        <f aca="false">$F$5/12</f>
        <v>3438011.86666667</v>
      </c>
      <c r="H65" s="37" t="n">
        <f aca="false">$G$35</f>
        <v>3438011.86666667</v>
      </c>
      <c r="I65" s="37"/>
      <c r="J65" s="37" t="n">
        <f aca="false">J64</f>
        <v>0</v>
      </c>
      <c r="K65" s="37"/>
      <c r="L65" s="37" t="n">
        <f aca="false">G65-H65-J65</f>
        <v>0</v>
      </c>
      <c r="M65" s="106"/>
      <c r="N65" s="105" t="n">
        <f aca="false">$F$6/12</f>
        <v>11773258.5666667</v>
      </c>
      <c r="O65" s="37" t="n">
        <f aca="false">$N$35</f>
        <v>14127910.28</v>
      </c>
      <c r="P65" s="37"/>
      <c r="Q65" s="37" t="n">
        <f aca="false">Q64</f>
        <v>-2354651.71333333</v>
      </c>
      <c r="R65" s="37"/>
      <c r="S65" s="37" t="n">
        <f aca="false">N65-O65-Q65</f>
        <v>0</v>
      </c>
      <c r="T65" s="106"/>
      <c r="U65" s="105" t="n">
        <f aca="false">$F$7/12</f>
        <v>28895977.145</v>
      </c>
      <c r="V65" s="37" t="n">
        <f aca="false">$U$35</f>
        <v>40454368.09</v>
      </c>
      <c r="W65" s="37"/>
      <c r="X65" s="37" t="n">
        <f aca="false">X64</f>
        <v>-11558390.945</v>
      </c>
      <c r="Y65" s="37"/>
      <c r="Z65" s="37" t="n">
        <f aca="false">U65-V65-X65</f>
        <v>0</v>
      </c>
      <c r="AA65" s="106"/>
      <c r="AB65" s="37"/>
      <c r="AC65" s="107" t="n">
        <f aca="false">G65-C65</f>
        <v>3421191.86666667</v>
      </c>
      <c r="AD65" s="107" t="n">
        <f aca="false">N65-C65</f>
        <v>11756438.5666667</v>
      </c>
      <c r="AE65" s="107" t="n">
        <f aca="false">U65-C65</f>
        <v>28879157.145</v>
      </c>
      <c r="AF65" s="37"/>
      <c r="AG65" s="37"/>
    </row>
    <row r="66" customFormat="false" ht="15.75" hidden="false" customHeight="false" outlineLevel="0" collapsed="false">
      <c r="A66" s="103" t="s">
        <v>91</v>
      </c>
      <c r="B66" s="104" t="n">
        <f aca="false">B65+1</f>
        <v>38</v>
      </c>
      <c r="C66" s="105" t="n">
        <f aca="false">$F$9/12</f>
        <v>16820</v>
      </c>
      <c r="D66" s="37"/>
      <c r="E66" s="106" t="n">
        <f aca="false">$C$41</f>
        <v>16820</v>
      </c>
      <c r="G66" s="105" t="n">
        <f aca="false">$F$5/12</f>
        <v>3438011.86666667</v>
      </c>
      <c r="H66" s="37" t="n">
        <f aca="false">$G$35</f>
        <v>3438011.86666667</v>
      </c>
      <c r="I66" s="37"/>
      <c r="J66" s="37" t="n">
        <f aca="false">J65</f>
        <v>0</v>
      </c>
      <c r="K66" s="37"/>
      <c r="L66" s="37" t="n">
        <f aca="false">G66-H66-J66</f>
        <v>0</v>
      </c>
      <c r="M66" s="106"/>
      <c r="N66" s="105" t="n">
        <f aca="false">$F$6/12</f>
        <v>11773258.5666667</v>
      </c>
      <c r="O66" s="37" t="n">
        <f aca="false">$N$35</f>
        <v>14127910.28</v>
      </c>
      <c r="P66" s="37"/>
      <c r="Q66" s="37" t="n">
        <f aca="false">Q65</f>
        <v>-2354651.71333333</v>
      </c>
      <c r="R66" s="37"/>
      <c r="S66" s="37" t="n">
        <f aca="false">N66-O66-Q66</f>
        <v>0</v>
      </c>
      <c r="T66" s="106"/>
      <c r="U66" s="105" t="n">
        <f aca="false">$F$7/12</f>
        <v>28895977.145</v>
      </c>
      <c r="V66" s="37" t="n">
        <f aca="false">$U$35</f>
        <v>40454368.09</v>
      </c>
      <c r="W66" s="37"/>
      <c r="X66" s="37" t="n">
        <f aca="false">X65</f>
        <v>-11558390.945</v>
      </c>
      <c r="Y66" s="37"/>
      <c r="Z66" s="37" t="n">
        <f aca="false">U66-V66-X66</f>
        <v>0</v>
      </c>
      <c r="AA66" s="106"/>
      <c r="AB66" s="37"/>
      <c r="AC66" s="107" t="n">
        <f aca="false">G66-C66</f>
        <v>3421191.86666667</v>
      </c>
      <c r="AD66" s="107" t="n">
        <f aca="false">N66-C66</f>
        <v>11756438.5666667</v>
      </c>
      <c r="AE66" s="107" t="n">
        <f aca="false">U66-C66</f>
        <v>28879157.145</v>
      </c>
      <c r="AF66" s="37"/>
      <c r="AG66" s="37"/>
    </row>
    <row r="67" customFormat="false" ht="15.75" hidden="false" customHeight="false" outlineLevel="0" collapsed="false">
      <c r="A67" s="103" t="s">
        <v>92</v>
      </c>
      <c r="B67" s="104" t="n">
        <f aca="false">B66+1</f>
        <v>39</v>
      </c>
      <c r="C67" s="105" t="n">
        <f aca="false">$F$9/12</f>
        <v>16820</v>
      </c>
      <c r="D67" s="37"/>
      <c r="E67" s="106" t="n">
        <f aca="false">$C$41</f>
        <v>16820</v>
      </c>
      <c r="G67" s="105" t="n">
        <f aca="false">$F$5/12</f>
        <v>3438011.86666667</v>
      </c>
      <c r="H67" s="37" t="n">
        <f aca="false">$G$35</f>
        <v>3438011.86666667</v>
      </c>
      <c r="I67" s="37"/>
      <c r="J67" s="37" t="n">
        <f aca="false">J66</f>
        <v>0</v>
      </c>
      <c r="K67" s="37"/>
      <c r="L67" s="37" t="n">
        <f aca="false">G67-H67-J67</f>
        <v>0</v>
      </c>
      <c r="M67" s="106"/>
      <c r="N67" s="105" t="n">
        <f aca="false">$F$6/12</f>
        <v>11773258.5666667</v>
      </c>
      <c r="O67" s="37" t="n">
        <f aca="false">$N$35</f>
        <v>14127910.28</v>
      </c>
      <c r="P67" s="37"/>
      <c r="Q67" s="37" t="n">
        <f aca="false">Q66</f>
        <v>-2354651.71333333</v>
      </c>
      <c r="R67" s="37"/>
      <c r="S67" s="37" t="n">
        <f aca="false">N67-O67-Q67</f>
        <v>0</v>
      </c>
      <c r="T67" s="106"/>
      <c r="U67" s="105" t="n">
        <f aca="false">$F$7/12</f>
        <v>28895977.145</v>
      </c>
      <c r="V67" s="37" t="n">
        <f aca="false">$U$35</f>
        <v>40454368.09</v>
      </c>
      <c r="W67" s="37"/>
      <c r="X67" s="37" t="n">
        <f aca="false">X66</f>
        <v>-11558390.945</v>
      </c>
      <c r="Y67" s="37"/>
      <c r="Z67" s="37" t="n">
        <f aca="false">U67-V67-X67</f>
        <v>0</v>
      </c>
      <c r="AA67" s="106"/>
      <c r="AB67" s="37"/>
      <c r="AC67" s="107" t="n">
        <f aca="false">G67-C67</f>
        <v>3421191.86666667</v>
      </c>
      <c r="AD67" s="107" t="n">
        <f aca="false">N67-C67</f>
        <v>11756438.5666667</v>
      </c>
      <c r="AE67" s="107" t="n">
        <f aca="false">U67-C67</f>
        <v>28879157.145</v>
      </c>
      <c r="AF67" s="37"/>
      <c r="AG67" s="37"/>
    </row>
    <row r="68" customFormat="false" ht="15.75" hidden="false" customHeight="false" outlineLevel="0" collapsed="false">
      <c r="A68" s="103" t="s">
        <v>93</v>
      </c>
      <c r="B68" s="104" t="n">
        <f aca="false">B67+1</f>
        <v>40</v>
      </c>
      <c r="C68" s="105" t="n">
        <f aca="false">$F$9/12</f>
        <v>16820</v>
      </c>
      <c r="D68" s="37"/>
      <c r="E68" s="106" t="n">
        <f aca="false">$C$41</f>
        <v>16820</v>
      </c>
      <c r="G68" s="105" t="n">
        <f aca="false">$F$5/12</f>
        <v>3438011.86666667</v>
      </c>
      <c r="H68" s="37" t="n">
        <f aca="false">$G$35</f>
        <v>3438011.86666667</v>
      </c>
      <c r="I68" s="37"/>
      <c r="J68" s="37" t="n">
        <f aca="false">J67</f>
        <v>0</v>
      </c>
      <c r="K68" s="37"/>
      <c r="L68" s="37" t="n">
        <f aca="false">G68-H68-J68</f>
        <v>0</v>
      </c>
      <c r="M68" s="106"/>
      <c r="N68" s="105" t="n">
        <f aca="false">$F$6/12</f>
        <v>11773258.5666667</v>
      </c>
      <c r="O68" s="37" t="n">
        <f aca="false">$N$35</f>
        <v>14127910.28</v>
      </c>
      <c r="P68" s="37"/>
      <c r="Q68" s="37" t="n">
        <f aca="false">Q67</f>
        <v>-2354651.71333333</v>
      </c>
      <c r="R68" s="37"/>
      <c r="S68" s="37" t="n">
        <f aca="false">N68-O68-Q68</f>
        <v>0</v>
      </c>
      <c r="T68" s="106"/>
      <c r="U68" s="105" t="n">
        <f aca="false">$F$7/12</f>
        <v>28895977.145</v>
      </c>
      <c r="V68" s="37" t="n">
        <f aca="false">$U$35</f>
        <v>40454368.09</v>
      </c>
      <c r="W68" s="37"/>
      <c r="X68" s="37" t="n">
        <f aca="false">X67</f>
        <v>-11558390.945</v>
      </c>
      <c r="Y68" s="37"/>
      <c r="Z68" s="37" t="n">
        <f aca="false">U68-V68-X68</f>
        <v>0</v>
      </c>
      <c r="AA68" s="106"/>
      <c r="AB68" s="37"/>
      <c r="AC68" s="107" t="n">
        <f aca="false">G68-C68</f>
        <v>3421191.86666667</v>
      </c>
      <c r="AD68" s="107" t="n">
        <f aca="false">N68-C68</f>
        <v>11756438.5666667</v>
      </c>
      <c r="AE68" s="107" t="n">
        <f aca="false">U68-C68</f>
        <v>28879157.145</v>
      </c>
      <c r="AF68" s="37"/>
      <c r="AG68" s="37"/>
    </row>
    <row r="69" customFormat="false" ht="15.75" hidden="false" customHeight="false" outlineLevel="0" collapsed="false">
      <c r="A69" s="103" t="s">
        <v>94</v>
      </c>
      <c r="B69" s="104" t="n">
        <f aca="false">B68+1</f>
        <v>41</v>
      </c>
      <c r="C69" s="105" t="n">
        <f aca="false">$F$9/12</f>
        <v>16820</v>
      </c>
      <c r="D69" s="37"/>
      <c r="E69" s="106" t="n">
        <f aca="false">$C$41</f>
        <v>16820</v>
      </c>
      <c r="G69" s="105" t="n">
        <f aca="false">$F$5/12</f>
        <v>3438011.86666667</v>
      </c>
      <c r="H69" s="37" t="n">
        <f aca="false">$G$35</f>
        <v>3438011.86666667</v>
      </c>
      <c r="I69" s="37"/>
      <c r="J69" s="37" t="n">
        <f aca="false">J68</f>
        <v>0</v>
      </c>
      <c r="K69" s="37"/>
      <c r="L69" s="37" t="n">
        <f aca="false">G69-H69-J69</f>
        <v>0</v>
      </c>
      <c r="M69" s="106"/>
      <c r="N69" s="105" t="n">
        <f aca="false">$F$6/12</f>
        <v>11773258.5666667</v>
      </c>
      <c r="O69" s="37" t="n">
        <f aca="false">$N$35</f>
        <v>14127910.28</v>
      </c>
      <c r="P69" s="37"/>
      <c r="Q69" s="37" t="n">
        <f aca="false">Q68</f>
        <v>-2354651.71333333</v>
      </c>
      <c r="R69" s="37"/>
      <c r="S69" s="37" t="n">
        <f aca="false">N69-O69-Q69</f>
        <v>0</v>
      </c>
      <c r="T69" s="106"/>
      <c r="U69" s="105" t="n">
        <f aca="false">$F$7/12</f>
        <v>28895977.145</v>
      </c>
      <c r="V69" s="37" t="n">
        <f aca="false">$U$35</f>
        <v>40454368.09</v>
      </c>
      <c r="W69" s="37"/>
      <c r="X69" s="37" t="n">
        <f aca="false">X68</f>
        <v>-11558390.945</v>
      </c>
      <c r="Y69" s="37"/>
      <c r="Z69" s="37" t="n">
        <f aca="false">U69-V69-X69</f>
        <v>0</v>
      </c>
      <c r="AA69" s="106"/>
      <c r="AB69" s="37"/>
      <c r="AC69" s="107" t="n">
        <f aca="false">G69-C69</f>
        <v>3421191.86666667</v>
      </c>
      <c r="AD69" s="107" t="n">
        <f aca="false">N69-C69</f>
        <v>11756438.5666667</v>
      </c>
      <c r="AE69" s="107" t="n">
        <f aca="false">U69-C69</f>
        <v>28879157.145</v>
      </c>
      <c r="AF69" s="37"/>
      <c r="AG69" s="37"/>
    </row>
    <row r="70" customFormat="false" ht="15.75" hidden="false" customHeight="false" outlineLevel="0" collapsed="false">
      <c r="A70" s="103" t="s">
        <v>95</v>
      </c>
      <c r="B70" s="104" t="n">
        <f aca="false">B69+1</f>
        <v>42</v>
      </c>
      <c r="C70" s="105" t="n">
        <f aca="false">$F$9/12</f>
        <v>16820</v>
      </c>
      <c r="D70" s="37"/>
      <c r="E70" s="106" t="n">
        <f aca="false">$C$41</f>
        <v>16820</v>
      </c>
      <c r="G70" s="105" t="n">
        <f aca="false">$F$5/12</f>
        <v>3438011.86666667</v>
      </c>
      <c r="H70" s="37" t="n">
        <f aca="false">$G$35</f>
        <v>3438011.86666667</v>
      </c>
      <c r="I70" s="37"/>
      <c r="J70" s="37" t="n">
        <f aca="false">J69</f>
        <v>0</v>
      </c>
      <c r="K70" s="37"/>
      <c r="L70" s="37" t="n">
        <f aca="false">G70-H70-J70</f>
        <v>0</v>
      </c>
      <c r="M70" s="106"/>
      <c r="N70" s="105" t="n">
        <f aca="false">$F$6/12</f>
        <v>11773258.5666667</v>
      </c>
      <c r="O70" s="37" t="n">
        <f aca="false">$N$35</f>
        <v>14127910.28</v>
      </c>
      <c r="P70" s="37"/>
      <c r="Q70" s="37" t="n">
        <f aca="false">Q69</f>
        <v>-2354651.71333333</v>
      </c>
      <c r="R70" s="37"/>
      <c r="S70" s="37" t="n">
        <f aca="false">N70-O70-Q70</f>
        <v>0</v>
      </c>
      <c r="T70" s="106"/>
      <c r="U70" s="105" t="n">
        <f aca="false">$F$7/12</f>
        <v>28895977.145</v>
      </c>
      <c r="V70" s="37" t="n">
        <f aca="false">$U$35</f>
        <v>40454368.09</v>
      </c>
      <c r="W70" s="37"/>
      <c r="X70" s="37" t="n">
        <f aca="false">X69</f>
        <v>-11558390.945</v>
      </c>
      <c r="Y70" s="37"/>
      <c r="Z70" s="37" t="n">
        <f aca="false">U70-V70-X70</f>
        <v>0</v>
      </c>
      <c r="AA70" s="106"/>
      <c r="AB70" s="37"/>
      <c r="AC70" s="107" t="n">
        <f aca="false">G70-C70</f>
        <v>3421191.86666667</v>
      </c>
      <c r="AD70" s="107" t="n">
        <f aca="false">N70-C70</f>
        <v>11756438.5666667</v>
      </c>
      <c r="AE70" s="107" t="n">
        <f aca="false">U70-C70</f>
        <v>28879157.145</v>
      </c>
      <c r="AF70" s="37"/>
      <c r="AG70" s="37"/>
    </row>
    <row r="71" customFormat="false" ht="15.75" hidden="false" customHeight="false" outlineLevel="0" collapsed="false">
      <c r="A71" s="103" t="s">
        <v>96</v>
      </c>
      <c r="B71" s="104" t="n">
        <f aca="false">B70+1</f>
        <v>43</v>
      </c>
      <c r="C71" s="105" t="n">
        <f aca="false">$F$9/12</f>
        <v>16820</v>
      </c>
      <c r="D71" s="37"/>
      <c r="E71" s="106" t="n">
        <f aca="false">$C$41</f>
        <v>16820</v>
      </c>
      <c r="G71" s="105" t="n">
        <f aca="false">$F$5/12</f>
        <v>3438011.86666667</v>
      </c>
      <c r="H71" s="37" t="n">
        <f aca="false">$G$35</f>
        <v>3438011.86666667</v>
      </c>
      <c r="I71" s="37"/>
      <c r="J71" s="37" t="n">
        <f aca="false">J70</f>
        <v>0</v>
      </c>
      <c r="K71" s="37"/>
      <c r="L71" s="37" t="n">
        <f aca="false">G71-H71-J71</f>
        <v>0</v>
      </c>
      <c r="M71" s="106"/>
      <c r="N71" s="105" t="n">
        <f aca="false">$F$6/12</f>
        <v>11773258.5666667</v>
      </c>
      <c r="O71" s="37" t="n">
        <f aca="false">$N$35</f>
        <v>14127910.28</v>
      </c>
      <c r="P71" s="37"/>
      <c r="Q71" s="37" t="n">
        <f aca="false">Q70</f>
        <v>-2354651.71333333</v>
      </c>
      <c r="R71" s="37"/>
      <c r="S71" s="37" t="n">
        <f aca="false">N71-O71-Q71</f>
        <v>0</v>
      </c>
      <c r="T71" s="106"/>
      <c r="U71" s="105" t="n">
        <f aca="false">$F$7/12</f>
        <v>28895977.145</v>
      </c>
      <c r="V71" s="37" t="n">
        <f aca="false">$U$35</f>
        <v>40454368.09</v>
      </c>
      <c r="W71" s="37"/>
      <c r="X71" s="37" t="n">
        <f aca="false">X70</f>
        <v>-11558390.945</v>
      </c>
      <c r="Y71" s="37"/>
      <c r="Z71" s="37" t="n">
        <f aca="false">U71-V71-X71</f>
        <v>0</v>
      </c>
      <c r="AA71" s="106"/>
      <c r="AB71" s="37"/>
      <c r="AC71" s="107" t="n">
        <f aca="false">G71-C71</f>
        <v>3421191.86666667</v>
      </c>
      <c r="AD71" s="107" t="n">
        <f aca="false">N71-C71</f>
        <v>11756438.5666667</v>
      </c>
      <c r="AE71" s="107" t="n">
        <f aca="false">U71-C71</f>
        <v>28879157.145</v>
      </c>
      <c r="AF71" s="37"/>
      <c r="AG71" s="37"/>
    </row>
    <row r="72" customFormat="false" ht="15.75" hidden="false" customHeight="false" outlineLevel="0" collapsed="false">
      <c r="A72" s="103" t="s">
        <v>97</v>
      </c>
      <c r="B72" s="104" t="n">
        <f aca="false">B71+1</f>
        <v>44</v>
      </c>
      <c r="C72" s="105" t="n">
        <f aca="false">$F$9/12</f>
        <v>16820</v>
      </c>
      <c r="D72" s="37"/>
      <c r="E72" s="106" t="n">
        <f aca="false">$C$41</f>
        <v>16820</v>
      </c>
      <c r="G72" s="105" t="n">
        <f aca="false">$F$5/12</f>
        <v>3438011.86666667</v>
      </c>
      <c r="H72" s="37" t="n">
        <f aca="false">$G$35</f>
        <v>3438011.86666667</v>
      </c>
      <c r="I72" s="37"/>
      <c r="J72" s="37" t="n">
        <f aca="false">J71</f>
        <v>0</v>
      </c>
      <c r="K72" s="37"/>
      <c r="L72" s="37" t="n">
        <f aca="false">G72-H72-J72</f>
        <v>0</v>
      </c>
      <c r="M72" s="106"/>
      <c r="N72" s="105" t="n">
        <f aca="false">$F$6/12</f>
        <v>11773258.5666667</v>
      </c>
      <c r="O72" s="37" t="n">
        <f aca="false">$N$35</f>
        <v>14127910.28</v>
      </c>
      <c r="P72" s="37"/>
      <c r="Q72" s="37" t="n">
        <f aca="false">Q71</f>
        <v>-2354651.71333333</v>
      </c>
      <c r="R72" s="37"/>
      <c r="S72" s="37" t="n">
        <f aca="false">N72-O72-Q72</f>
        <v>0</v>
      </c>
      <c r="T72" s="106"/>
      <c r="U72" s="105" t="n">
        <f aca="false">$F$7/12</f>
        <v>28895977.145</v>
      </c>
      <c r="V72" s="37" t="n">
        <f aca="false">$U$35</f>
        <v>40454368.09</v>
      </c>
      <c r="W72" s="37"/>
      <c r="X72" s="37" t="n">
        <f aca="false">X71</f>
        <v>-11558390.945</v>
      </c>
      <c r="Y72" s="37"/>
      <c r="Z72" s="37" t="n">
        <f aca="false">U72-V72-X72</f>
        <v>0</v>
      </c>
      <c r="AA72" s="106"/>
      <c r="AB72" s="37"/>
      <c r="AC72" s="107" t="n">
        <f aca="false">G72-C72</f>
        <v>3421191.86666667</v>
      </c>
      <c r="AD72" s="107" t="n">
        <f aca="false">N72-C72</f>
        <v>11756438.5666667</v>
      </c>
      <c r="AE72" s="107" t="n">
        <f aca="false">U72-C72</f>
        <v>28879157.145</v>
      </c>
      <c r="AF72" s="37"/>
      <c r="AG72" s="37"/>
    </row>
    <row r="73" customFormat="false" ht="15.75" hidden="false" customHeight="false" outlineLevel="0" collapsed="false">
      <c r="A73" s="103" t="s">
        <v>98</v>
      </c>
      <c r="B73" s="104" t="n">
        <f aca="false">B72+1</f>
        <v>45</v>
      </c>
      <c r="C73" s="105" t="n">
        <f aca="false">$F$9/12</f>
        <v>16820</v>
      </c>
      <c r="D73" s="37"/>
      <c r="E73" s="106" t="n">
        <f aca="false">$C$41</f>
        <v>16820</v>
      </c>
      <c r="G73" s="105" t="n">
        <f aca="false">$F$5/12</f>
        <v>3438011.86666667</v>
      </c>
      <c r="H73" s="37" t="n">
        <f aca="false">$G$35</f>
        <v>3438011.86666667</v>
      </c>
      <c r="I73" s="37"/>
      <c r="J73" s="37" t="n">
        <f aca="false">J72</f>
        <v>0</v>
      </c>
      <c r="K73" s="37"/>
      <c r="L73" s="37" t="n">
        <f aca="false">G73-H73-J73</f>
        <v>0</v>
      </c>
      <c r="M73" s="106"/>
      <c r="N73" s="105" t="n">
        <f aca="false">$F$6/12</f>
        <v>11773258.5666667</v>
      </c>
      <c r="O73" s="37" t="n">
        <f aca="false">$N$35</f>
        <v>14127910.28</v>
      </c>
      <c r="P73" s="37"/>
      <c r="Q73" s="37" t="n">
        <f aca="false">Q72</f>
        <v>-2354651.71333333</v>
      </c>
      <c r="R73" s="37"/>
      <c r="S73" s="37" t="n">
        <f aca="false">N73-O73-Q73</f>
        <v>0</v>
      </c>
      <c r="T73" s="106"/>
      <c r="U73" s="105" t="n">
        <f aca="false">$F$7/12</f>
        <v>28895977.145</v>
      </c>
      <c r="V73" s="37" t="n">
        <f aca="false">$U$35</f>
        <v>40454368.09</v>
      </c>
      <c r="W73" s="37"/>
      <c r="X73" s="37" t="n">
        <f aca="false">X72</f>
        <v>-11558390.945</v>
      </c>
      <c r="Y73" s="37"/>
      <c r="Z73" s="37" t="n">
        <f aca="false">U73-V73-X73</f>
        <v>0</v>
      </c>
      <c r="AA73" s="106"/>
      <c r="AB73" s="37"/>
      <c r="AC73" s="107" t="n">
        <f aca="false">G73-C73</f>
        <v>3421191.86666667</v>
      </c>
      <c r="AD73" s="107" t="n">
        <f aca="false">N73-C73</f>
        <v>11756438.5666667</v>
      </c>
      <c r="AE73" s="107" t="n">
        <f aca="false">U73-C73</f>
        <v>28879157.145</v>
      </c>
      <c r="AF73" s="37"/>
      <c r="AG73" s="37"/>
    </row>
    <row r="74" customFormat="false" ht="15.75" hidden="false" customHeight="false" outlineLevel="0" collapsed="false">
      <c r="A74" s="103" t="s">
        <v>99</v>
      </c>
      <c r="B74" s="104" t="n">
        <f aca="false">B73+1</f>
        <v>46</v>
      </c>
      <c r="C74" s="105" t="n">
        <f aca="false">$F$9/12</f>
        <v>16820</v>
      </c>
      <c r="D74" s="37"/>
      <c r="E74" s="106" t="n">
        <f aca="false">$C$41</f>
        <v>16820</v>
      </c>
      <c r="G74" s="105" t="n">
        <f aca="false">$F$5/12</f>
        <v>3438011.86666667</v>
      </c>
      <c r="H74" s="37" t="n">
        <f aca="false">$G$35</f>
        <v>3438011.86666667</v>
      </c>
      <c r="I74" s="37"/>
      <c r="J74" s="37" t="n">
        <f aca="false">J73</f>
        <v>0</v>
      </c>
      <c r="K74" s="37"/>
      <c r="L74" s="37" t="n">
        <f aca="false">G74-H74-J74</f>
        <v>0</v>
      </c>
      <c r="M74" s="106"/>
      <c r="N74" s="105" t="n">
        <f aca="false">$F$6/12</f>
        <v>11773258.5666667</v>
      </c>
      <c r="O74" s="37" t="n">
        <f aca="false">$N$35</f>
        <v>14127910.28</v>
      </c>
      <c r="P74" s="37"/>
      <c r="Q74" s="37" t="n">
        <f aca="false">Q73</f>
        <v>-2354651.71333333</v>
      </c>
      <c r="R74" s="37"/>
      <c r="S74" s="37" t="n">
        <f aca="false">N74-O74-Q74</f>
        <v>0</v>
      </c>
      <c r="T74" s="106"/>
      <c r="U74" s="105" t="n">
        <f aca="false">$F$7/12</f>
        <v>28895977.145</v>
      </c>
      <c r="V74" s="37" t="n">
        <f aca="false">$U$35</f>
        <v>40454368.09</v>
      </c>
      <c r="W74" s="37"/>
      <c r="X74" s="37" t="n">
        <f aca="false">X73</f>
        <v>-11558390.945</v>
      </c>
      <c r="Y74" s="37"/>
      <c r="Z74" s="37" t="n">
        <f aca="false">U74-V74-X74</f>
        <v>0</v>
      </c>
      <c r="AA74" s="106"/>
      <c r="AB74" s="37"/>
      <c r="AC74" s="107" t="n">
        <f aca="false">G74-C74</f>
        <v>3421191.86666667</v>
      </c>
      <c r="AD74" s="107" t="n">
        <f aca="false">N74-C74</f>
        <v>11756438.5666667</v>
      </c>
      <c r="AE74" s="107" t="n">
        <f aca="false">U74-C74</f>
        <v>28879157.145</v>
      </c>
      <c r="AF74" s="37"/>
      <c r="AG74" s="37"/>
    </row>
    <row r="75" customFormat="false" ht="15.75" hidden="false" customHeight="false" outlineLevel="0" collapsed="false">
      <c r="A75" s="103" t="s">
        <v>100</v>
      </c>
      <c r="B75" s="104" t="n">
        <f aca="false">B74+1</f>
        <v>47</v>
      </c>
      <c r="C75" s="105" t="n">
        <f aca="false">$F$9/12</f>
        <v>16820</v>
      </c>
      <c r="D75" s="37"/>
      <c r="E75" s="106" t="n">
        <f aca="false">$C$41</f>
        <v>16820</v>
      </c>
      <c r="G75" s="105" t="n">
        <f aca="false">$F$5/12</f>
        <v>3438011.86666667</v>
      </c>
      <c r="H75" s="37" t="n">
        <f aca="false">$G$35</f>
        <v>3438011.86666667</v>
      </c>
      <c r="I75" s="37"/>
      <c r="J75" s="37" t="n">
        <f aca="false">J74</f>
        <v>0</v>
      </c>
      <c r="K75" s="37"/>
      <c r="L75" s="37" t="n">
        <f aca="false">G75-H75-J75</f>
        <v>0</v>
      </c>
      <c r="M75" s="106"/>
      <c r="N75" s="105" t="n">
        <f aca="false">$F$6/12</f>
        <v>11773258.5666667</v>
      </c>
      <c r="O75" s="37" t="n">
        <f aca="false">$N$35</f>
        <v>14127910.28</v>
      </c>
      <c r="P75" s="37"/>
      <c r="Q75" s="37" t="n">
        <f aca="false">Q74</f>
        <v>-2354651.71333333</v>
      </c>
      <c r="R75" s="37"/>
      <c r="S75" s="37" t="n">
        <f aca="false">N75-O75-Q75</f>
        <v>0</v>
      </c>
      <c r="T75" s="106"/>
      <c r="U75" s="105" t="n">
        <f aca="false">$F$7/12</f>
        <v>28895977.145</v>
      </c>
      <c r="V75" s="37" t="n">
        <f aca="false">$U$35</f>
        <v>40454368.09</v>
      </c>
      <c r="W75" s="37"/>
      <c r="X75" s="37" t="n">
        <f aca="false">X74</f>
        <v>-11558390.945</v>
      </c>
      <c r="Y75" s="37"/>
      <c r="Z75" s="37" t="n">
        <f aca="false">U75-V75-X75</f>
        <v>0</v>
      </c>
      <c r="AA75" s="106"/>
      <c r="AB75" s="37"/>
      <c r="AC75" s="107" t="n">
        <f aca="false">G75-C75</f>
        <v>3421191.86666667</v>
      </c>
      <c r="AD75" s="107" t="n">
        <f aca="false">N75-C75</f>
        <v>11756438.5666667</v>
      </c>
      <c r="AE75" s="107" t="n">
        <f aca="false">U75-C75</f>
        <v>28879157.145</v>
      </c>
      <c r="AF75" s="37"/>
      <c r="AG75" s="37"/>
    </row>
    <row r="76" customFormat="false" ht="15.75" hidden="false" customHeight="false" outlineLevel="0" collapsed="false">
      <c r="A76" s="103" t="s">
        <v>101</v>
      </c>
      <c r="B76" s="104" t="n">
        <f aca="false">B75+1</f>
        <v>48</v>
      </c>
      <c r="C76" s="105" t="n">
        <f aca="false">$F$9/12</f>
        <v>16820</v>
      </c>
      <c r="D76" s="37"/>
      <c r="E76" s="106" t="n">
        <f aca="false">$C$41</f>
        <v>16820</v>
      </c>
      <c r="G76" s="105" t="n">
        <f aca="false">$F$5/12</f>
        <v>3438011.86666667</v>
      </c>
      <c r="H76" s="37" t="n">
        <f aca="false">$G$35</f>
        <v>3438011.86666667</v>
      </c>
      <c r="I76" s="37"/>
      <c r="J76" s="37" t="n">
        <f aca="false">J75</f>
        <v>0</v>
      </c>
      <c r="K76" s="37"/>
      <c r="L76" s="37" t="n">
        <f aca="false">G76-H76-J76</f>
        <v>0</v>
      </c>
      <c r="M76" s="106"/>
      <c r="N76" s="105" t="n">
        <f aca="false">$F$6/12</f>
        <v>11773258.5666667</v>
      </c>
      <c r="O76" s="37" t="n">
        <f aca="false">$N$35</f>
        <v>14127910.28</v>
      </c>
      <c r="P76" s="37"/>
      <c r="Q76" s="37" t="n">
        <f aca="false">Q75</f>
        <v>-2354651.71333333</v>
      </c>
      <c r="R76" s="37"/>
      <c r="S76" s="37" t="n">
        <f aca="false">N76-O76-Q76</f>
        <v>0</v>
      </c>
      <c r="T76" s="106"/>
      <c r="U76" s="105" t="n">
        <f aca="false">$F$7/12</f>
        <v>28895977.145</v>
      </c>
      <c r="V76" s="37" t="n">
        <f aca="false">$U$35</f>
        <v>40454368.09</v>
      </c>
      <c r="W76" s="37"/>
      <c r="X76" s="37" t="n">
        <f aca="false">X75</f>
        <v>-11558390.945</v>
      </c>
      <c r="Y76" s="37"/>
      <c r="Z76" s="37" t="n">
        <f aca="false">U76-V76-X76</f>
        <v>0</v>
      </c>
      <c r="AA76" s="106"/>
      <c r="AB76" s="37"/>
      <c r="AC76" s="107" t="n">
        <f aca="false">G76-C76</f>
        <v>3421191.86666667</v>
      </c>
      <c r="AD76" s="107" t="n">
        <f aca="false">N76-C76</f>
        <v>11756438.5666667</v>
      </c>
      <c r="AE76" s="107" t="n">
        <f aca="false">U76-C76</f>
        <v>28879157.145</v>
      </c>
      <c r="AF76" s="37"/>
      <c r="AG76" s="37"/>
    </row>
    <row r="77" customFormat="false" ht="15.75" hidden="false" customHeight="false" outlineLevel="0" collapsed="false">
      <c r="A77" s="103" t="s">
        <v>102</v>
      </c>
      <c r="B77" s="104" t="n">
        <f aca="false">B76+1</f>
        <v>49</v>
      </c>
      <c r="C77" s="105" t="n">
        <f aca="false">$G$9/12</f>
        <v>16820</v>
      </c>
      <c r="D77" s="86"/>
      <c r="E77" s="106" t="n">
        <f aca="false">$C$41</f>
        <v>16820</v>
      </c>
      <c r="G77" s="105" t="n">
        <f aca="false">$G$5/12</f>
        <v>3438011.86666667</v>
      </c>
      <c r="H77" s="37" t="n">
        <f aca="false">$G$35</f>
        <v>3438011.86666667</v>
      </c>
      <c r="I77" s="37"/>
      <c r="J77" s="37" t="n">
        <f aca="false">J76</f>
        <v>0</v>
      </c>
      <c r="K77" s="37"/>
      <c r="L77" s="37" t="n">
        <f aca="false">G77-H77-J77</f>
        <v>0</v>
      </c>
      <c r="M77" s="106"/>
      <c r="N77" s="105" t="n">
        <f aca="false">$G$6/12</f>
        <v>11773258.5666667</v>
      </c>
      <c r="O77" s="37" t="n">
        <f aca="false">$N$35</f>
        <v>14127910.28</v>
      </c>
      <c r="P77" s="37"/>
      <c r="Q77" s="37" t="n">
        <f aca="false">Q76</f>
        <v>-2354651.71333333</v>
      </c>
      <c r="R77" s="37"/>
      <c r="S77" s="37" t="n">
        <f aca="false">N77-O77-Q77</f>
        <v>0</v>
      </c>
      <c r="T77" s="106"/>
      <c r="U77" s="105" t="n">
        <f aca="false">$G$7/12</f>
        <v>28895977.145</v>
      </c>
      <c r="V77" s="37" t="n">
        <f aca="false">$U$35</f>
        <v>40454368.09</v>
      </c>
      <c r="W77" s="37"/>
      <c r="X77" s="37" t="n">
        <f aca="false">X76</f>
        <v>-11558390.945</v>
      </c>
      <c r="Y77" s="37"/>
      <c r="Z77" s="37" t="n">
        <f aca="false">U77-V77-X77</f>
        <v>0</v>
      </c>
      <c r="AA77" s="106"/>
      <c r="AB77" s="37"/>
      <c r="AC77" s="107" t="n">
        <f aca="false">G77-C77</f>
        <v>3421191.86666667</v>
      </c>
      <c r="AD77" s="107" t="n">
        <f aca="false">N77-C77</f>
        <v>11756438.5666667</v>
      </c>
      <c r="AE77" s="107" t="n">
        <f aca="false">U77-C77</f>
        <v>28879157.145</v>
      </c>
      <c r="AF77" s="37"/>
      <c r="AG77" s="37"/>
    </row>
    <row r="78" customFormat="false" ht="15.75" hidden="false" customHeight="false" outlineLevel="0" collapsed="false">
      <c r="A78" s="103" t="s">
        <v>103</v>
      </c>
      <c r="B78" s="104" t="n">
        <f aca="false">B77+1</f>
        <v>50</v>
      </c>
      <c r="C78" s="105" t="n">
        <f aca="false">$G$9/12</f>
        <v>16820</v>
      </c>
      <c r="D78" s="37"/>
      <c r="E78" s="106" t="n">
        <f aca="false">$C$41</f>
        <v>16820</v>
      </c>
      <c r="G78" s="105" t="n">
        <f aca="false">$G$5/12</f>
        <v>3438011.86666667</v>
      </c>
      <c r="H78" s="37" t="n">
        <f aca="false">$G$35</f>
        <v>3438011.86666667</v>
      </c>
      <c r="I78" s="37"/>
      <c r="J78" s="37" t="n">
        <f aca="false">J77</f>
        <v>0</v>
      </c>
      <c r="K78" s="37"/>
      <c r="L78" s="37" t="n">
        <f aca="false">G78-H78-J78</f>
        <v>0</v>
      </c>
      <c r="M78" s="106"/>
      <c r="N78" s="105" t="n">
        <f aca="false">$G$6/12</f>
        <v>11773258.5666667</v>
      </c>
      <c r="O78" s="37" t="n">
        <f aca="false">$N$35</f>
        <v>14127910.28</v>
      </c>
      <c r="P78" s="37"/>
      <c r="Q78" s="37" t="n">
        <f aca="false">Q77</f>
        <v>-2354651.71333333</v>
      </c>
      <c r="R78" s="37"/>
      <c r="S78" s="37" t="n">
        <f aca="false">N78-O78-Q78</f>
        <v>0</v>
      </c>
      <c r="T78" s="106"/>
      <c r="U78" s="105" t="n">
        <f aca="false">$G$7/12</f>
        <v>28895977.145</v>
      </c>
      <c r="V78" s="37" t="n">
        <f aca="false">$U$35</f>
        <v>40454368.09</v>
      </c>
      <c r="W78" s="37"/>
      <c r="X78" s="37" t="n">
        <f aca="false">X77</f>
        <v>-11558390.945</v>
      </c>
      <c r="Y78" s="37"/>
      <c r="Z78" s="37" t="n">
        <f aca="false">U78-V78-X78</f>
        <v>0</v>
      </c>
      <c r="AA78" s="106"/>
      <c r="AB78" s="37"/>
      <c r="AC78" s="107" t="n">
        <f aca="false">G78-C78</f>
        <v>3421191.86666667</v>
      </c>
      <c r="AD78" s="107" t="n">
        <f aca="false">N78-C78</f>
        <v>11756438.5666667</v>
      </c>
      <c r="AE78" s="107" t="n">
        <f aca="false">U78-C78</f>
        <v>28879157.145</v>
      </c>
      <c r="AF78" s="37"/>
      <c r="AG78" s="37"/>
    </row>
    <row r="79" customFormat="false" ht="15.75" hidden="false" customHeight="false" outlineLevel="0" collapsed="false">
      <c r="A79" s="103" t="s">
        <v>104</v>
      </c>
      <c r="B79" s="104" t="n">
        <f aca="false">B78+1</f>
        <v>51</v>
      </c>
      <c r="C79" s="105" t="n">
        <f aca="false">$G$9/12</f>
        <v>16820</v>
      </c>
      <c r="D79" s="37"/>
      <c r="E79" s="106" t="n">
        <f aca="false">$C$41</f>
        <v>16820</v>
      </c>
      <c r="G79" s="105" t="n">
        <f aca="false">$G$5/12</f>
        <v>3438011.86666667</v>
      </c>
      <c r="H79" s="37" t="n">
        <f aca="false">$G$35</f>
        <v>3438011.86666667</v>
      </c>
      <c r="I79" s="37"/>
      <c r="J79" s="37" t="n">
        <f aca="false">J78</f>
        <v>0</v>
      </c>
      <c r="K79" s="37"/>
      <c r="L79" s="37" t="n">
        <f aca="false">G79-H79-J79</f>
        <v>0</v>
      </c>
      <c r="M79" s="106"/>
      <c r="N79" s="105" t="n">
        <f aca="false">$G$6/12</f>
        <v>11773258.5666667</v>
      </c>
      <c r="O79" s="37" t="n">
        <f aca="false">$N$35</f>
        <v>14127910.28</v>
      </c>
      <c r="P79" s="37"/>
      <c r="Q79" s="37" t="n">
        <f aca="false">Q78</f>
        <v>-2354651.71333333</v>
      </c>
      <c r="R79" s="37"/>
      <c r="S79" s="37" t="n">
        <f aca="false">N79-O79-Q79</f>
        <v>0</v>
      </c>
      <c r="T79" s="106"/>
      <c r="U79" s="105" t="n">
        <f aca="false">$G$7/12</f>
        <v>28895977.145</v>
      </c>
      <c r="V79" s="37" t="n">
        <f aca="false">$U$35</f>
        <v>40454368.09</v>
      </c>
      <c r="W79" s="37"/>
      <c r="X79" s="37" t="n">
        <f aca="false">X78</f>
        <v>-11558390.945</v>
      </c>
      <c r="Y79" s="37"/>
      <c r="Z79" s="37" t="n">
        <f aca="false">U79-V79-X79</f>
        <v>0</v>
      </c>
      <c r="AA79" s="106"/>
      <c r="AB79" s="37"/>
      <c r="AC79" s="107" t="n">
        <f aca="false">G79-C79</f>
        <v>3421191.86666667</v>
      </c>
      <c r="AD79" s="107" t="n">
        <f aca="false">N79-C79</f>
        <v>11756438.5666667</v>
      </c>
      <c r="AE79" s="107" t="n">
        <f aca="false">U79-C79</f>
        <v>28879157.145</v>
      </c>
      <c r="AF79" s="37"/>
      <c r="AG79" s="37"/>
    </row>
    <row r="80" customFormat="false" ht="15.75" hidden="false" customHeight="false" outlineLevel="0" collapsed="false">
      <c r="A80" s="103" t="s">
        <v>105</v>
      </c>
      <c r="B80" s="104" t="n">
        <f aca="false">B79+1</f>
        <v>52</v>
      </c>
      <c r="C80" s="105" t="n">
        <f aca="false">$G$9/12</f>
        <v>16820</v>
      </c>
      <c r="D80" s="37"/>
      <c r="E80" s="106" t="n">
        <f aca="false">$C$41</f>
        <v>16820</v>
      </c>
      <c r="G80" s="105" t="n">
        <f aca="false">$G$5/12</f>
        <v>3438011.86666667</v>
      </c>
      <c r="H80" s="37" t="n">
        <f aca="false">$G$35</f>
        <v>3438011.86666667</v>
      </c>
      <c r="I80" s="37"/>
      <c r="J80" s="37" t="n">
        <f aca="false">J79</f>
        <v>0</v>
      </c>
      <c r="K80" s="37"/>
      <c r="L80" s="37" t="n">
        <f aca="false">G80-H80-J80</f>
        <v>0</v>
      </c>
      <c r="M80" s="106"/>
      <c r="N80" s="105" t="n">
        <f aca="false">$G$6/12</f>
        <v>11773258.5666667</v>
      </c>
      <c r="O80" s="37" t="n">
        <f aca="false">$N$35</f>
        <v>14127910.28</v>
      </c>
      <c r="P80" s="37"/>
      <c r="Q80" s="37" t="n">
        <f aca="false">Q79</f>
        <v>-2354651.71333333</v>
      </c>
      <c r="R80" s="37"/>
      <c r="S80" s="37" t="n">
        <f aca="false">N80-O80-Q80</f>
        <v>0</v>
      </c>
      <c r="T80" s="106"/>
      <c r="U80" s="105" t="n">
        <f aca="false">$G$7/12</f>
        <v>28895977.145</v>
      </c>
      <c r="V80" s="37" t="n">
        <f aca="false">$U$35</f>
        <v>40454368.09</v>
      </c>
      <c r="W80" s="37"/>
      <c r="X80" s="37" t="n">
        <f aca="false">X79</f>
        <v>-11558390.945</v>
      </c>
      <c r="Y80" s="37"/>
      <c r="Z80" s="37" t="n">
        <f aca="false">U80-V80-X80</f>
        <v>0</v>
      </c>
      <c r="AA80" s="106"/>
      <c r="AB80" s="37"/>
      <c r="AC80" s="107" t="n">
        <f aca="false">G80-C80</f>
        <v>3421191.86666667</v>
      </c>
      <c r="AD80" s="107" t="n">
        <f aca="false">N80-C80</f>
        <v>11756438.5666667</v>
      </c>
      <c r="AE80" s="107" t="n">
        <f aca="false">U80-C80</f>
        <v>28879157.145</v>
      </c>
      <c r="AF80" s="37"/>
      <c r="AG80" s="37"/>
    </row>
    <row r="81" customFormat="false" ht="15.75" hidden="false" customHeight="false" outlineLevel="0" collapsed="false">
      <c r="A81" s="103" t="s">
        <v>106</v>
      </c>
      <c r="B81" s="104" t="n">
        <f aca="false">B80+1</f>
        <v>53</v>
      </c>
      <c r="C81" s="105" t="n">
        <f aca="false">$G$9/12</f>
        <v>16820</v>
      </c>
      <c r="D81" s="37"/>
      <c r="E81" s="106" t="n">
        <f aca="false">$C$41</f>
        <v>16820</v>
      </c>
      <c r="G81" s="105" t="n">
        <f aca="false">$G$5/12</f>
        <v>3438011.86666667</v>
      </c>
      <c r="H81" s="37" t="n">
        <f aca="false">$G$35</f>
        <v>3438011.86666667</v>
      </c>
      <c r="I81" s="37"/>
      <c r="J81" s="37" t="n">
        <f aca="false">J80</f>
        <v>0</v>
      </c>
      <c r="K81" s="37"/>
      <c r="L81" s="37" t="n">
        <f aca="false">G81-H81-J81</f>
        <v>0</v>
      </c>
      <c r="M81" s="106"/>
      <c r="N81" s="105" t="n">
        <f aca="false">$G$6/12</f>
        <v>11773258.5666667</v>
      </c>
      <c r="O81" s="37" t="n">
        <f aca="false">$N$35</f>
        <v>14127910.28</v>
      </c>
      <c r="P81" s="37"/>
      <c r="Q81" s="37" t="n">
        <f aca="false">Q80</f>
        <v>-2354651.71333333</v>
      </c>
      <c r="R81" s="37"/>
      <c r="S81" s="37" t="n">
        <f aca="false">N81-O81-Q81</f>
        <v>0</v>
      </c>
      <c r="T81" s="106"/>
      <c r="U81" s="105" t="n">
        <f aca="false">$G$7/12</f>
        <v>28895977.145</v>
      </c>
      <c r="V81" s="37" t="n">
        <f aca="false">$U$35</f>
        <v>40454368.09</v>
      </c>
      <c r="W81" s="37"/>
      <c r="X81" s="37" t="n">
        <f aca="false">X80</f>
        <v>-11558390.945</v>
      </c>
      <c r="Y81" s="37"/>
      <c r="Z81" s="37" t="n">
        <f aca="false">U81-V81-X81</f>
        <v>0</v>
      </c>
      <c r="AA81" s="106"/>
      <c r="AB81" s="37"/>
      <c r="AC81" s="107" t="n">
        <f aca="false">G81-C81</f>
        <v>3421191.86666667</v>
      </c>
      <c r="AD81" s="107" t="n">
        <f aca="false">N81-C81</f>
        <v>11756438.5666667</v>
      </c>
      <c r="AE81" s="107" t="n">
        <f aca="false">U81-C81</f>
        <v>28879157.145</v>
      </c>
      <c r="AF81" s="37"/>
      <c r="AG81" s="37"/>
    </row>
    <row r="82" customFormat="false" ht="15.75" hidden="false" customHeight="false" outlineLevel="0" collapsed="false">
      <c r="A82" s="103" t="s">
        <v>107</v>
      </c>
      <c r="B82" s="104" t="n">
        <f aca="false">B81+1</f>
        <v>54</v>
      </c>
      <c r="C82" s="105" t="n">
        <f aca="false">$G$9/12</f>
        <v>16820</v>
      </c>
      <c r="D82" s="37"/>
      <c r="E82" s="106" t="n">
        <f aca="false">$C$41</f>
        <v>16820</v>
      </c>
      <c r="G82" s="105" t="n">
        <f aca="false">$G$5/12</f>
        <v>3438011.86666667</v>
      </c>
      <c r="H82" s="37" t="n">
        <f aca="false">$G$35</f>
        <v>3438011.86666667</v>
      </c>
      <c r="I82" s="37"/>
      <c r="J82" s="37" t="n">
        <f aca="false">J81</f>
        <v>0</v>
      </c>
      <c r="K82" s="37"/>
      <c r="L82" s="37" t="n">
        <f aca="false">G82-H82-J82</f>
        <v>0</v>
      </c>
      <c r="M82" s="106"/>
      <c r="N82" s="105" t="n">
        <f aca="false">$G$6/12</f>
        <v>11773258.5666667</v>
      </c>
      <c r="O82" s="37" t="n">
        <f aca="false">$N$35</f>
        <v>14127910.28</v>
      </c>
      <c r="P82" s="37"/>
      <c r="Q82" s="37" t="n">
        <f aca="false">Q81</f>
        <v>-2354651.71333333</v>
      </c>
      <c r="R82" s="37"/>
      <c r="S82" s="37" t="n">
        <f aca="false">N82-O82-Q82</f>
        <v>0</v>
      </c>
      <c r="T82" s="106"/>
      <c r="U82" s="105" t="n">
        <f aca="false">$G$7/12</f>
        <v>28895977.145</v>
      </c>
      <c r="V82" s="37" t="n">
        <f aca="false">$U$35</f>
        <v>40454368.09</v>
      </c>
      <c r="W82" s="37"/>
      <c r="X82" s="37" t="n">
        <f aca="false">X81</f>
        <v>-11558390.945</v>
      </c>
      <c r="Y82" s="37"/>
      <c r="Z82" s="37" t="n">
        <f aca="false">U82-V82-X82</f>
        <v>0</v>
      </c>
      <c r="AA82" s="106"/>
      <c r="AB82" s="37"/>
      <c r="AC82" s="107" t="n">
        <f aca="false">G82-C82</f>
        <v>3421191.86666667</v>
      </c>
      <c r="AD82" s="107" t="n">
        <f aca="false">N82-C82</f>
        <v>11756438.5666667</v>
      </c>
      <c r="AE82" s="107" t="n">
        <f aca="false">U82-C82</f>
        <v>28879157.145</v>
      </c>
      <c r="AF82" s="37"/>
      <c r="AG82" s="37"/>
    </row>
    <row r="83" customFormat="false" ht="15.75" hidden="false" customHeight="false" outlineLevel="0" collapsed="false">
      <c r="A83" s="103" t="s">
        <v>108</v>
      </c>
      <c r="B83" s="104" t="n">
        <f aca="false">B82+1</f>
        <v>55</v>
      </c>
      <c r="C83" s="105" t="n">
        <f aca="false">$G$9/12</f>
        <v>16820</v>
      </c>
      <c r="D83" s="37"/>
      <c r="E83" s="106" t="n">
        <f aca="false">$C$41</f>
        <v>16820</v>
      </c>
      <c r="G83" s="105" t="n">
        <f aca="false">$G$5/12</f>
        <v>3438011.86666667</v>
      </c>
      <c r="H83" s="37" t="n">
        <f aca="false">$G$35</f>
        <v>3438011.86666667</v>
      </c>
      <c r="I83" s="37"/>
      <c r="J83" s="37" t="n">
        <f aca="false">J82</f>
        <v>0</v>
      </c>
      <c r="K83" s="37"/>
      <c r="L83" s="37" t="n">
        <f aca="false">G83-H83-J83</f>
        <v>0</v>
      </c>
      <c r="M83" s="106"/>
      <c r="N83" s="105" t="n">
        <f aca="false">$G$6/12</f>
        <v>11773258.5666667</v>
      </c>
      <c r="O83" s="37" t="n">
        <f aca="false">$N$35</f>
        <v>14127910.28</v>
      </c>
      <c r="P83" s="37"/>
      <c r="Q83" s="37" t="n">
        <f aca="false">Q82</f>
        <v>-2354651.71333333</v>
      </c>
      <c r="R83" s="37"/>
      <c r="S83" s="37" t="n">
        <f aca="false">N83-O83-Q83</f>
        <v>0</v>
      </c>
      <c r="T83" s="106"/>
      <c r="U83" s="105" t="n">
        <f aca="false">$G$7/12</f>
        <v>28895977.145</v>
      </c>
      <c r="V83" s="37" t="n">
        <f aca="false">$U$35</f>
        <v>40454368.09</v>
      </c>
      <c r="W83" s="37"/>
      <c r="X83" s="37" t="n">
        <f aca="false">X82</f>
        <v>-11558390.945</v>
      </c>
      <c r="Y83" s="37"/>
      <c r="Z83" s="37" t="n">
        <f aca="false">U83-V83-X83</f>
        <v>0</v>
      </c>
      <c r="AA83" s="106"/>
      <c r="AB83" s="37"/>
      <c r="AC83" s="107" t="n">
        <f aca="false">G83-C83</f>
        <v>3421191.86666667</v>
      </c>
      <c r="AD83" s="107" t="n">
        <f aca="false">N83-C83</f>
        <v>11756438.5666667</v>
      </c>
      <c r="AE83" s="107" t="n">
        <f aca="false">U83-C83</f>
        <v>28879157.145</v>
      </c>
      <c r="AF83" s="37"/>
      <c r="AG83" s="37"/>
    </row>
    <row r="84" customFormat="false" ht="15.75" hidden="false" customHeight="false" outlineLevel="0" collapsed="false">
      <c r="A84" s="103" t="s">
        <v>109</v>
      </c>
      <c r="B84" s="104" t="n">
        <f aca="false">B83+1</f>
        <v>56</v>
      </c>
      <c r="C84" s="105" t="n">
        <f aca="false">$G$9/12</f>
        <v>16820</v>
      </c>
      <c r="D84" s="37"/>
      <c r="E84" s="106" t="n">
        <f aca="false">$C$41</f>
        <v>16820</v>
      </c>
      <c r="G84" s="105" t="n">
        <f aca="false">$G$5/12</f>
        <v>3438011.86666667</v>
      </c>
      <c r="H84" s="37" t="n">
        <f aca="false">$G$35</f>
        <v>3438011.86666667</v>
      </c>
      <c r="I84" s="37"/>
      <c r="J84" s="37" t="n">
        <f aca="false">J83</f>
        <v>0</v>
      </c>
      <c r="K84" s="37"/>
      <c r="L84" s="37" t="n">
        <f aca="false">G84-H84-J84</f>
        <v>0</v>
      </c>
      <c r="M84" s="106"/>
      <c r="N84" s="105" t="n">
        <f aca="false">$G$6/12</f>
        <v>11773258.5666667</v>
      </c>
      <c r="O84" s="37" t="n">
        <f aca="false">$N$35</f>
        <v>14127910.28</v>
      </c>
      <c r="P84" s="37"/>
      <c r="Q84" s="37" t="n">
        <f aca="false">Q83</f>
        <v>-2354651.71333333</v>
      </c>
      <c r="R84" s="37"/>
      <c r="S84" s="37" t="n">
        <f aca="false">N84-O84-Q84</f>
        <v>0</v>
      </c>
      <c r="T84" s="106"/>
      <c r="U84" s="105" t="n">
        <f aca="false">$G$7/12</f>
        <v>28895977.145</v>
      </c>
      <c r="V84" s="37" t="n">
        <f aca="false">$U$35</f>
        <v>40454368.09</v>
      </c>
      <c r="W84" s="37"/>
      <c r="X84" s="37" t="n">
        <f aca="false">X83</f>
        <v>-11558390.945</v>
      </c>
      <c r="Y84" s="37"/>
      <c r="Z84" s="37" t="n">
        <f aca="false">U84-V84-X84</f>
        <v>0</v>
      </c>
      <c r="AA84" s="106"/>
      <c r="AB84" s="37"/>
      <c r="AC84" s="107" t="n">
        <f aca="false">G84-C84</f>
        <v>3421191.86666667</v>
      </c>
      <c r="AD84" s="107" t="n">
        <f aca="false">N84-C84</f>
        <v>11756438.5666667</v>
      </c>
      <c r="AE84" s="107" t="n">
        <f aca="false">U84-C84</f>
        <v>28879157.145</v>
      </c>
      <c r="AF84" s="37"/>
      <c r="AG84" s="37"/>
    </row>
    <row r="85" customFormat="false" ht="15.75" hidden="false" customHeight="false" outlineLevel="0" collapsed="false">
      <c r="A85" s="103" t="s">
        <v>110</v>
      </c>
      <c r="B85" s="104" t="n">
        <f aca="false">B84+1</f>
        <v>57</v>
      </c>
      <c r="C85" s="105" t="n">
        <f aca="false">$G$9/12</f>
        <v>16820</v>
      </c>
      <c r="D85" s="37"/>
      <c r="E85" s="106" t="n">
        <f aca="false">$C$41</f>
        <v>16820</v>
      </c>
      <c r="G85" s="105" t="n">
        <f aca="false">$G$5/12</f>
        <v>3438011.86666667</v>
      </c>
      <c r="H85" s="37" t="n">
        <f aca="false">$G$35</f>
        <v>3438011.86666667</v>
      </c>
      <c r="I85" s="37"/>
      <c r="J85" s="37" t="n">
        <f aca="false">J84</f>
        <v>0</v>
      </c>
      <c r="K85" s="37"/>
      <c r="L85" s="37" t="n">
        <f aca="false">G85-H85-J85</f>
        <v>0</v>
      </c>
      <c r="M85" s="106"/>
      <c r="N85" s="105" t="n">
        <f aca="false">$G$6/12</f>
        <v>11773258.5666667</v>
      </c>
      <c r="O85" s="37" t="n">
        <f aca="false">$N$35</f>
        <v>14127910.28</v>
      </c>
      <c r="P85" s="37"/>
      <c r="Q85" s="37" t="n">
        <f aca="false">Q84</f>
        <v>-2354651.71333333</v>
      </c>
      <c r="R85" s="37"/>
      <c r="S85" s="37" t="n">
        <f aca="false">N85-O85-Q85</f>
        <v>0</v>
      </c>
      <c r="T85" s="106"/>
      <c r="U85" s="105" t="n">
        <f aca="false">$G$7/12</f>
        <v>28895977.145</v>
      </c>
      <c r="V85" s="37" t="n">
        <f aca="false">$U$35</f>
        <v>40454368.09</v>
      </c>
      <c r="W85" s="37"/>
      <c r="X85" s="37" t="n">
        <f aca="false">X84</f>
        <v>-11558390.945</v>
      </c>
      <c r="Y85" s="37"/>
      <c r="Z85" s="37" t="n">
        <f aca="false">U85-V85-X85</f>
        <v>0</v>
      </c>
      <c r="AA85" s="106"/>
      <c r="AB85" s="37"/>
      <c r="AC85" s="107" t="n">
        <f aca="false">G85-C85</f>
        <v>3421191.86666667</v>
      </c>
      <c r="AD85" s="107" t="n">
        <f aca="false">N85-C85</f>
        <v>11756438.5666667</v>
      </c>
      <c r="AE85" s="107" t="n">
        <f aca="false">U85-C85</f>
        <v>28879157.145</v>
      </c>
      <c r="AF85" s="37"/>
      <c r="AG85" s="37"/>
    </row>
    <row r="86" customFormat="false" ht="15.75" hidden="false" customHeight="false" outlineLevel="0" collapsed="false">
      <c r="A86" s="103" t="s">
        <v>111</v>
      </c>
      <c r="B86" s="104" t="n">
        <f aca="false">B85+1</f>
        <v>58</v>
      </c>
      <c r="C86" s="105" t="n">
        <f aca="false">$G$9/12</f>
        <v>16820</v>
      </c>
      <c r="D86" s="37"/>
      <c r="E86" s="106" t="n">
        <f aca="false">$C$41</f>
        <v>16820</v>
      </c>
      <c r="G86" s="105" t="n">
        <f aca="false">$G$5/12</f>
        <v>3438011.86666667</v>
      </c>
      <c r="H86" s="37" t="n">
        <f aca="false">$G$35</f>
        <v>3438011.86666667</v>
      </c>
      <c r="I86" s="37"/>
      <c r="J86" s="37" t="n">
        <f aca="false">J85</f>
        <v>0</v>
      </c>
      <c r="K86" s="37"/>
      <c r="L86" s="37" t="n">
        <f aca="false">G86-H86-J86</f>
        <v>0</v>
      </c>
      <c r="M86" s="106"/>
      <c r="N86" s="105" t="n">
        <f aca="false">$G$6/12</f>
        <v>11773258.5666667</v>
      </c>
      <c r="O86" s="37" t="n">
        <f aca="false">$N$35</f>
        <v>14127910.28</v>
      </c>
      <c r="P86" s="37"/>
      <c r="Q86" s="37" t="n">
        <f aca="false">Q85</f>
        <v>-2354651.71333333</v>
      </c>
      <c r="R86" s="37"/>
      <c r="S86" s="37" t="n">
        <f aca="false">N86-O86-Q86</f>
        <v>0</v>
      </c>
      <c r="T86" s="106"/>
      <c r="U86" s="105" t="n">
        <f aca="false">$G$7/12</f>
        <v>28895977.145</v>
      </c>
      <c r="V86" s="37" t="n">
        <f aca="false">$U$35</f>
        <v>40454368.09</v>
      </c>
      <c r="W86" s="37"/>
      <c r="X86" s="37" t="n">
        <f aca="false">X85</f>
        <v>-11558390.945</v>
      </c>
      <c r="Y86" s="37"/>
      <c r="Z86" s="37" t="n">
        <f aca="false">U86-V86-X86</f>
        <v>0</v>
      </c>
      <c r="AA86" s="106"/>
      <c r="AB86" s="37"/>
      <c r="AC86" s="107" t="n">
        <f aca="false">G86-C86</f>
        <v>3421191.86666667</v>
      </c>
      <c r="AD86" s="107" t="n">
        <f aca="false">N86-C86</f>
        <v>11756438.5666667</v>
      </c>
      <c r="AE86" s="107" t="n">
        <f aca="false">U86-C86</f>
        <v>28879157.145</v>
      </c>
      <c r="AF86" s="37"/>
      <c r="AG86" s="37"/>
    </row>
    <row r="87" customFormat="false" ht="15.75" hidden="false" customHeight="false" outlineLevel="0" collapsed="false">
      <c r="A87" s="103" t="s">
        <v>112</v>
      </c>
      <c r="B87" s="104" t="n">
        <f aca="false">B86+1</f>
        <v>59</v>
      </c>
      <c r="C87" s="105" t="n">
        <f aca="false">$G$9/12</f>
        <v>16820</v>
      </c>
      <c r="D87" s="37"/>
      <c r="E87" s="106" t="n">
        <f aca="false">$C$41</f>
        <v>16820</v>
      </c>
      <c r="G87" s="105" t="n">
        <f aca="false">$G$5/12</f>
        <v>3438011.86666667</v>
      </c>
      <c r="H87" s="37" t="n">
        <f aca="false">$G$35</f>
        <v>3438011.86666667</v>
      </c>
      <c r="I87" s="37"/>
      <c r="J87" s="37" t="n">
        <f aca="false">J86</f>
        <v>0</v>
      </c>
      <c r="K87" s="37"/>
      <c r="L87" s="37" t="n">
        <f aca="false">G87-H87-J87</f>
        <v>0</v>
      </c>
      <c r="M87" s="106"/>
      <c r="N87" s="105" t="n">
        <f aca="false">$G$6/12</f>
        <v>11773258.5666667</v>
      </c>
      <c r="O87" s="37" t="n">
        <f aca="false">$N$35</f>
        <v>14127910.28</v>
      </c>
      <c r="P87" s="37"/>
      <c r="Q87" s="37" t="n">
        <f aca="false">Q86</f>
        <v>-2354651.71333333</v>
      </c>
      <c r="R87" s="37"/>
      <c r="S87" s="37" t="n">
        <f aca="false">N87-O87-Q87</f>
        <v>0</v>
      </c>
      <c r="T87" s="106"/>
      <c r="U87" s="105" t="n">
        <f aca="false">$G$7/12</f>
        <v>28895977.145</v>
      </c>
      <c r="V87" s="37" t="n">
        <f aca="false">$U$35</f>
        <v>40454368.09</v>
      </c>
      <c r="W87" s="37"/>
      <c r="X87" s="37" t="n">
        <f aca="false">X86</f>
        <v>-11558390.945</v>
      </c>
      <c r="Y87" s="37"/>
      <c r="Z87" s="37" t="n">
        <f aca="false">U87-V87-X87</f>
        <v>0</v>
      </c>
      <c r="AA87" s="106"/>
      <c r="AB87" s="37"/>
      <c r="AC87" s="107" t="n">
        <f aca="false">G87-C87</f>
        <v>3421191.86666667</v>
      </c>
      <c r="AD87" s="107" t="n">
        <f aca="false">N87-C87</f>
        <v>11756438.5666667</v>
      </c>
      <c r="AE87" s="107" t="n">
        <f aca="false">U87-C87</f>
        <v>28879157.145</v>
      </c>
      <c r="AF87" s="37"/>
      <c r="AG87" s="37"/>
    </row>
    <row r="88" customFormat="false" ht="15.75" hidden="false" customHeight="false" outlineLevel="0" collapsed="false">
      <c r="A88" s="103" t="s">
        <v>113</v>
      </c>
      <c r="B88" s="104" t="n">
        <f aca="false">B87+1</f>
        <v>60</v>
      </c>
      <c r="C88" s="108" t="n">
        <f aca="false">$G$9/12</f>
        <v>16820</v>
      </c>
      <c r="D88" s="109"/>
      <c r="E88" s="110" t="n">
        <f aca="false">$C$41</f>
        <v>16820</v>
      </c>
      <c r="F88" s="86"/>
      <c r="G88" s="108" t="n">
        <f aca="false">$G$5/12</f>
        <v>3438011.86666667</v>
      </c>
      <c r="H88" s="109" t="n">
        <f aca="false">$G$35</f>
        <v>3438011.86666667</v>
      </c>
      <c r="I88" s="109"/>
      <c r="J88" s="109" t="n">
        <f aca="false">J87</f>
        <v>0</v>
      </c>
      <c r="K88" s="109"/>
      <c r="L88" s="109" t="n">
        <f aca="false">G88-H88-J88</f>
        <v>0</v>
      </c>
      <c r="M88" s="110"/>
      <c r="N88" s="108" t="n">
        <f aca="false">$G$6/12</f>
        <v>11773258.5666667</v>
      </c>
      <c r="O88" s="109" t="n">
        <f aca="false">$N$35</f>
        <v>14127910.28</v>
      </c>
      <c r="P88" s="109"/>
      <c r="Q88" s="109" t="n">
        <f aca="false">Q87</f>
        <v>-2354651.71333333</v>
      </c>
      <c r="R88" s="109"/>
      <c r="S88" s="109" t="n">
        <f aca="false">N88-O88-Q88</f>
        <v>0</v>
      </c>
      <c r="T88" s="110"/>
      <c r="U88" s="108" t="n">
        <f aca="false">$G$7/12</f>
        <v>28895977.145</v>
      </c>
      <c r="V88" s="109" t="n">
        <f aca="false">$U$35</f>
        <v>40454368.09</v>
      </c>
      <c r="W88" s="109"/>
      <c r="X88" s="109" t="n">
        <f aca="false">X87</f>
        <v>-11558390.945</v>
      </c>
      <c r="Y88" s="109"/>
      <c r="Z88" s="109" t="n">
        <f aca="false">U88-V88-X88</f>
        <v>0</v>
      </c>
      <c r="AA88" s="110"/>
      <c r="AB88" s="37"/>
      <c r="AC88" s="107" t="n">
        <f aca="false">G88-C88</f>
        <v>3421191.86666667</v>
      </c>
      <c r="AD88" s="107" t="n">
        <f aca="false">N88-C88</f>
        <v>11756438.5666667</v>
      </c>
      <c r="AE88" s="107" t="n">
        <f aca="false">U88-C88</f>
        <v>28879157.145</v>
      </c>
      <c r="AF88" s="37"/>
      <c r="AG88" s="37"/>
    </row>
    <row r="89" customFormat="false" ht="15.75" hidden="false" customHeight="false" outlineLevel="0" collapsed="false">
      <c r="A89" s="26" t="s">
        <v>8</v>
      </c>
      <c r="B89" s="104"/>
      <c r="C89" s="108" t="n">
        <f aca="false">SUM(C29:C88)</f>
        <v>1009200</v>
      </c>
      <c r="D89" s="109" t="n">
        <f aca="false">SUM(D29:D88)</f>
        <v>0</v>
      </c>
      <c r="E89" s="110" t="n">
        <f aca="false">SUM(E29:E88)</f>
        <v>1009200</v>
      </c>
      <c r="G89" s="108" t="n">
        <f aca="false">SUM(G29:G88)</f>
        <v>185652640.8</v>
      </c>
      <c r="H89" s="109" t="n">
        <f aca="false">SUM(H29:H88)</f>
        <v>206280712</v>
      </c>
      <c r="I89" s="109" t="n">
        <f aca="false">SUM(I29:I88)</f>
        <v>-20628071.2</v>
      </c>
      <c r="J89" s="109" t="n">
        <f aca="false">SUM(J29:J88)</f>
        <v>0</v>
      </c>
      <c r="K89" s="109" t="n">
        <f aca="false">SUM(K29:K88)</f>
        <v>0</v>
      </c>
      <c r="L89" s="109" t="n">
        <f aca="false">SUM(L29:L88)</f>
        <v>0</v>
      </c>
      <c r="M89" s="110" t="n">
        <f aca="false">SUM(M29:M88)</f>
        <v>0</v>
      </c>
      <c r="N89" s="108" t="n">
        <f aca="false">SUM(N29:N88)</f>
        <v>649883872.88</v>
      </c>
      <c r="O89" s="109" t="n">
        <f aca="false">SUM(O29:O88)</f>
        <v>847674616.8</v>
      </c>
      <c r="P89" s="109" t="n">
        <f aca="false">SUM(P29:P88)</f>
        <v>-84767461.68</v>
      </c>
      <c r="Q89" s="109" t="n">
        <f aca="false">SUM(Q29:Q88)</f>
        <v>-141279102.8</v>
      </c>
      <c r="R89" s="109" t="n">
        <f aca="false">SUM(R29:R88)</f>
        <v>28255820.56</v>
      </c>
      <c r="S89" s="109" t="n">
        <f aca="false">SUM(S29:S88)</f>
        <v>0</v>
      </c>
      <c r="T89" s="110" t="n">
        <f aca="false">SUM(T29:T88)</f>
        <v>0</v>
      </c>
      <c r="U89" s="108" t="n">
        <f aca="false">SUM(U29:U88)</f>
        <v>1629733111.5</v>
      </c>
      <c r="V89" s="109" t="n">
        <f aca="false">SUM(V29:V88)</f>
        <v>2427262085.4</v>
      </c>
      <c r="W89" s="109" t="n">
        <f aca="false">SUM(W29:W88)</f>
        <v>-242726208.54</v>
      </c>
      <c r="X89" s="109" t="n">
        <f aca="false">SUM(X29:X88)</f>
        <v>-693503456.7</v>
      </c>
      <c r="Y89" s="109" t="n">
        <f aca="false">SUM(Y29:Y88)</f>
        <v>138700691.34</v>
      </c>
      <c r="Z89" s="109" t="n">
        <f aca="false">SUM(Z29:Z88)</f>
        <v>0</v>
      </c>
      <c r="AA89" s="110" t="n">
        <f aca="false">SUM(AA29:AA88)</f>
        <v>0</v>
      </c>
      <c r="AB89" s="37"/>
      <c r="AC89" s="111" t="n">
        <f aca="false">SUM(AC29:AC88)</f>
        <v>184643440.8</v>
      </c>
      <c r="AD89" s="111" t="n">
        <f aca="false">SUM(AD29:AD88)</f>
        <v>648874672.88</v>
      </c>
      <c r="AE89" s="111" t="n">
        <f aca="false">SUM(AE29:AE88)</f>
        <v>1628723911.5</v>
      </c>
      <c r="AF89" s="37"/>
      <c r="AG89" s="37"/>
    </row>
    <row r="90" customFormat="false" ht="15.75" hidden="false" customHeight="false" outlineLevel="0" collapsed="false">
      <c r="B90" s="104"/>
      <c r="D90" s="37"/>
      <c r="E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</row>
    <row r="91" customFormat="false" ht="11.25" hidden="false" customHeight="false" outlineLevel="0" collapsed="false">
      <c r="A91" s="112"/>
      <c r="B91" s="113" t="s">
        <v>114</v>
      </c>
      <c r="C91" s="114" t="n">
        <f aca="false">SUM(D89:E89)-C89</f>
        <v>0</v>
      </c>
      <c r="D91" s="114"/>
      <c r="E91" s="114"/>
      <c r="F91" s="112"/>
      <c r="G91" s="114" t="n">
        <f aca="false">SUM(H89:M89)-G89</f>
        <v>0</v>
      </c>
      <c r="H91" s="114"/>
      <c r="I91" s="114"/>
      <c r="J91" s="114"/>
      <c r="K91" s="114"/>
      <c r="L91" s="114"/>
      <c r="M91" s="114"/>
      <c r="N91" s="114" t="n">
        <f aca="false">SUM(O89:T89)-N89</f>
        <v>0</v>
      </c>
      <c r="O91" s="114"/>
      <c r="P91" s="114"/>
      <c r="Q91" s="114"/>
      <c r="R91" s="114"/>
      <c r="S91" s="114"/>
      <c r="T91" s="114"/>
      <c r="U91" s="114" t="n">
        <f aca="false">SUM(V89:AA89)-U89</f>
        <v>0</v>
      </c>
      <c r="V91" s="114"/>
      <c r="W91" s="114"/>
      <c r="X91" s="114"/>
      <c r="Y91" s="114"/>
      <c r="Z91" s="114"/>
      <c r="AA91" s="114"/>
      <c r="AB91" s="114"/>
      <c r="AC91" s="114" t="n">
        <f aca="false">H5-$H$9-AC89</f>
        <v>0</v>
      </c>
      <c r="AD91" s="114" t="n">
        <f aca="false">H6-$H$9-AD89</f>
        <v>0</v>
      </c>
      <c r="AE91" s="114" t="n">
        <f aca="false">H7-$H$9-AE89</f>
        <v>0</v>
      </c>
      <c r="AF91" s="114"/>
      <c r="AG91" s="114"/>
      <c r="AH91" s="112"/>
      <c r="AI91" s="112"/>
      <c r="AJ91" s="112"/>
      <c r="AK91" s="112"/>
      <c r="AL91" s="112"/>
      <c r="AM91" s="112"/>
      <c r="AN91" s="112"/>
      <c r="AO91" s="112"/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12"/>
      <c r="BI91" s="112"/>
      <c r="BJ91" s="112"/>
      <c r="BK91" s="112"/>
      <c r="BL91" s="112"/>
      <c r="BM91" s="112"/>
      <c r="BN91" s="112"/>
      <c r="BO91" s="112"/>
      <c r="BP91" s="112"/>
      <c r="BQ91" s="112"/>
      <c r="BR91" s="112"/>
      <c r="BS91" s="112"/>
      <c r="BT91" s="112"/>
      <c r="BU91" s="112"/>
      <c r="BV91" s="112"/>
      <c r="BW91" s="112"/>
      <c r="BX91" s="112"/>
      <c r="BY91" s="112"/>
      <c r="BZ91" s="112"/>
      <c r="CA91" s="112"/>
      <c r="CB91" s="112"/>
      <c r="CC91" s="112"/>
      <c r="CD91" s="112"/>
      <c r="CE91" s="112"/>
      <c r="CF91" s="112"/>
      <c r="CG91" s="112"/>
      <c r="CH91" s="112"/>
      <c r="CI91" s="112"/>
      <c r="CJ91" s="112"/>
      <c r="CK91" s="112"/>
      <c r="CL91" s="112"/>
      <c r="CM91" s="112"/>
      <c r="CN91" s="112"/>
      <c r="CO91" s="112"/>
      <c r="CP91" s="112"/>
      <c r="CQ91" s="112"/>
      <c r="CR91" s="112"/>
      <c r="CS91" s="112"/>
      <c r="CT91" s="112"/>
      <c r="CU91" s="112"/>
      <c r="CV91" s="112"/>
      <c r="CW91" s="112"/>
      <c r="CX91" s="112"/>
      <c r="CY91" s="112"/>
      <c r="CZ91" s="112"/>
      <c r="DA91" s="112"/>
      <c r="DB91" s="112"/>
      <c r="DC91" s="112"/>
      <c r="DD91" s="112"/>
      <c r="DE91" s="112"/>
      <c r="DF91" s="112"/>
      <c r="DG91" s="112"/>
      <c r="DH91" s="112"/>
      <c r="DI91" s="112"/>
      <c r="DJ91" s="112"/>
      <c r="DK91" s="112"/>
      <c r="DL91" s="112"/>
      <c r="DM91" s="112"/>
      <c r="DN91" s="112"/>
      <c r="DO91" s="112"/>
      <c r="DP91" s="112"/>
      <c r="DQ91" s="112"/>
      <c r="DR91" s="112"/>
      <c r="DS91" s="112"/>
      <c r="DT91" s="112"/>
      <c r="DU91" s="112"/>
      <c r="DV91" s="112"/>
      <c r="DW91" s="112"/>
      <c r="DX91" s="112"/>
      <c r="DY91" s="112"/>
      <c r="DZ91" s="112"/>
      <c r="EA91" s="112"/>
      <c r="EB91" s="112"/>
      <c r="EC91" s="112"/>
      <c r="ED91" s="112"/>
      <c r="EE91" s="112"/>
      <c r="EF91" s="112"/>
      <c r="EG91" s="112"/>
      <c r="EH91" s="112"/>
      <c r="EI91" s="112"/>
      <c r="EJ91" s="112"/>
      <c r="EK91" s="112"/>
      <c r="EL91" s="112"/>
      <c r="EM91" s="112"/>
      <c r="EN91" s="112"/>
      <c r="EO91" s="112"/>
      <c r="EP91" s="112"/>
      <c r="EQ91" s="112"/>
      <c r="ER91" s="112"/>
      <c r="ES91" s="112"/>
      <c r="ET91" s="112"/>
      <c r="EU91" s="112"/>
      <c r="EV91" s="112"/>
      <c r="EW91" s="112"/>
      <c r="EX91" s="112"/>
      <c r="EY91" s="112"/>
      <c r="EZ91" s="112"/>
      <c r="FA91" s="112"/>
      <c r="FB91" s="112"/>
      <c r="FC91" s="112"/>
      <c r="FD91" s="112"/>
      <c r="FE91" s="112"/>
      <c r="FF91" s="112"/>
      <c r="FG91" s="112"/>
      <c r="FH91" s="112"/>
      <c r="FI91" s="112"/>
      <c r="FJ91" s="112"/>
      <c r="FK91" s="112"/>
      <c r="FL91" s="112"/>
      <c r="FM91" s="112"/>
      <c r="FN91" s="112"/>
      <c r="FO91" s="112"/>
      <c r="FP91" s="112"/>
      <c r="FQ91" s="112"/>
      <c r="FR91" s="112"/>
      <c r="FS91" s="112"/>
      <c r="FT91" s="112"/>
      <c r="FU91" s="112"/>
      <c r="FV91" s="112"/>
      <c r="FW91" s="112"/>
      <c r="FX91" s="112"/>
      <c r="FY91" s="112"/>
      <c r="FZ91" s="112"/>
      <c r="GA91" s="112"/>
      <c r="GB91" s="112"/>
      <c r="GC91" s="112"/>
      <c r="GD91" s="112"/>
      <c r="GE91" s="112"/>
      <c r="GF91" s="112"/>
      <c r="GG91" s="112"/>
      <c r="GH91" s="112"/>
      <c r="GI91" s="112"/>
      <c r="GJ91" s="112"/>
      <c r="GK91" s="112"/>
      <c r="GL91" s="112"/>
      <c r="GM91" s="112"/>
      <c r="GN91" s="112"/>
      <c r="GO91" s="112"/>
      <c r="GP91" s="112"/>
      <c r="GQ91" s="112"/>
      <c r="GR91" s="112"/>
      <c r="GS91" s="112"/>
      <c r="GT91" s="112"/>
      <c r="GU91" s="112"/>
      <c r="GV91" s="112"/>
      <c r="GW91" s="112"/>
      <c r="GX91" s="112"/>
      <c r="GY91" s="112"/>
      <c r="GZ91" s="112"/>
      <c r="HA91" s="112"/>
      <c r="HB91" s="112"/>
      <c r="HC91" s="112"/>
      <c r="HD91" s="112"/>
      <c r="HE91" s="112"/>
      <c r="HF91" s="112"/>
      <c r="HG91" s="112"/>
      <c r="HH91" s="112"/>
      <c r="HI91" s="112"/>
      <c r="HJ91" s="112"/>
      <c r="HK91" s="112"/>
      <c r="HL91" s="112"/>
      <c r="HM91" s="112"/>
      <c r="HN91" s="112"/>
      <c r="HO91" s="112"/>
      <c r="HP91" s="112"/>
      <c r="HQ91" s="112"/>
      <c r="HR91" s="112"/>
      <c r="HS91" s="112"/>
      <c r="HT91" s="112"/>
      <c r="HU91" s="112"/>
      <c r="HV91" s="112"/>
      <c r="HW91" s="112"/>
      <c r="HX91" s="112"/>
      <c r="HY91" s="112"/>
      <c r="HZ91" s="112"/>
      <c r="IA91" s="112"/>
      <c r="IB91" s="112"/>
      <c r="IC91" s="112"/>
      <c r="ID91" s="112"/>
      <c r="IE91" s="112"/>
      <c r="IF91" s="112"/>
      <c r="IG91" s="112"/>
      <c r="IH91" s="112"/>
      <c r="II91" s="112"/>
      <c r="IJ91" s="112"/>
      <c r="IK91" s="112"/>
      <c r="IL91" s="112"/>
      <c r="IM91" s="112"/>
      <c r="IN91" s="112"/>
      <c r="IO91" s="112"/>
      <c r="IP91" s="112"/>
      <c r="IQ91" s="112"/>
      <c r="IR91" s="112"/>
      <c r="IS91" s="112"/>
      <c r="IT91" s="112"/>
      <c r="IU91" s="112"/>
      <c r="IV91" s="112"/>
      <c r="IW91" s="112"/>
    </row>
    <row r="92" customFormat="false" ht="15.75" hidden="false" customHeight="false" outlineLevel="0" collapsed="false">
      <c r="B92" s="104"/>
      <c r="D92" s="37"/>
      <c r="E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D92" s="37"/>
      <c r="AE92" s="37"/>
      <c r="AF92" s="37"/>
      <c r="AG92" s="37"/>
    </row>
    <row r="93" customFormat="false" ht="15.75" hidden="false" customHeight="false" outlineLevel="0" collapsed="false">
      <c r="B93" s="104"/>
      <c r="D93" s="37"/>
      <c r="E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D93" s="37"/>
      <c r="AE93" s="37"/>
      <c r="AF93" s="37"/>
      <c r="AG93" s="37"/>
    </row>
    <row r="94" customFormat="false" ht="15.75" hidden="false" customHeight="false" outlineLevel="0" collapsed="false">
      <c r="B94" s="104"/>
      <c r="D94" s="37"/>
      <c r="E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</row>
    <row r="95" customFormat="false" ht="15.75" hidden="false" customHeight="false" outlineLevel="0" collapsed="false">
      <c r="B95" s="104"/>
      <c r="D95" s="37"/>
      <c r="E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</row>
    <row r="96" customFormat="false" ht="15.75" hidden="false" customHeight="false" outlineLevel="0" collapsed="false">
      <c r="B96" s="104"/>
      <c r="D96" s="37"/>
      <c r="E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</row>
    <row r="97" customFormat="false" ht="15.75" hidden="false" customHeight="false" outlineLevel="0" collapsed="false">
      <c r="B97" s="104"/>
      <c r="D97" s="37"/>
      <c r="E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</row>
    <row r="98" customFormat="false" ht="15.75" hidden="false" customHeight="false" outlineLevel="0" collapsed="false">
      <c r="B98" s="104"/>
      <c r="D98" s="37"/>
      <c r="E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</row>
    <row r="99" customFormat="false" ht="15.75" hidden="false" customHeight="false" outlineLevel="0" collapsed="false">
      <c r="B99" s="104"/>
      <c r="D99" s="37"/>
      <c r="E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</row>
    <row r="100" customFormat="false" ht="15.75" hidden="false" customHeight="false" outlineLevel="0" collapsed="false">
      <c r="B100" s="104"/>
      <c r="D100" s="37"/>
      <c r="E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</row>
    <row r="101" customFormat="false" ht="15.75" hidden="false" customHeight="false" outlineLevel="0" collapsed="false">
      <c r="B101" s="104"/>
      <c r="D101" s="37"/>
      <c r="E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</row>
    <row r="102" customFormat="false" ht="15.75" hidden="false" customHeight="false" outlineLevel="0" collapsed="false">
      <c r="D102" s="37"/>
      <c r="E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</row>
    <row r="103" customFormat="false" ht="15.75" hidden="false" customHeight="false" outlineLevel="0" collapsed="false">
      <c r="D103" s="37"/>
      <c r="E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</row>
    <row r="104" customFormat="false" ht="15.75" hidden="false" customHeight="false" outlineLevel="0" collapsed="false">
      <c r="D104" s="37"/>
      <c r="E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</row>
    <row r="105" customFormat="false" ht="15.75" hidden="false" customHeight="false" outlineLevel="0" collapsed="false">
      <c r="D105" s="37"/>
      <c r="E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</row>
    <row r="106" customFormat="false" ht="15.75" hidden="false" customHeight="false" outlineLevel="0" collapsed="false">
      <c r="D106" s="37"/>
      <c r="E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</row>
    <row r="107" customFormat="false" ht="15.75" hidden="false" customHeight="false" outlineLevel="0" collapsed="false">
      <c r="D107" s="37"/>
      <c r="E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</row>
    <row r="108" customFormat="false" ht="15.75" hidden="false" customHeight="false" outlineLevel="0" collapsed="false">
      <c r="D108" s="37"/>
      <c r="E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</row>
    <row r="109" customFormat="false" ht="15.75" hidden="false" customHeight="false" outlineLevel="0" collapsed="false"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</row>
    <row r="110" customFormat="false" ht="15.75" hidden="false" customHeight="false" outlineLevel="0" collapsed="false"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</row>
    <row r="111" customFormat="false" ht="15.75" hidden="false" customHeight="false" outlineLevel="0" collapsed="false"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</row>
    <row r="112" customFormat="false" ht="15.75" hidden="false" customHeight="false" outlineLevel="0" collapsed="false"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</row>
    <row r="113" customFormat="false" ht="15.75" hidden="false" customHeight="false" outlineLevel="0" collapsed="false"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</row>
    <row r="114" customFormat="false" ht="15.75" hidden="false" customHeight="false" outlineLevel="0" collapsed="false"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</row>
    <row r="115" customFormat="false" ht="15.75" hidden="false" customHeight="false" outlineLevel="0" collapsed="false"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</row>
    <row r="116" customFormat="false" ht="15.75" hidden="false" customHeight="false" outlineLevel="0" collapsed="false"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</row>
    <row r="117" customFormat="false" ht="15.75" hidden="false" customHeight="false" outlineLevel="0" collapsed="false"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</row>
    <row r="118" customFormat="false" ht="15.75" hidden="false" customHeight="false" outlineLevel="0" collapsed="false"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</row>
    <row r="119" customFormat="false" ht="15.75" hidden="false" customHeight="false" outlineLevel="0" collapsed="false"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</row>
    <row r="120" customFormat="false" ht="15.75" hidden="false" customHeight="false" outlineLevel="0" collapsed="false"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</row>
    <row r="121" customFormat="false" ht="15.75" hidden="false" customHeight="false" outlineLevel="0" collapsed="false"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</row>
    <row r="122" customFormat="false" ht="15.75" hidden="false" customHeight="false" outlineLevel="0" collapsed="false"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</row>
    <row r="123" customFormat="false" ht="15.75" hidden="false" customHeight="false" outlineLevel="0" collapsed="false"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</row>
    <row r="124" customFormat="false" ht="15.75" hidden="false" customHeight="false" outlineLevel="0" collapsed="false"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</row>
    <row r="125" customFormat="false" ht="15.75" hidden="false" customHeight="false" outlineLevel="0" collapsed="false"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</row>
    <row r="126" customFormat="false" ht="15.75" hidden="false" customHeight="false" outlineLevel="0" collapsed="false"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</row>
    <row r="127" customFormat="false" ht="15.75" hidden="false" customHeight="false" outlineLevel="0" collapsed="false"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</row>
    <row r="128" customFormat="false" ht="15.75" hidden="false" customHeight="false" outlineLevel="0" collapsed="false"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</row>
    <row r="129" customFormat="false" ht="15.75" hidden="false" customHeight="false" outlineLevel="0" collapsed="false"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</row>
    <row r="130" customFormat="false" ht="15.75" hidden="false" customHeight="false" outlineLevel="0" collapsed="false"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</row>
    <row r="131" customFormat="false" ht="15.75" hidden="false" customHeight="false" outlineLevel="0" collapsed="false"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</row>
    <row r="132" customFormat="false" ht="15.75" hidden="false" customHeight="false" outlineLevel="0" collapsed="false"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</row>
    <row r="133" customFormat="false" ht="15.75" hidden="false" customHeight="false" outlineLevel="0" collapsed="false"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</row>
    <row r="134" customFormat="false" ht="15.75" hidden="false" customHeight="false" outlineLevel="0" collapsed="false"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</row>
    <row r="135" customFormat="false" ht="15.75" hidden="false" customHeight="false" outlineLevel="0" collapsed="false"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</row>
    <row r="136" customFormat="false" ht="15.75" hidden="false" customHeight="false" outlineLevel="0" collapsed="false"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</row>
    <row r="137" customFormat="false" ht="15.75" hidden="false" customHeight="false" outlineLevel="0" collapsed="false"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</row>
    <row r="138" customFormat="false" ht="15.75" hidden="false" customHeight="false" outlineLevel="0" collapsed="false"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</row>
    <row r="139" customFormat="false" ht="15.75" hidden="false" customHeight="false" outlineLevel="0" collapsed="false"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</row>
    <row r="140" customFormat="false" ht="15.75" hidden="false" customHeight="false" outlineLevel="0" collapsed="false"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</row>
    <row r="141" customFormat="false" ht="15.75" hidden="false" customHeight="false" outlineLevel="0" collapsed="false"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</row>
    <row r="142" customFormat="false" ht="15.75" hidden="false" customHeight="false" outlineLevel="0" collapsed="false"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</row>
    <row r="143" customFormat="false" ht="15.75" hidden="false" customHeight="false" outlineLevel="0" collapsed="false"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</row>
    <row r="144" customFormat="false" ht="15.75" hidden="false" customHeight="false" outlineLevel="0" collapsed="false"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</row>
    <row r="145" customFormat="false" ht="15.75" hidden="false" customHeight="false" outlineLevel="0" collapsed="false"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</row>
    <row r="146" customFormat="false" ht="15.75" hidden="false" customHeight="false" outlineLevel="0" collapsed="false"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</row>
    <row r="147" customFormat="false" ht="15.75" hidden="false" customHeight="false" outlineLevel="0" collapsed="false"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</row>
    <row r="148" customFormat="false" ht="15.75" hidden="false" customHeight="false" outlineLevel="0" collapsed="false"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</row>
    <row r="149" customFormat="false" ht="15.75" hidden="false" customHeight="false" outlineLevel="0" collapsed="false"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</row>
    <row r="150" customFormat="false" ht="15.75" hidden="false" customHeight="false" outlineLevel="0" collapsed="false"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</row>
  </sheetData>
  <mergeCells count="8">
    <mergeCell ref="A2:H2"/>
    <mergeCell ref="C3:H3"/>
    <mergeCell ref="C23:E23"/>
    <mergeCell ref="G23:AA23"/>
    <mergeCell ref="AC23:AE23"/>
    <mergeCell ref="G24:M24"/>
    <mergeCell ref="N24:T24"/>
    <mergeCell ref="U24:AA24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false" showRowColHeaders="true" showZeros="true" rightToLeft="false" tabSelected="false" showOutlineSymbols="true" defaultGridColor="true" view="normal" topLeftCell="A16" colorId="64" zoomScale="70" zoomScaleNormal="70" zoomScalePageLayoutView="100" workbookViewId="0">
      <selection pane="topLeft" activeCell="D66" activeCellId="0" sqref="D6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6" width="37.99"/>
    <col collapsed="false" customWidth="true" hidden="false" outlineLevel="0" max="2" min="2" style="26" width="18.85"/>
    <col collapsed="false" customWidth="true" hidden="false" outlineLevel="0" max="3" min="3" style="26" width="0.85"/>
    <col collapsed="false" customWidth="true" hidden="false" outlineLevel="0" max="4" min="4" style="26" width="15.85"/>
    <col collapsed="false" customWidth="true" hidden="false" outlineLevel="0" max="5" min="5" style="26" width="0.85"/>
    <col collapsed="false" customWidth="true" hidden="false" outlineLevel="0" max="6" min="6" style="26" width="14.28"/>
    <col collapsed="false" customWidth="true" hidden="false" outlineLevel="0" max="7" min="7" style="26" width="0.85"/>
    <col collapsed="false" customWidth="true" hidden="false" outlineLevel="0" max="8" min="8" style="26" width="13.99"/>
    <col collapsed="false" customWidth="true" hidden="false" outlineLevel="0" max="9" min="9" style="26" width="0.85"/>
    <col collapsed="false" customWidth="true" hidden="false" outlineLevel="0" max="10" min="10" style="26" width="13.99"/>
    <col collapsed="false" customWidth="true" hidden="false" outlineLevel="0" max="11" min="11" style="26" width="0.85"/>
    <col collapsed="false" customWidth="true" hidden="false" outlineLevel="0" max="12" min="12" style="26" width="13.99"/>
    <col collapsed="false" customWidth="true" hidden="false" outlineLevel="0" max="13" min="13" style="26" width="0.85"/>
    <col collapsed="false" customWidth="true" hidden="false" outlineLevel="0" max="14" min="14" style="26" width="15.41"/>
    <col collapsed="false" customWidth="false" hidden="false" outlineLevel="0" max="257" min="15" style="26" width="9.14"/>
  </cols>
  <sheetData>
    <row r="1" customFormat="false" ht="47.25" hidden="false" customHeight="true" outlineLevel="0" collapsed="false"/>
    <row r="2" customFormat="false" ht="33" hidden="false" customHeight="true" outlineLevel="0" collapsed="false">
      <c r="A2" s="27" t="s">
        <v>118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customFormat="false" ht="20.25" hidden="false" customHeight="true" outlineLevel="0" collapsed="false">
      <c r="A3" s="28" t="s">
        <v>34</v>
      </c>
      <c r="B3" s="29"/>
      <c r="C3" s="29"/>
      <c r="D3" s="30" t="s">
        <v>35</v>
      </c>
      <c r="E3" s="30"/>
      <c r="F3" s="30"/>
      <c r="G3" s="30"/>
      <c r="H3" s="30"/>
      <c r="I3" s="30"/>
      <c r="J3" s="30"/>
      <c r="K3" s="30"/>
      <c r="L3" s="30"/>
      <c r="M3" s="30"/>
      <c r="N3" s="30"/>
    </row>
    <row r="4" customFormat="false" ht="15.75" hidden="false" customHeight="false" outlineLevel="0" collapsed="false">
      <c r="A4" s="31"/>
      <c r="B4" s="32"/>
      <c r="C4" s="148"/>
      <c r="D4" s="33" t="s">
        <v>3</v>
      </c>
      <c r="E4" s="33"/>
      <c r="F4" s="33" t="s">
        <v>4</v>
      </c>
      <c r="G4" s="33"/>
      <c r="H4" s="33" t="s">
        <v>5</v>
      </c>
      <c r="I4" s="33"/>
      <c r="J4" s="33" t="s">
        <v>6</v>
      </c>
      <c r="K4" s="33"/>
      <c r="L4" s="33" t="s">
        <v>7</v>
      </c>
      <c r="M4" s="33"/>
      <c r="N4" s="34" t="s">
        <v>8</v>
      </c>
    </row>
    <row r="5" customFormat="false" ht="15.75" hidden="false" customHeight="false" outlineLevel="0" collapsed="false">
      <c r="A5" s="40" t="s">
        <v>119</v>
      </c>
      <c r="B5" s="149" t="s">
        <v>1</v>
      </c>
      <c r="C5" s="150"/>
      <c r="D5" s="151" t="n">
        <f aca="false">(+R1!B29+R2!B27)</f>
        <v>0</v>
      </c>
      <c r="E5" s="152"/>
      <c r="F5" s="151" t="n">
        <f aca="false">(+R1!D29+R2!D27)</f>
        <v>0</v>
      </c>
      <c r="G5" s="152"/>
      <c r="H5" s="151" t="n">
        <f aca="false">(+R1!F29+R2!F27)</f>
        <v>0</v>
      </c>
      <c r="I5" s="152"/>
      <c r="J5" s="151" t="n">
        <f aca="false">(+R1!H29+R2!H27)</f>
        <v>0</v>
      </c>
      <c r="K5" s="152"/>
      <c r="L5" s="151" t="n">
        <f aca="false">(+R1!J29+R2!J27)</f>
        <v>0</v>
      </c>
      <c r="M5" s="152"/>
      <c r="N5" s="153" t="n">
        <f aca="false">SUM(D5:M5)</f>
        <v>0</v>
      </c>
    </row>
    <row r="6" customFormat="false" ht="15.75" hidden="false" customHeight="false" outlineLevel="0" collapsed="false">
      <c r="A6" s="40"/>
      <c r="B6" s="36" t="s">
        <v>30</v>
      </c>
      <c r="C6" s="150"/>
      <c r="D6" s="151" t="n">
        <f aca="false">(+R1!B30+R2!B28)</f>
        <v>0</v>
      </c>
      <c r="E6" s="154"/>
      <c r="F6" s="151" t="n">
        <f aca="false">(+R1!D30+R2!D28)</f>
        <v>0</v>
      </c>
      <c r="G6" s="154"/>
      <c r="H6" s="151" t="n">
        <f aca="false">(+R1!F30+R2!F28)</f>
        <v>0</v>
      </c>
      <c r="I6" s="154"/>
      <c r="J6" s="151" t="n">
        <f aca="false">(+R1!H30+R2!H28)</f>
        <v>0</v>
      </c>
      <c r="K6" s="154"/>
      <c r="L6" s="151" t="n">
        <f aca="false">(+R1!J30+R2!J28)</f>
        <v>0</v>
      </c>
      <c r="M6" s="154"/>
      <c r="N6" s="155" t="n">
        <f aca="false">SUM(D6:M6)</f>
        <v>0</v>
      </c>
    </row>
    <row r="7" customFormat="false" ht="15.75" hidden="false" customHeight="false" outlineLevel="0" collapsed="false">
      <c r="A7" s="156"/>
      <c r="B7" s="36" t="s">
        <v>31</v>
      </c>
      <c r="C7" s="157"/>
      <c r="D7" s="158" t="n">
        <f aca="false">(+R1!B31+R2!B29)</f>
        <v>0</v>
      </c>
      <c r="E7" s="159"/>
      <c r="F7" s="158" t="n">
        <f aca="false">(+R1!D31+R2!D29)</f>
        <v>0</v>
      </c>
      <c r="G7" s="159"/>
      <c r="H7" s="158" t="n">
        <f aca="false">(+R1!F31+R2!F29)</f>
        <v>0</v>
      </c>
      <c r="I7" s="159"/>
      <c r="J7" s="158" t="n">
        <f aca="false">(+R1!H31+R2!H29)</f>
        <v>0</v>
      </c>
      <c r="K7" s="159"/>
      <c r="L7" s="158" t="n">
        <f aca="false">(+R1!J31+R2!J29)</f>
        <v>0</v>
      </c>
      <c r="M7" s="160"/>
      <c r="N7" s="161" t="n">
        <f aca="false">SUM(D7:M7)</f>
        <v>0</v>
      </c>
    </row>
    <row r="8" customFormat="false" ht="15.75" hidden="false" customHeight="false" outlineLevel="0" collapsed="false">
      <c r="A8" s="162" t="s">
        <v>120</v>
      </c>
      <c r="B8" s="149" t="s">
        <v>1</v>
      </c>
      <c r="C8" s="163"/>
      <c r="D8" s="151" t="n">
        <f aca="false">(+E1!B26+E2!B26+E3!B26+E4!B27+E5!B25+E6!B29)</f>
        <v>35025640</v>
      </c>
      <c r="E8" s="151" t="n">
        <f aca="false">+E1!C26+E2!C26+E3!C26+E4!C27+E5!C25+E6!C29+E7!C27+E8!C27</f>
        <v>0</v>
      </c>
      <c r="F8" s="151" t="n">
        <f aca="false">(+E1!D26+E2!D26+E3!D26+E4!D27+E5!D25+E6!D29+E7!D27+E8!D27)</f>
        <v>70051280</v>
      </c>
      <c r="G8" s="151" t="n">
        <f aca="false">+E1!E26+E2!E26+E3!E26+E4!E27+E5!E25+E6!E29+E7!E27+E8!E27</f>
        <v>0</v>
      </c>
      <c r="H8" s="151" t="n">
        <f aca="false">(+E1!F26+E2!F26+E3!F26+E4!F27+E5!F25+E6!F29+E7!F27+E8!F27)</f>
        <v>70051280</v>
      </c>
      <c r="I8" s="151" t="n">
        <f aca="false">+E1!G26+E2!G26+E3!G26+E4!G27+E5!G25+E6!G29+E7!G27+E8!G27</f>
        <v>0</v>
      </c>
      <c r="J8" s="151" t="n">
        <f aca="false">(+E1!H26+E2!H26+E3!H26+E4!H27+E5!H25+E6!H29+E7!H27+E8!H27)</f>
        <v>70051280</v>
      </c>
      <c r="K8" s="151" t="n">
        <f aca="false">+E1!I26+E2!I26+E3!I26+E4!I27+E5!I25+E6!I29+E7!I27+E8!I27</f>
        <v>0</v>
      </c>
      <c r="L8" s="151" t="n">
        <f aca="false">(+E1!J26+E2!J26+E3!J26+E4!J27+E5!J25+E6!J29+E7!J27+E8!J27)</f>
        <v>70051280</v>
      </c>
      <c r="M8" s="152"/>
      <c r="N8" s="153" t="n">
        <f aca="false">SUM(D8:M8)</f>
        <v>315230760</v>
      </c>
      <c r="P8" s="26" t="s">
        <v>9</v>
      </c>
    </row>
    <row r="9" customFormat="false" ht="15.75" hidden="false" customHeight="false" outlineLevel="0" collapsed="false">
      <c r="A9" s="162"/>
      <c r="B9" s="36" t="s">
        <v>30</v>
      </c>
      <c r="C9" s="163"/>
      <c r="D9" s="151" t="n">
        <f aca="false">(+E1!B27+E2!B27+E3!B27+E4!B28+E5!B26+E6!B30+E7!B28+E8!B28)</f>
        <v>144530796</v>
      </c>
      <c r="E9" s="151" t="n">
        <f aca="false">+E1!C27+E2!C27+E3!C27+E4!C28+E5!C26+E6!C30+E7!C28+E8!C28</f>
        <v>0</v>
      </c>
      <c r="F9" s="151" t="n">
        <f aca="false">(+E1!D27+E2!D27+E3!D27+E4!D28+E5!D26+E6!D30+E7!D28+E8!D28)</f>
        <v>240884660</v>
      </c>
      <c r="G9" s="151" t="n">
        <f aca="false">+E1!E27+E2!E27+E3!E27+E4!E28+E5!E26+E6!E30+E7!E28+E8!E28</f>
        <v>0</v>
      </c>
      <c r="H9" s="151" t="n">
        <f aca="false">(+E1!F27+E2!F27+E3!F27+E4!F28+E5!F26+E6!F30+E7!F28+E8!F28)</f>
        <v>240884660</v>
      </c>
      <c r="I9" s="151" t="n">
        <f aca="false">+E1!G27+E2!G27+E3!G27+E4!G28+E5!G26+E6!G30+E7!G28+E8!G28</f>
        <v>0</v>
      </c>
      <c r="J9" s="151" t="n">
        <f aca="false">(+E1!H27+E2!H27+E3!H27+E4!H28+E5!H26+E6!H30+E7!H28+E8!H28)</f>
        <v>240884660</v>
      </c>
      <c r="K9" s="151" t="n">
        <f aca="false">+E1!I27+E2!I27+E3!I27+E4!I28+E5!I26+E6!I30+E7!I28+E8!I28</f>
        <v>0</v>
      </c>
      <c r="L9" s="151" t="n">
        <f aca="false">(+E1!J27+E2!J27+E3!J27+E4!J28+E5!J26+E6!J30+E7!J28+E8!J28)</f>
        <v>240884660</v>
      </c>
      <c r="M9" s="154"/>
      <c r="N9" s="155" t="n">
        <f aca="false">SUM(D9:M9)</f>
        <v>1108069436</v>
      </c>
    </row>
    <row r="10" customFormat="false" ht="15.75" hidden="false" customHeight="false" outlineLevel="0" collapsed="false">
      <c r="A10" s="164"/>
      <c r="B10" s="165" t="s">
        <v>31</v>
      </c>
      <c r="C10" s="166"/>
      <c r="D10" s="158" t="n">
        <f aca="false">(3+E1!B28+E2!B28+E3!B28+E4!B29+E5!B27+E6!B31+E7!B29+E8!B29)</f>
        <v>414713463</v>
      </c>
      <c r="E10" s="158" t="n">
        <f aca="false">+E1!C28+E2!C28+E3!C28+E4!C29+E5!C27+E6!C31+E7!C29+E8!C29</f>
        <v>0</v>
      </c>
      <c r="F10" s="158" t="n">
        <f aca="false">(3+E1!D28+E2!D28+E3!D28+E4!D29+E5!D27+E6!D31+E7!D29+E8!D29)</f>
        <v>592447803</v>
      </c>
      <c r="G10" s="158" t="n">
        <f aca="false">+E1!E28+E2!E28+E3!E28+E4!E29+E5!E27+E6!E31+E7!E29+E8!E29</f>
        <v>0</v>
      </c>
      <c r="H10" s="158" t="n">
        <f aca="false">(3+E1!F28+E2!F28+E3!F28+E4!F29+E5!F27+E6!F31+E7!F29+E8!F29)</f>
        <v>592447803</v>
      </c>
      <c r="I10" s="158" t="n">
        <f aca="false">+E1!G28+E2!G28+E3!G28+E4!G29+E5!G27+E6!G31+E7!G29+E8!G29</f>
        <v>0</v>
      </c>
      <c r="J10" s="158" t="n">
        <f aca="false">(3+E1!H28+E2!H28+E3!H28+E4!H29+E5!H27+E6!H31+E7!H29+E8!H29)</f>
        <v>592447803</v>
      </c>
      <c r="K10" s="158" t="n">
        <f aca="false">+E1!I28+E2!I28+E3!I28+E4!I29+E5!I27+E6!I31+E7!I29+E8!I29</f>
        <v>0</v>
      </c>
      <c r="L10" s="158" t="n">
        <f aca="false">(3+E1!J28+E2!J28+E3!J28+E4!J29+E5!J27+E6!J31+E7!J29+E8!J29)</f>
        <v>592447803</v>
      </c>
      <c r="M10" s="159"/>
      <c r="N10" s="161" t="n">
        <f aca="false">SUM(D10:M10)</f>
        <v>2784504675</v>
      </c>
    </row>
    <row r="11" customFormat="false" ht="15.75" hidden="false" customHeight="false" outlineLevel="0" collapsed="false">
      <c r="A11" s="40" t="s">
        <v>121</v>
      </c>
      <c r="B11" s="149" t="s">
        <v>1</v>
      </c>
      <c r="C11" s="167"/>
      <c r="D11" s="151" t="n">
        <f aca="false">(+A1!B26+A2!B26)</f>
        <v>540000</v>
      </c>
      <c r="E11" s="151" t="n">
        <f aca="false">+A1!C26+A2!C26</f>
        <v>0</v>
      </c>
      <c r="F11" s="151" t="n">
        <f aca="false">(+A1!D26+A2!D26)</f>
        <v>1080000</v>
      </c>
      <c r="G11" s="151" t="n">
        <f aca="false">+A1!E26+A2!E26</f>
        <v>0</v>
      </c>
      <c r="H11" s="151" t="n">
        <f aca="false">(+A1!F26+A2!F26)</f>
        <v>1080000</v>
      </c>
      <c r="I11" s="151" t="n">
        <f aca="false">+A1!G26+A2!G26</f>
        <v>0</v>
      </c>
      <c r="J11" s="151" t="n">
        <f aca="false">(+A1!H26+A2!H26)</f>
        <v>1080000</v>
      </c>
      <c r="K11" s="151" t="n">
        <f aca="false">+A1!I26+A2!I26</f>
        <v>0</v>
      </c>
      <c r="L11" s="151" t="n">
        <f aca="false">(+A1!J26+A2!J26)</f>
        <v>1080000</v>
      </c>
      <c r="M11" s="152"/>
      <c r="N11" s="153" t="n">
        <f aca="false">SUM(D11:L11)</f>
        <v>4860000</v>
      </c>
    </row>
    <row r="12" customFormat="false" ht="15.75" hidden="false" customHeight="false" outlineLevel="0" collapsed="false">
      <c r="A12" s="53"/>
      <c r="B12" s="36" t="s">
        <v>30</v>
      </c>
      <c r="C12" s="167"/>
      <c r="D12" s="151" t="n">
        <f aca="false">(+A1!B27+A2!B27)</f>
        <v>1620000</v>
      </c>
      <c r="E12" s="151" t="n">
        <f aca="false">+A1!C27+A2!C27</f>
        <v>0</v>
      </c>
      <c r="F12" s="151" t="n">
        <f aca="false">(+A1!D27+A2!D27)</f>
        <v>2700000</v>
      </c>
      <c r="G12" s="151" t="n">
        <f aca="false">+A1!E27+A2!E27</f>
        <v>0</v>
      </c>
      <c r="H12" s="151" t="n">
        <f aca="false">(+A1!F27+A2!F27)</f>
        <v>2700000</v>
      </c>
      <c r="I12" s="151" t="n">
        <f aca="false">+A1!G27+A2!G27</f>
        <v>0</v>
      </c>
      <c r="J12" s="151" t="n">
        <f aca="false">(+A1!H27+A2!H27)</f>
        <v>2700000</v>
      </c>
      <c r="K12" s="151" t="n">
        <f aca="false">+A1!I27+A2!I27</f>
        <v>0</v>
      </c>
      <c r="L12" s="151" t="n">
        <f aca="false">(+A1!J27+A2!J27)</f>
        <v>2700000</v>
      </c>
      <c r="M12" s="168"/>
      <c r="N12" s="155" t="n">
        <f aca="false">SUM(D12:L12)</f>
        <v>12420000</v>
      </c>
    </row>
    <row r="13" customFormat="false" ht="16.5" hidden="false" customHeight="false" outlineLevel="0" collapsed="false">
      <c r="A13" s="169"/>
      <c r="B13" s="170" t="s">
        <v>31</v>
      </c>
      <c r="C13" s="171"/>
      <c r="D13" s="151" t="n">
        <f aca="false">(+A1!B28+A2!B28)</f>
        <v>3780000</v>
      </c>
      <c r="E13" s="151" t="n">
        <f aca="false">+A1!C28+A2!C28</f>
        <v>0</v>
      </c>
      <c r="F13" s="151" t="n">
        <f aca="false">(+A1!D28+A2!D28)</f>
        <v>5400000</v>
      </c>
      <c r="G13" s="151" t="n">
        <f aca="false">+A1!E28+A2!E28</f>
        <v>0</v>
      </c>
      <c r="H13" s="151" t="n">
        <f aca="false">(+A1!F28+A2!F28)</f>
        <v>5400000</v>
      </c>
      <c r="I13" s="151" t="n">
        <f aca="false">+A1!G28+A2!G28</f>
        <v>0</v>
      </c>
      <c r="J13" s="151" t="n">
        <f aca="false">(+A1!H28+A2!H28)</f>
        <v>5400000</v>
      </c>
      <c r="K13" s="151" t="n">
        <f aca="false">+A1!I28+A2!I28</f>
        <v>0</v>
      </c>
      <c r="L13" s="151" t="n">
        <f aca="false">(+A1!J28+A2!J28)</f>
        <v>5400000</v>
      </c>
      <c r="M13" s="172"/>
      <c r="N13" s="173" t="n">
        <f aca="false">SUM(D13:L13)</f>
        <v>25380000</v>
      </c>
    </row>
    <row r="14" customFormat="false" ht="13.5" hidden="false" customHeight="true" outlineLevel="0" collapsed="false">
      <c r="A14" s="174"/>
      <c r="B14" s="175"/>
      <c r="C14" s="176"/>
      <c r="D14" s="177"/>
      <c r="E14" s="177"/>
      <c r="F14" s="177"/>
      <c r="G14" s="177"/>
      <c r="H14" s="177"/>
      <c r="I14" s="177"/>
      <c r="J14" s="177"/>
      <c r="K14" s="177"/>
      <c r="L14" s="177"/>
      <c r="M14" s="178"/>
      <c r="N14" s="179"/>
    </row>
    <row r="15" customFormat="false" ht="16.5" hidden="false" customHeight="false" outlineLevel="0" collapsed="false">
      <c r="A15" s="39"/>
      <c r="B15" s="36"/>
      <c r="C15" s="167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80"/>
    </row>
    <row r="16" customFormat="false" ht="15.75" hidden="false" customHeight="false" outlineLevel="0" collapsed="false">
      <c r="A16" s="181" t="s">
        <v>122</v>
      </c>
      <c r="B16" s="36"/>
      <c r="C16" s="167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80"/>
    </row>
    <row r="17" customFormat="false" ht="15.75" hidden="false" customHeight="false" outlineLevel="0" collapsed="false">
      <c r="A17" s="182"/>
      <c r="B17" s="36"/>
      <c r="C17" s="167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80"/>
    </row>
    <row r="18" customFormat="false" ht="15.75" hidden="false" customHeight="false" outlineLevel="0" collapsed="false">
      <c r="A18" s="39" t="s">
        <v>52</v>
      </c>
      <c r="B18" s="36" t="s">
        <v>1</v>
      </c>
      <c r="C18" s="167"/>
      <c r="D18" s="152" t="n">
        <f aca="false">D8+D5+D11</f>
        <v>35565640</v>
      </c>
      <c r="E18" s="152"/>
      <c r="F18" s="152" t="n">
        <f aca="false">F8+F5+F11</f>
        <v>71131280</v>
      </c>
      <c r="G18" s="152"/>
      <c r="H18" s="152" t="n">
        <f aca="false">H8+H5+H11</f>
        <v>71131280</v>
      </c>
      <c r="I18" s="152"/>
      <c r="J18" s="152" t="n">
        <f aca="false">J8+J5+J11</f>
        <v>71131280</v>
      </c>
      <c r="K18" s="152"/>
      <c r="L18" s="152" t="n">
        <f aca="false">L8+L5+L11</f>
        <v>71131280</v>
      </c>
      <c r="M18" s="152"/>
      <c r="N18" s="153" t="n">
        <f aca="false">SUM(D18:L18)</f>
        <v>320090760</v>
      </c>
    </row>
    <row r="19" customFormat="false" ht="15.75" hidden="false" customHeight="false" outlineLevel="0" collapsed="false">
      <c r="A19" s="39"/>
      <c r="B19" s="36" t="s">
        <v>30</v>
      </c>
      <c r="C19" s="167"/>
      <c r="D19" s="168" t="n">
        <f aca="false">D9+D6+D12</f>
        <v>146150796</v>
      </c>
      <c r="E19" s="168"/>
      <c r="F19" s="168" t="n">
        <f aca="false">F9+F6+F12</f>
        <v>243584660</v>
      </c>
      <c r="G19" s="168"/>
      <c r="H19" s="168" t="n">
        <f aca="false">H9+H6+H12</f>
        <v>243584660</v>
      </c>
      <c r="I19" s="168"/>
      <c r="J19" s="168" t="n">
        <f aca="false">J9+J6+J12</f>
        <v>243584660</v>
      </c>
      <c r="K19" s="168"/>
      <c r="L19" s="168" t="n">
        <f aca="false">L9+L6+L12</f>
        <v>243584660</v>
      </c>
      <c r="M19" s="168"/>
      <c r="N19" s="180" t="n">
        <f aca="false">SUM(D19:L19)</f>
        <v>1120489436</v>
      </c>
    </row>
    <row r="20" customFormat="false" ht="15.75" hidden="false" customHeight="false" outlineLevel="0" collapsed="false">
      <c r="A20" s="39"/>
      <c r="B20" s="36" t="s">
        <v>31</v>
      </c>
      <c r="C20" s="167"/>
      <c r="D20" s="168" t="n">
        <f aca="false">D10+D7+D13</f>
        <v>418493463</v>
      </c>
      <c r="E20" s="168"/>
      <c r="F20" s="168" t="n">
        <f aca="false">F10+F7+F13</f>
        <v>597847803</v>
      </c>
      <c r="G20" s="168"/>
      <c r="H20" s="168" t="n">
        <f aca="false">H10+H7+H13</f>
        <v>597847803</v>
      </c>
      <c r="I20" s="168"/>
      <c r="J20" s="168" t="n">
        <f aca="false">J10+J7+J13</f>
        <v>597847803</v>
      </c>
      <c r="K20" s="168"/>
      <c r="L20" s="168" t="n">
        <f aca="false">L10+L7+L13</f>
        <v>597847803</v>
      </c>
      <c r="M20" s="168"/>
      <c r="N20" s="180" t="n">
        <f aca="false">SUM(D20:L20)</f>
        <v>2809884675</v>
      </c>
    </row>
    <row r="21" customFormat="false" ht="15.75" hidden="false" customHeight="false" outlineLevel="0" collapsed="false">
      <c r="A21" s="39"/>
      <c r="B21" s="36"/>
      <c r="C21" s="167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80"/>
    </row>
    <row r="22" customFormat="false" ht="15.75" hidden="false" customHeight="false" outlineLevel="0" collapsed="false">
      <c r="A22" s="40"/>
      <c r="B22" s="41"/>
      <c r="C22" s="150"/>
      <c r="D22" s="168"/>
      <c r="E22" s="168"/>
      <c r="F22" s="168"/>
      <c r="G22" s="168"/>
      <c r="H22" s="154"/>
      <c r="I22" s="154"/>
      <c r="J22" s="154"/>
      <c r="K22" s="154"/>
      <c r="L22" s="154"/>
      <c r="M22" s="154"/>
      <c r="N22" s="155"/>
    </row>
    <row r="23" customFormat="false" ht="15.75" hidden="false" customHeight="false" outlineLevel="0" collapsed="false">
      <c r="A23" s="35" t="s">
        <v>51</v>
      </c>
      <c r="B23" s="183" t="s">
        <v>123</v>
      </c>
      <c r="C23" s="184"/>
      <c r="D23" s="152" t="n">
        <f aca="false">'SW Cost'!E22</f>
        <v>725000</v>
      </c>
      <c r="E23" s="152"/>
      <c r="F23" s="152" t="n">
        <f aca="false">'SW Cost'!F22</f>
        <v>0</v>
      </c>
      <c r="G23" s="152"/>
      <c r="H23" s="152" t="n">
        <f aca="false">'SW Cost'!G22</f>
        <v>0</v>
      </c>
      <c r="I23" s="152"/>
      <c r="J23" s="152" t="n">
        <f aca="false">'SW Cost'!H22</f>
        <v>0</v>
      </c>
      <c r="K23" s="152"/>
      <c r="L23" s="152" t="n">
        <f aca="false">'SW Cost'!I22</f>
        <v>0</v>
      </c>
      <c r="M23" s="152"/>
      <c r="N23" s="153" t="n">
        <f aca="false">SUM(D23:M23)</f>
        <v>725000</v>
      </c>
    </row>
    <row r="24" customFormat="false" ht="15.75" hidden="false" customHeight="false" outlineLevel="0" collapsed="false">
      <c r="A24" s="35"/>
      <c r="B24" s="183" t="s">
        <v>124</v>
      </c>
      <c r="C24" s="184"/>
      <c r="D24" s="154" t="n">
        <f aca="false">'SW Cost'!F28</f>
        <v>130500</v>
      </c>
      <c r="E24" s="154"/>
      <c r="F24" s="154" t="n">
        <f aca="false">'SW Cost'!G28</f>
        <v>130500</v>
      </c>
      <c r="G24" s="154"/>
      <c r="H24" s="154" t="n">
        <f aca="false">'SW Cost'!H28</f>
        <v>130500</v>
      </c>
      <c r="I24" s="154"/>
      <c r="J24" s="154" t="n">
        <f aca="false">'SW Cost'!I28</f>
        <v>130500</v>
      </c>
      <c r="K24" s="154"/>
      <c r="L24" s="154" t="n">
        <f aca="false">'SW Cost'!J28</f>
        <v>130500</v>
      </c>
      <c r="M24" s="154"/>
      <c r="N24" s="155" t="n">
        <f aca="false">SUM(D24:M24)</f>
        <v>652500</v>
      </c>
    </row>
    <row r="25" customFormat="false" ht="15.75" hidden="false" customHeight="false" outlineLevel="0" collapsed="false">
      <c r="A25" s="35"/>
      <c r="B25" s="183" t="s">
        <v>125</v>
      </c>
      <c r="C25" s="184"/>
      <c r="D25" s="154" t="n">
        <f aca="false">'SW Cost'!E36</f>
        <v>362500</v>
      </c>
      <c r="E25" s="154"/>
      <c r="F25" s="154" t="n">
        <f aca="false">'SW Cost'!F35</f>
        <v>72500</v>
      </c>
      <c r="G25" s="154"/>
      <c r="H25" s="154" t="n">
        <f aca="false">'SW Cost'!G35</f>
        <v>72500</v>
      </c>
      <c r="I25" s="154"/>
      <c r="J25" s="154" t="n">
        <f aca="false">'SW Cost'!H35</f>
        <v>72500</v>
      </c>
      <c r="K25" s="154"/>
      <c r="L25" s="154" t="n">
        <f aca="false">'SW Cost'!I35</f>
        <v>72500</v>
      </c>
      <c r="M25" s="154"/>
      <c r="N25" s="155" t="n">
        <f aca="false">SUM(D25:L25)</f>
        <v>652500</v>
      </c>
    </row>
    <row r="26" customFormat="false" ht="15.75" hidden="false" customHeight="false" outlineLevel="0" collapsed="false">
      <c r="A26" s="185"/>
      <c r="B26" s="186" t="s">
        <v>126</v>
      </c>
      <c r="C26" s="187"/>
      <c r="D26" s="159" t="n">
        <f aca="false">'SW Cost'!E43</f>
        <v>0</v>
      </c>
      <c r="E26" s="159"/>
      <c r="F26" s="159" t="n">
        <f aca="false">'SW Cost'!F43</f>
        <v>0</v>
      </c>
      <c r="G26" s="159"/>
      <c r="H26" s="159" t="n">
        <f aca="false">'SW Cost'!G43</f>
        <v>0</v>
      </c>
      <c r="I26" s="159"/>
      <c r="J26" s="159" t="n">
        <f aca="false">'SW Cost'!H43</f>
        <v>0</v>
      </c>
      <c r="K26" s="159"/>
      <c r="L26" s="159" t="n">
        <f aca="false">'SW Cost'!I43</f>
        <v>0</v>
      </c>
      <c r="M26" s="159"/>
      <c r="N26" s="155" t="n">
        <f aca="false">SUM(D26:M26)</f>
        <v>0</v>
      </c>
    </row>
    <row r="27" customFormat="false" ht="16.5" hidden="false" customHeight="false" outlineLevel="0" collapsed="false">
      <c r="A27" s="188" t="s">
        <v>36</v>
      </c>
      <c r="B27" s="189"/>
      <c r="C27" s="190"/>
      <c r="D27" s="191" t="n">
        <f aca="false">SUM(D23:D26)</f>
        <v>1218000</v>
      </c>
      <c r="E27" s="191"/>
      <c r="F27" s="191" t="n">
        <f aca="false">SUM(F23:F26)</f>
        <v>203000</v>
      </c>
      <c r="G27" s="191"/>
      <c r="H27" s="191" t="n">
        <f aca="false">SUM(H23:H26)</f>
        <v>203000</v>
      </c>
      <c r="I27" s="191"/>
      <c r="J27" s="191" t="n">
        <f aca="false">SUM(J23:J26)</f>
        <v>203000</v>
      </c>
      <c r="K27" s="191"/>
      <c r="L27" s="191" t="n">
        <f aca="false">SUM(L23:L26)</f>
        <v>203000</v>
      </c>
      <c r="M27" s="191"/>
      <c r="N27" s="192" t="n">
        <f aca="false">SUM(N23:N26)</f>
        <v>2030000</v>
      </c>
    </row>
    <row r="28" customFormat="false" ht="17.25" hidden="false" customHeight="false" outlineLevel="0" collapsed="false">
      <c r="A28" s="193" t="s">
        <v>37</v>
      </c>
      <c r="B28" s="194"/>
      <c r="C28" s="195"/>
      <c r="D28" s="196" t="n">
        <f aca="false">D19-D27</f>
        <v>144932796</v>
      </c>
      <c r="E28" s="196"/>
      <c r="F28" s="196" t="n">
        <f aca="false">F19-F27</f>
        <v>243381660</v>
      </c>
      <c r="G28" s="196"/>
      <c r="H28" s="196" t="n">
        <f aca="false">H19-H27</f>
        <v>243381660</v>
      </c>
      <c r="I28" s="196"/>
      <c r="J28" s="196" t="n">
        <f aca="false">J19-J27</f>
        <v>243381660</v>
      </c>
      <c r="K28" s="196"/>
      <c r="L28" s="196" t="n">
        <f aca="false">L19-L27</f>
        <v>243381660</v>
      </c>
      <c r="M28" s="196"/>
      <c r="N28" s="197" t="n">
        <f aca="false">SUM(D28:M28)</f>
        <v>1118459436</v>
      </c>
    </row>
    <row r="29" customFormat="false" ht="17.25" hidden="false" customHeight="false" outlineLevel="0" collapsed="false">
      <c r="A29" s="49"/>
      <c r="B29" s="50"/>
      <c r="C29" s="198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5"/>
    </row>
    <row r="30" customFormat="false" ht="16.5" hidden="false" customHeight="false" outlineLevel="0" collapsed="false">
      <c r="A30" s="53"/>
      <c r="B30" s="199" t="s">
        <v>38</v>
      </c>
      <c r="C30" s="167"/>
      <c r="D30" s="55" t="s">
        <v>1</v>
      </c>
      <c r="E30" s="200"/>
      <c r="F30" s="55" t="s">
        <v>39</v>
      </c>
      <c r="G30" s="42"/>
      <c r="H30" s="132" t="s">
        <v>31</v>
      </c>
      <c r="I30" s="51"/>
      <c r="J30" s="51"/>
      <c r="K30" s="51"/>
      <c r="L30" s="51"/>
      <c r="M30" s="51"/>
      <c r="N30" s="52"/>
    </row>
    <row r="31" customFormat="false" ht="15.75" hidden="false" customHeight="false" outlineLevel="0" collapsed="false">
      <c r="A31" s="53"/>
      <c r="B31" s="183" t="s">
        <v>40</v>
      </c>
      <c r="C31" s="201"/>
      <c r="D31" s="58" t="n">
        <f aca="false">(N18-N27)/N27</f>
        <v>156.680177339902</v>
      </c>
      <c r="E31" s="42"/>
      <c r="F31" s="59" t="n">
        <f aca="false">(N19-N27)/N27</f>
        <v>550.965239408867</v>
      </c>
      <c r="G31" s="42"/>
      <c r="H31" s="59" t="n">
        <f aca="false">(N20-N27)/N27</f>
        <v>1383.17964285714</v>
      </c>
      <c r="I31" s="51"/>
      <c r="J31" s="51"/>
      <c r="K31" s="51"/>
      <c r="L31" s="51"/>
      <c r="M31" s="51"/>
      <c r="N31" s="52"/>
    </row>
    <row r="32" customFormat="false" ht="15.75" hidden="false" customHeight="false" outlineLevel="0" collapsed="false">
      <c r="A32" s="61" t="s">
        <v>41</v>
      </c>
      <c r="B32" s="202" t="s">
        <v>42</v>
      </c>
      <c r="C32" s="198"/>
      <c r="D32" s="63" t="n">
        <f aca="false">'Cash Flow'!C14</f>
        <v>242607327.112462</v>
      </c>
      <c r="E32" s="203"/>
      <c r="F32" s="63" t="n">
        <f aca="false">'Cash Flow'!D14</f>
        <v>857736644.668438</v>
      </c>
      <c r="G32" s="203"/>
      <c r="H32" s="63" t="n">
        <f aca="false">'Cash Flow'!E14</f>
        <v>2163121073.50522</v>
      </c>
      <c r="I32" s="65"/>
      <c r="J32" s="65"/>
      <c r="K32" s="65"/>
      <c r="L32" s="65"/>
      <c r="M32" s="65"/>
      <c r="N32" s="66"/>
    </row>
    <row r="33" customFormat="false" ht="16.5" hidden="false" customHeight="false" outlineLevel="0" collapsed="false">
      <c r="A33" s="204" t="n">
        <f aca="false">I!F39</f>
        <v>0.1</v>
      </c>
      <c r="B33" s="202" t="s">
        <v>43</v>
      </c>
      <c r="C33" s="198"/>
      <c r="D33" s="205" t="n">
        <f aca="false">'Cash Flow'!C15</f>
        <v>9.17457487035848</v>
      </c>
      <c r="E33" s="65"/>
      <c r="F33" s="205" t="n">
        <f aca="false">'Cash Flow'!D15</f>
        <v>14.6812273007439</v>
      </c>
      <c r="G33" s="65"/>
      <c r="H33" s="205" t="n">
        <f aca="false">'Cash Flow'!E15</f>
        <v>19.7690972493762</v>
      </c>
      <c r="I33" s="65"/>
      <c r="J33" s="65"/>
      <c r="K33" s="65"/>
      <c r="L33" s="65"/>
      <c r="M33" s="65"/>
      <c r="N33" s="6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206"/>
      <c r="BN33" s="206"/>
      <c r="BO33" s="206"/>
      <c r="BP33" s="206"/>
      <c r="BQ33" s="206"/>
      <c r="BR33" s="206"/>
      <c r="BS33" s="206"/>
      <c r="BT33" s="206"/>
      <c r="BU33" s="206"/>
      <c r="BV33" s="206"/>
      <c r="BW33" s="206"/>
      <c r="BX33" s="206"/>
      <c r="BY33" s="206"/>
      <c r="BZ33" s="206"/>
      <c r="CA33" s="206"/>
      <c r="CB33" s="206"/>
      <c r="CC33" s="206"/>
      <c r="CD33" s="206"/>
      <c r="CE33" s="206"/>
      <c r="CF33" s="206"/>
      <c r="CG33" s="206"/>
      <c r="CH33" s="206"/>
      <c r="CI33" s="206"/>
      <c r="CJ33" s="206"/>
      <c r="CK33" s="206"/>
      <c r="CL33" s="206"/>
      <c r="CM33" s="206"/>
      <c r="CN33" s="206"/>
      <c r="CO33" s="206"/>
      <c r="CP33" s="206"/>
      <c r="CQ33" s="206"/>
      <c r="CR33" s="206"/>
      <c r="CS33" s="206"/>
      <c r="CT33" s="206"/>
      <c r="CU33" s="206"/>
      <c r="CV33" s="206"/>
      <c r="CW33" s="206"/>
      <c r="CX33" s="206"/>
      <c r="CY33" s="206"/>
      <c r="CZ33" s="206"/>
      <c r="DA33" s="206"/>
      <c r="DB33" s="206"/>
      <c r="DC33" s="206"/>
      <c r="DD33" s="206"/>
      <c r="DE33" s="206"/>
      <c r="DF33" s="206"/>
      <c r="DG33" s="206"/>
      <c r="DH33" s="206"/>
      <c r="DI33" s="206"/>
      <c r="DJ33" s="206"/>
      <c r="DK33" s="206"/>
      <c r="DL33" s="206"/>
      <c r="DM33" s="206"/>
      <c r="DN33" s="206"/>
      <c r="DO33" s="206"/>
      <c r="DP33" s="206"/>
      <c r="DQ33" s="206"/>
      <c r="DR33" s="206"/>
      <c r="DS33" s="206"/>
      <c r="DT33" s="206"/>
      <c r="DU33" s="206"/>
      <c r="DV33" s="206"/>
      <c r="DW33" s="206"/>
      <c r="DX33" s="206"/>
      <c r="DY33" s="206"/>
      <c r="DZ33" s="206"/>
      <c r="EA33" s="206"/>
      <c r="EB33" s="206"/>
      <c r="EC33" s="206"/>
      <c r="ED33" s="206"/>
      <c r="EE33" s="206"/>
      <c r="EF33" s="206"/>
      <c r="EG33" s="206"/>
      <c r="EH33" s="206"/>
      <c r="EI33" s="206"/>
      <c r="EJ33" s="206"/>
      <c r="EK33" s="206"/>
      <c r="EL33" s="206"/>
      <c r="EM33" s="206"/>
      <c r="EN33" s="206"/>
      <c r="EO33" s="206"/>
      <c r="EP33" s="206"/>
      <c r="EQ33" s="206"/>
      <c r="ER33" s="206"/>
      <c r="ES33" s="206"/>
      <c r="ET33" s="206"/>
      <c r="EU33" s="206"/>
      <c r="EV33" s="206"/>
      <c r="EW33" s="206"/>
      <c r="EX33" s="206"/>
      <c r="EY33" s="206"/>
      <c r="EZ33" s="206"/>
      <c r="FA33" s="206"/>
      <c r="FB33" s="206"/>
      <c r="FC33" s="206"/>
      <c r="FD33" s="206"/>
      <c r="FE33" s="206"/>
      <c r="FF33" s="206"/>
      <c r="FG33" s="206"/>
      <c r="FH33" s="206"/>
      <c r="FI33" s="206"/>
      <c r="FJ33" s="206"/>
      <c r="FK33" s="206"/>
      <c r="FL33" s="206"/>
      <c r="FM33" s="206"/>
      <c r="FN33" s="206"/>
      <c r="FO33" s="206"/>
      <c r="FP33" s="206"/>
      <c r="FQ33" s="206"/>
      <c r="FR33" s="206"/>
      <c r="FS33" s="206"/>
      <c r="FT33" s="206"/>
      <c r="FU33" s="206"/>
      <c r="FV33" s="206"/>
      <c r="FW33" s="206"/>
      <c r="FX33" s="206"/>
      <c r="FY33" s="206"/>
      <c r="FZ33" s="206"/>
      <c r="GA33" s="206"/>
      <c r="GB33" s="206"/>
      <c r="GC33" s="206"/>
      <c r="GD33" s="206"/>
      <c r="GE33" s="206"/>
      <c r="GF33" s="206"/>
      <c r="GG33" s="206"/>
      <c r="GH33" s="206"/>
      <c r="GI33" s="206"/>
      <c r="GJ33" s="206"/>
      <c r="GK33" s="206"/>
      <c r="GL33" s="206"/>
      <c r="GM33" s="206"/>
      <c r="GN33" s="206"/>
      <c r="GO33" s="206"/>
      <c r="GP33" s="206"/>
      <c r="GQ33" s="206"/>
      <c r="GR33" s="206"/>
      <c r="GS33" s="206"/>
      <c r="GT33" s="206"/>
      <c r="GU33" s="206"/>
      <c r="GV33" s="206"/>
      <c r="GW33" s="206"/>
      <c r="GX33" s="206"/>
      <c r="GY33" s="206"/>
      <c r="GZ33" s="206"/>
      <c r="HA33" s="206"/>
      <c r="HB33" s="206"/>
      <c r="HC33" s="206"/>
      <c r="HD33" s="206"/>
    </row>
    <row r="34" customFormat="false" ht="11.25" hidden="false" customHeight="true" outlineLevel="0" collapsed="false">
      <c r="A34" s="207"/>
      <c r="B34" s="208"/>
      <c r="C34" s="209"/>
      <c r="D34" s="210"/>
      <c r="E34" s="210"/>
      <c r="F34" s="210"/>
      <c r="G34" s="210"/>
      <c r="H34" s="210"/>
      <c r="I34" s="210"/>
      <c r="J34" s="210"/>
      <c r="K34" s="210"/>
      <c r="L34" s="210"/>
      <c r="M34" s="211"/>
      <c r="N34" s="212"/>
      <c r="O34" s="213"/>
      <c r="P34" s="214"/>
      <c r="Q34" s="167"/>
      <c r="R34" s="154"/>
      <c r="S34" s="154"/>
      <c r="T34" s="154"/>
      <c r="U34" s="154"/>
      <c r="V34" s="154"/>
      <c r="W34" s="154"/>
      <c r="X34" s="154"/>
      <c r="Y34" s="154"/>
      <c r="Z34" s="154"/>
      <c r="AA34" s="168"/>
      <c r="AB34" s="154"/>
      <c r="AC34" s="213"/>
      <c r="AD34" s="214"/>
      <c r="AE34" s="167"/>
      <c r="AF34" s="154"/>
      <c r="AG34" s="154"/>
      <c r="AH34" s="154"/>
      <c r="AI34" s="154"/>
      <c r="AJ34" s="154"/>
      <c r="AK34" s="154"/>
      <c r="AL34" s="154"/>
      <c r="AM34" s="154"/>
      <c r="AN34" s="154"/>
      <c r="AO34" s="168"/>
      <c r="AP34" s="154"/>
      <c r="AQ34" s="213"/>
      <c r="AR34" s="214"/>
      <c r="AS34" s="167"/>
      <c r="AT34" s="154"/>
      <c r="AU34" s="154"/>
      <c r="AV34" s="154"/>
      <c r="AW34" s="154"/>
      <c r="AX34" s="154"/>
      <c r="AY34" s="154"/>
      <c r="AZ34" s="154"/>
      <c r="BA34" s="154"/>
      <c r="BB34" s="154"/>
      <c r="BC34" s="168"/>
      <c r="BD34" s="154"/>
      <c r="BE34" s="213"/>
      <c r="BF34" s="214"/>
      <c r="BG34" s="167"/>
      <c r="BH34" s="154"/>
      <c r="BI34" s="154"/>
      <c r="BJ34" s="154"/>
      <c r="BK34" s="154"/>
      <c r="BL34" s="154"/>
      <c r="BM34" s="154"/>
      <c r="BN34" s="154"/>
      <c r="BO34" s="154"/>
      <c r="BP34" s="154"/>
      <c r="BQ34" s="168"/>
      <c r="BR34" s="154"/>
      <c r="BS34" s="213"/>
      <c r="BT34" s="214"/>
      <c r="BU34" s="167"/>
      <c r="BV34" s="154"/>
      <c r="BW34" s="154"/>
      <c r="BX34" s="154"/>
      <c r="BY34" s="154"/>
      <c r="BZ34" s="154"/>
      <c r="CA34" s="154"/>
      <c r="CB34" s="154"/>
      <c r="CC34" s="154"/>
      <c r="CD34" s="154"/>
      <c r="CE34" s="168"/>
      <c r="CF34" s="154"/>
      <c r="CG34" s="213"/>
      <c r="CH34" s="214"/>
      <c r="CI34" s="167"/>
      <c r="CJ34" s="154"/>
      <c r="CK34" s="154"/>
      <c r="CL34" s="154"/>
      <c r="CM34" s="154"/>
      <c r="CN34" s="154"/>
      <c r="CO34" s="154"/>
      <c r="CP34" s="154"/>
      <c r="CQ34" s="154"/>
      <c r="CR34" s="154"/>
      <c r="CS34" s="168"/>
      <c r="CT34" s="154"/>
      <c r="CU34" s="213"/>
      <c r="CV34" s="214"/>
      <c r="CW34" s="167"/>
      <c r="CX34" s="154"/>
      <c r="CY34" s="154"/>
      <c r="CZ34" s="154"/>
      <c r="DA34" s="154"/>
      <c r="DB34" s="154"/>
      <c r="DC34" s="154"/>
      <c r="DD34" s="154"/>
      <c r="DE34" s="154"/>
      <c r="DF34" s="154"/>
      <c r="DG34" s="168"/>
      <c r="DH34" s="154"/>
      <c r="DI34" s="213"/>
      <c r="DJ34" s="214"/>
      <c r="DK34" s="167"/>
      <c r="DL34" s="154"/>
      <c r="DM34" s="154"/>
      <c r="DN34" s="154"/>
      <c r="DO34" s="154"/>
      <c r="DP34" s="154"/>
      <c r="DQ34" s="154"/>
      <c r="DR34" s="154"/>
      <c r="DS34" s="154"/>
      <c r="DT34" s="154"/>
      <c r="DU34" s="168"/>
      <c r="DV34" s="154"/>
      <c r="DW34" s="213"/>
      <c r="DX34" s="214"/>
      <c r="DY34" s="167"/>
      <c r="DZ34" s="154"/>
      <c r="EA34" s="154"/>
      <c r="EB34" s="154"/>
      <c r="EC34" s="154"/>
      <c r="ED34" s="154"/>
      <c r="EE34" s="154"/>
      <c r="EF34" s="154"/>
      <c r="EG34" s="154"/>
      <c r="EH34" s="154"/>
      <c r="EI34" s="168"/>
      <c r="EJ34" s="154"/>
      <c r="EK34" s="213"/>
      <c r="EL34" s="214"/>
      <c r="EM34" s="167"/>
      <c r="EN34" s="154"/>
      <c r="EO34" s="154"/>
      <c r="EP34" s="154"/>
      <c r="EQ34" s="154"/>
      <c r="ER34" s="154"/>
      <c r="ES34" s="154"/>
      <c r="ET34" s="154"/>
      <c r="EU34" s="154"/>
      <c r="EV34" s="154"/>
      <c r="EW34" s="168"/>
      <c r="EX34" s="154"/>
      <c r="EY34" s="213"/>
      <c r="EZ34" s="214"/>
      <c r="FA34" s="167"/>
      <c r="FB34" s="154"/>
      <c r="FC34" s="154"/>
      <c r="FD34" s="154"/>
      <c r="FE34" s="154"/>
      <c r="FF34" s="154"/>
      <c r="FG34" s="154"/>
      <c r="FH34" s="154"/>
      <c r="FI34" s="154"/>
      <c r="FJ34" s="154"/>
      <c r="FK34" s="168"/>
      <c r="FL34" s="154"/>
      <c r="FM34" s="213"/>
      <c r="FN34" s="214"/>
      <c r="FO34" s="167"/>
      <c r="FP34" s="154"/>
      <c r="FQ34" s="154"/>
      <c r="FR34" s="154"/>
      <c r="FS34" s="154"/>
      <c r="FT34" s="154"/>
      <c r="FU34" s="154"/>
      <c r="FV34" s="154"/>
      <c r="FW34" s="154"/>
      <c r="FX34" s="154"/>
      <c r="FY34" s="168"/>
      <c r="FZ34" s="154"/>
      <c r="GA34" s="213"/>
      <c r="GB34" s="214"/>
      <c r="GC34" s="167"/>
      <c r="GD34" s="154"/>
      <c r="GE34" s="154"/>
      <c r="GF34" s="154"/>
      <c r="GG34" s="154"/>
      <c r="GH34" s="154"/>
      <c r="GI34" s="154"/>
      <c r="GJ34" s="154"/>
      <c r="GK34" s="154"/>
      <c r="GL34" s="154"/>
      <c r="GM34" s="168"/>
      <c r="GN34" s="154"/>
      <c r="GO34" s="213"/>
      <c r="GP34" s="214"/>
      <c r="GQ34" s="167"/>
      <c r="GR34" s="154"/>
      <c r="GS34" s="154"/>
      <c r="GT34" s="154"/>
      <c r="GU34" s="154"/>
      <c r="GV34" s="154"/>
      <c r="GW34" s="154"/>
      <c r="GX34" s="154"/>
      <c r="GY34" s="154"/>
      <c r="GZ34" s="154"/>
      <c r="HA34" s="168"/>
      <c r="HB34" s="154"/>
      <c r="HC34" s="213"/>
      <c r="HD34" s="214"/>
      <c r="HE34" s="215"/>
      <c r="HF34" s="216"/>
      <c r="HG34" s="216"/>
      <c r="HH34" s="216"/>
      <c r="HI34" s="216"/>
      <c r="HJ34" s="216"/>
      <c r="HK34" s="216"/>
      <c r="HL34" s="216"/>
      <c r="HM34" s="216"/>
      <c r="HN34" s="216"/>
      <c r="HO34" s="217"/>
      <c r="HP34" s="216"/>
      <c r="HQ34" s="218"/>
      <c r="HR34" s="219"/>
      <c r="HS34" s="215"/>
      <c r="HT34" s="216"/>
      <c r="HU34" s="216"/>
      <c r="HV34" s="216"/>
      <c r="HW34" s="216"/>
      <c r="HX34" s="216"/>
      <c r="HY34" s="216"/>
      <c r="HZ34" s="216"/>
      <c r="IA34" s="216"/>
      <c r="IB34" s="216"/>
      <c r="IC34" s="217"/>
      <c r="ID34" s="216"/>
      <c r="IE34" s="218"/>
      <c r="IF34" s="219"/>
      <c r="IG34" s="215"/>
      <c r="IH34" s="216"/>
      <c r="II34" s="216"/>
      <c r="IJ34" s="216"/>
      <c r="IK34" s="216"/>
      <c r="IL34" s="216"/>
      <c r="IM34" s="216"/>
      <c r="IN34" s="216"/>
      <c r="IO34" s="216"/>
      <c r="IP34" s="216"/>
      <c r="IQ34" s="217"/>
      <c r="IR34" s="216"/>
      <c r="IS34" s="218"/>
      <c r="IT34" s="219"/>
      <c r="IU34" s="215"/>
      <c r="IV34" s="216"/>
      <c r="IW34" s="86"/>
    </row>
    <row r="35" customFormat="false" ht="15.75" hidden="false" customHeight="false" outlineLevel="0" collapsed="false">
      <c r="A35" s="39"/>
      <c r="B35" s="36"/>
      <c r="C35" s="167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80"/>
    </row>
    <row r="36" customFormat="false" ht="15.75" hidden="false" customHeight="false" outlineLevel="0" collapsed="false">
      <c r="A36" s="181" t="s">
        <v>127</v>
      </c>
      <c r="B36" s="36"/>
      <c r="C36" s="167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80"/>
    </row>
    <row r="37" customFormat="false" ht="15.75" hidden="false" customHeight="false" outlineLevel="0" collapsed="false">
      <c r="A37" s="39"/>
      <c r="B37" s="36"/>
      <c r="C37" s="167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80"/>
    </row>
    <row r="38" customFormat="false" ht="15.75" hidden="false" customHeight="false" outlineLevel="0" collapsed="false">
      <c r="A38" s="39" t="s">
        <v>128</v>
      </c>
      <c r="B38" s="220" t="n">
        <v>0.42</v>
      </c>
      <c r="C38" s="167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80"/>
    </row>
    <row r="39" customFormat="false" ht="6.75" hidden="false" customHeight="true" outlineLevel="0" collapsed="false">
      <c r="A39" s="39"/>
      <c r="B39" s="220"/>
      <c r="C39" s="167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80"/>
    </row>
    <row r="40" customFormat="false" ht="15.75" hidden="false" customHeight="false" outlineLevel="0" collapsed="false">
      <c r="A40" s="39" t="s">
        <v>129</v>
      </c>
      <c r="B40" s="36" t="s">
        <v>1</v>
      </c>
      <c r="C40" s="167"/>
      <c r="D40" s="152" t="n">
        <f aca="false">D18*(1-$B$38)</f>
        <v>20628071.2</v>
      </c>
      <c r="E40" s="152"/>
      <c r="F40" s="152" t="n">
        <f aca="false">F18*(1-$B$38)</f>
        <v>41256142.4</v>
      </c>
      <c r="G40" s="152"/>
      <c r="H40" s="152" t="n">
        <f aca="false">H18*(1-$B$38)</f>
        <v>41256142.4</v>
      </c>
      <c r="I40" s="152"/>
      <c r="J40" s="152" t="n">
        <f aca="false">J18*(1-$B$38)</f>
        <v>41256142.4</v>
      </c>
      <c r="K40" s="152"/>
      <c r="L40" s="152" t="n">
        <f aca="false">L18*(1-$B$38)</f>
        <v>41256142.4</v>
      </c>
      <c r="M40" s="152"/>
      <c r="N40" s="153" t="n">
        <f aca="false">SUM(D40:L40)</f>
        <v>185652640.8</v>
      </c>
    </row>
    <row r="41" customFormat="false" ht="15.75" hidden="false" customHeight="false" outlineLevel="0" collapsed="false">
      <c r="A41" s="39"/>
      <c r="B41" s="36" t="s">
        <v>30</v>
      </c>
      <c r="C41" s="167"/>
      <c r="D41" s="168" t="n">
        <f aca="false">D19*(1-$B$38)</f>
        <v>84767461.68</v>
      </c>
      <c r="E41" s="168"/>
      <c r="F41" s="168" t="n">
        <f aca="false">F19*(1-$B$38)</f>
        <v>141279102.8</v>
      </c>
      <c r="G41" s="168"/>
      <c r="H41" s="168" t="n">
        <f aca="false">H19*(1-$B$38)</f>
        <v>141279102.8</v>
      </c>
      <c r="I41" s="168"/>
      <c r="J41" s="168" t="n">
        <f aca="false">J19*(1-$B$38)</f>
        <v>141279102.8</v>
      </c>
      <c r="K41" s="168"/>
      <c r="L41" s="168" t="n">
        <f aca="false">L19*(1-$B$38)</f>
        <v>141279102.8</v>
      </c>
      <c r="M41" s="152"/>
      <c r="N41" s="180" t="n">
        <f aca="false">SUM(D41:L41)</f>
        <v>649883872.88</v>
      </c>
    </row>
    <row r="42" customFormat="false" ht="15.75" hidden="false" customHeight="false" outlineLevel="0" collapsed="false">
      <c r="A42" s="39"/>
      <c r="B42" s="36" t="s">
        <v>31</v>
      </c>
      <c r="C42" s="167"/>
      <c r="D42" s="168" t="n">
        <f aca="false">D20*(1-$B$38)</f>
        <v>242726208.54</v>
      </c>
      <c r="E42" s="168"/>
      <c r="F42" s="168" t="n">
        <f aca="false">F20*(1-$B$38)</f>
        <v>346751725.74</v>
      </c>
      <c r="G42" s="168"/>
      <c r="H42" s="168" t="n">
        <f aca="false">H20*(1-$B$38)</f>
        <v>346751725.74</v>
      </c>
      <c r="I42" s="168"/>
      <c r="J42" s="168" t="n">
        <f aca="false">J20*(1-$B$38)</f>
        <v>346751725.74</v>
      </c>
      <c r="K42" s="168"/>
      <c r="L42" s="168" t="n">
        <f aca="false">L20*(1-$B$38)</f>
        <v>346751725.74</v>
      </c>
      <c r="M42" s="152"/>
      <c r="N42" s="180" t="n">
        <f aca="false">SUM(D42:L42)</f>
        <v>1629733111.5</v>
      </c>
    </row>
    <row r="43" customFormat="false" ht="15.75" hidden="false" customHeight="false" outlineLevel="0" collapsed="false">
      <c r="A43" s="39"/>
      <c r="B43" s="36"/>
      <c r="C43" s="167"/>
      <c r="D43" s="168"/>
      <c r="E43" s="168"/>
      <c r="F43" s="168"/>
      <c r="G43" s="168"/>
      <c r="H43" s="168"/>
      <c r="I43" s="168"/>
      <c r="J43" s="168"/>
      <c r="K43" s="168"/>
      <c r="L43" s="168"/>
      <c r="M43" s="152"/>
      <c r="N43" s="180"/>
    </row>
    <row r="44" customFormat="false" ht="15.75" hidden="false" customHeight="false" outlineLevel="0" collapsed="false">
      <c r="A44" s="39"/>
      <c r="B44" s="36"/>
      <c r="C44" s="167"/>
      <c r="D44" s="168"/>
      <c r="E44" s="168"/>
      <c r="F44" s="168"/>
      <c r="G44" s="168"/>
      <c r="H44" s="168"/>
      <c r="I44" s="168"/>
      <c r="J44" s="168"/>
      <c r="K44" s="168"/>
      <c r="L44" s="168"/>
      <c r="M44" s="152"/>
      <c r="N44" s="180"/>
    </row>
    <row r="45" customFormat="false" ht="15.75" hidden="false" customHeight="false" outlineLevel="0" collapsed="false">
      <c r="A45" s="35" t="s">
        <v>130</v>
      </c>
      <c r="B45" s="183" t="s">
        <v>131</v>
      </c>
      <c r="C45" s="184"/>
      <c r="D45" s="152" t="n">
        <f aca="false">($D$23/5)*(1-$B$38)</f>
        <v>84100</v>
      </c>
      <c r="E45" s="152"/>
      <c r="F45" s="152" t="n">
        <f aca="false">($D$23/5)*(1-$B$38)</f>
        <v>84100</v>
      </c>
      <c r="G45" s="152"/>
      <c r="H45" s="152" t="n">
        <f aca="false">($D$23/5)*(1-$B$38)</f>
        <v>84100</v>
      </c>
      <c r="I45" s="152"/>
      <c r="J45" s="152" t="n">
        <f aca="false">($D$23/5)*(1-$B$38)</f>
        <v>84100</v>
      </c>
      <c r="K45" s="152"/>
      <c r="L45" s="152" t="n">
        <f aca="false">($D$23/5)*(1-$B$38)</f>
        <v>84100</v>
      </c>
      <c r="M45" s="152"/>
      <c r="N45" s="153" t="n">
        <f aca="false">SUM(D45:M45)</f>
        <v>420500</v>
      </c>
    </row>
    <row r="46" customFormat="false" ht="15.75" hidden="false" customHeight="false" outlineLevel="0" collapsed="false">
      <c r="A46" s="35"/>
      <c r="B46" s="183" t="s">
        <v>124</v>
      </c>
      <c r="C46" s="184"/>
      <c r="D46" s="154" t="n">
        <f aca="false">D24*(1-$B$38)</f>
        <v>75690</v>
      </c>
      <c r="E46" s="154"/>
      <c r="F46" s="154" t="n">
        <f aca="false">F24*(1-$B$38)</f>
        <v>75690</v>
      </c>
      <c r="G46" s="154"/>
      <c r="H46" s="154" t="n">
        <f aca="false">H24*(1-$B$38)</f>
        <v>75690</v>
      </c>
      <c r="I46" s="154"/>
      <c r="J46" s="154" t="n">
        <f aca="false">J24*(1-$B$38)</f>
        <v>75690</v>
      </c>
      <c r="K46" s="154"/>
      <c r="L46" s="154" t="n">
        <f aca="false">L24*(1-$B$38)</f>
        <v>75690</v>
      </c>
      <c r="M46" s="154"/>
      <c r="N46" s="155" t="n">
        <f aca="false">SUM(D46:M46)</f>
        <v>378450</v>
      </c>
    </row>
    <row r="47" customFormat="false" ht="15.75" hidden="false" customHeight="false" outlineLevel="0" collapsed="false">
      <c r="A47" s="35"/>
      <c r="B47" s="183" t="s">
        <v>132</v>
      </c>
      <c r="C47" s="184"/>
      <c r="D47" s="154" t="n">
        <f aca="false">($D$25/5)*(1-$B$38)</f>
        <v>42050</v>
      </c>
      <c r="E47" s="154"/>
      <c r="F47" s="154" t="n">
        <f aca="false">($D$25/5)*(1-$B$38)</f>
        <v>42050</v>
      </c>
      <c r="G47" s="154"/>
      <c r="H47" s="154" t="n">
        <f aca="false">($D$25/5)*(1-$B$38)</f>
        <v>42050</v>
      </c>
      <c r="I47" s="154"/>
      <c r="J47" s="154" t="n">
        <f aca="false">($D$25/5)*(1-$B$38)</f>
        <v>42050</v>
      </c>
      <c r="K47" s="154"/>
      <c r="L47" s="154" t="n">
        <f aca="false">($D$25/5)*(1-$B$38)</f>
        <v>42050</v>
      </c>
      <c r="M47" s="154"/>
      <c r="N47" s="155" t="n">
        <f aca="false">SUM(D47:L47)</f>
        <v>210250</v>
      </c>
    </row>
    <row r="48" customFormat="false" ht="15.75" hidden="false" customHeight="false" outlineLevel="0" collapsed="false">
      <c r="A48" s="185"/>
      <c r="B48" s="186" t="s">
        <v>126</v>
      </c>
      <c r="C48" s="187"/>
      <c r="D48" s="159" t="n">
        <f aca="false">D26*(1-$B$38)</f>
        <v>0</v>
      </c>
      <c r="E48" s="159"/>
      <c r="F48" s="159"/>
      <c r="G48" s="159"/>
      <c r="H48" s="159"/>
      <c r="I48" s="159"/>
      <c r="J48" s="159"/>
      <c r="K48" s="159"/>
      <c r="L48" s="159"/>
      <c r="M48" s="159"/>
      <c r="N48" s="155" t="n">
        <f aca="false">SUM(D48:M48)</f>
        <v>0</v>
      </c>
    </row>
    <row r="49" customFormat="false" ht="16.5" hidden="false" customHeight="false" outlineLevel="0" collapsed="false">
      <c r="A49" s="188" t="s">
        <v>36</v>
      </c>
      <c r="B49" s="189"/>
      <c r="C49" s="190"/>
      <c r="D49" s="191" t="n">
        <f aca="false">SUM(D45:D48)</f>
        <v>201840</v>
      </c>
      <c r="E49" s="191"/>
      <c r="F49" s="191" t="n">
        <f aca="false">SUM(F45:F48)</f>
        <v>201840</v>
      </c>
      <c r="G49" s="191"/>
      <c r="H49" s="191" t="n">
        <f aca="false">SUM(H45:H48)</f>
        <v>201840</v>
      </c>
      <c r="I49" s="191"/>
      <c r="J49" s="191" t="n">
        <f aca="false">SUM(J45:J48)</f>
        <v>201840</v>
      </c>
      <c r="K49" s="191"/>
      <c r="L49" s="191" t="n">
        <f aca="false">SUM(L45:L48)</f>
        <v>201840</v>
      </c>
      <c r="M49" s="191"/>
      <c r="N49" s="192" t="n">
        <f aca="false">SUM(N45:N48)</f>
        <v>1009200</v>
      </c>
    </row>
    <row r="50" customFormat="false" ht="16.5" hidden="false" customHeight="false" outlineLevel="0" collapsed="false">
      <c r="A50" s="40" t="s">
        <v>116</v>
      </c>
      <c r="B50" s="50"/>
      <c r="C50" s="198"/>
      <c r="D50" s="154" t="n">
        <f aca="false">D41-D49</f>
        <v>84565621.68</v>
      </c>
      <c r="E50" s="154"/>
      <c r="F50" s="154" t="n">
        <f aca="false">F41-F49</f>
        <v>141077262.8</v>
      </c>
      <c r="G50" s="154"/>
      <c r="H50" s="154" t="n">
        <f aca="false">H41-H49</f>
        <v>141077262.8</v>
      </c>
      <c r="I50" s="154"/>
      <c r="J50" s="154" t="n">
        <f aca="false">J41-J49</f>
        <v>141077262.8</v>
      </c>
      <c r="K50" s="154"/>
      <c r="L50" s="154" t="n">
        <f aca="false">L41-L49</f>
        <v>141077262.8</v>
      </c>
      <c r="M50" s="154"/>
      <c r="N50" s="155" t="n">
        <f aca="false">SUM(D50:M50)</f>
        <v>648874672.88</v>
      </c>
    </row>
    <row r="51" customFormat="false" ht="16.5" hidden="false" customHeight="false" outlineLevel="0" collapsed="false">
      <c r="A51" s="49"/>
      <c r="B51" s="50"/>
      <c r="C51" s="198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5"/>
    </row>
    <row r="52" customFormat="false" ht="16.5" hidden="false" customHeight="false" outlineLevel="0" collapsed="false">
      <c r="A52" s="53"/>
      <c r="B52" s="199" t="s">
        <v>38</v>
      </c>
      <c r="C52" s="167"/>
      <c r="D52" s="55" t="s">
        <v>1</v>
      </c>
      <c r="E52" s="200"/>
      <c r="F52" s="55" t="s">
        <v>39</v>
      </c>
      <c r="G52" s="42"/>
      <c r="H52" s="132" t="s">
        <v>31</v>
      </c>
      <c r="I52" s="51"/>
      <c r="J52" s="51"/>
      <c r="K52" s="51"/>
      <c r="L52" s="51"/>
      <c r="M52" s="51"/>
      <c r="N52" s="52"/>
    </row>
    <row r="53" customFormat="false" ht="15.75" hidden="false" customHeight="false" outlineLevel="0" collapsed="false">
      <c r="A53" s="53"/>
      <c r="B53" s="183" t="s">
        <v>40</v>
      </c>
      <c r="C53" s="201"/>
      <c r="D53" s="58" t="n">
        <f aca="false">(N40-N49)/N49</f>
        <v>182.960206896552</v>
      </c>
      <c r="E53" s="42"/>
      <c r="F53" s="59" t="n">
        <f aca="false">(N41-N49)/N49</f>
        <v>642.959445977012</v>
      </c>
      <c r="G53" s="42"/>
      <c r="H53" s="59" t="n">
        <f aca="false">(N42-N49)/N49</f>
        <v>1613.87625</v>
      </c>
      <c r="I53" s="51"/>
      <c r="J53" s="51"/>
      <c r="K53" s="51"/>
      <c r="L53" s="51"/>
      <c r="M53" s="51"/>
      <c r="N53" s="52"/>
    </row>
    <row r="54" customFormat="false" ht="15.75" hidden="false" customHeight="false" outlineLevel="0" collapsed="false">
      <c r="A54" s="61" t="s">
        <v>41</v>
      </c>
      <c r="B54" s="202" t="s">
        <v>42</v>
      </c>
      <c r="C54" s="198"/>
      <c r="D54" s="63" t="n">
        <f aca="false">'CF- Net of Tax'!C14</f>
        <v>140980115.109403</v>
      </c>
      <c r="E54" s="203"/>
      <c r="F54" s="63" t="n">
        <f aca="false">'CF- Net of Tax'!D14</f>
        <v>497755119.291869</v>
      </c>
      <c r="G54" s="203"/>
      <c r="H54" s="63" t="n">
        <f aca="false">'CF- Net of Tax'!E14</f>
        <v>1254878088.0172</v>
      </c>
      <c r="I54" s="65"/>
      <c r="J54" s="65"/>
      <c r="K54" s="65"/>
      <c r="L54" s="65"/>
      <c r="M54" s="65"/>
      <c r="N54" s="66"/>
    </row>
    <row r="55" customFormat="false" ht="16.5" hidden="false" customHeight="false" outlineLevel="0" collapsed="false">
      <c r="A55" s="204" t="n">
        <f aca="false">I!F39</f>
        <v>0.1</v>
      </c>
      <c r="B55" s="202" t="s">
        <v>43</v>
      </c>
      <c r="C55" s="198"/>
      <c r="D55" s="205" t="n">
        <f aca="false">'CF- Net of Tax'!C15</f>
        <v>17.1247010354676</v>
      </c>
      <c r="E55" s="65"/>
      <c r="F55" s="205" t="n">
        <f aca="false">'CF- Net of Tax'!D15</f>
        <v>24.8588857314771</v>
      </c>
      <c r="G55" s="65"/>
      <c r="H55" s="205" t="n">
        <f aca="false">'CF- Net of Tax'!E15</f>
        <v>31.9233933199455</v>
      </c>
      <c r="I55" s="65"/>
      <c r="J55" s="65"/>
      <c r="K55" s="65"/>
      <c r="L55" s="65"/>
      <c r="M55" s="65"/>
      <c r="N55" s="66"/>
    </row>
    <row r="56" customFormat="false" ht="11.25" hidden="false" customHeight="true" outlineLevel="0" collapsed="false">
      <c r="A56" s="207"/>
      <c r="B56" s="208"/>
      <c r="C56" s="209"/>
      <c r="D56" s="210"/>
      <c r="E56" s="210"/>
      <c r="F56" s="210"/>
      <c r="G56" s="210"/>
      <c r="H56" s="210"/>
      <c r="I56" s="210"/>
      <c r="J56" s="210"/>
      <c r="K56" s="210"/>
      <c r="L56" s="210"/>
      <c r="M56" s="211"/>
      <c r="N56" s="212"/>
      <c r="O56" s="213"/>
      <c r="P56" s="214"/>
      <c r="Q56" s="167"/>
      <c r="R56" s="154"/>
      <c r="S56" s="154"/>
      <c r="T56" s="154"/>
      <c r="U56" s="154"/>
      <c r="V56" s="154"/>
      <c r="W56" s="154"/>
      <c r="X56" s="154"/>
      <c r="Y56" s="154"/>
      <c r="Z56" s="154"/>
      <c r="AA56" s="168"/>
      <c r="AB56" s="154"/>
      <c r="AC56" s="213"/>
      <c r="AD56" s="214"/>
      <c r="AE56" s="167"/>
      <c r="AF56" s="154"/>
      <c r="AG56" s="154"/>
      <c r="AH56" s="154"/>
      <c r="AI56" s="154"/>
      <c r="AJ56" s="154"/>
      <c r="AK56" s="154"/>
      <c r="AL56" s="154"/>
      <c r="AM56" s="154"/>
      <c r="AN56" s="154"/>
      <c r="AO56" s="168"/>
      <c r="AP56" s="154"/>
      <c r="AQ56" s="213"/>
      <c r="AR56" s="214"/>
      <c r="AS56" s="167"/>
      <c r="AT56" s="154"/>
      <c r="AU56" s="154"/>
      <c r="AV56" s="154"/>
      <c r="AW56" s="154"/>
      <c r="AX56" s="154"/>
      <c r="AY56" s="154"/>
      <c r="AZ56" s="154"/>
      <c r="BA56" s="154"/>
      <c r="BB56" s="154"/>
      <c r="BC56" s="168"/>
      <c r="BD56" s="154"/>
      <c r="BE56" s="213"/>
      <c r="BF56" s="214"/>
      <c r="BG56" s="167"/>
      <c r="BH56" s="154"/>
      <c r="BI56" s="154"/>
      <c r="BJ56" s="154"/>
      <c r="BK56" s="154"/>
      <c r="BL56" s="154"/>
      <c r="BM56" s="154"/>
      <c r="BN56" s="154"/>
      <c r="BO56" s="154"/>
      <c r="BP56" s="154"/>
      <c r="BQ56" s="168"/>
      <c r="BR56" s="154"/>
      <c r="BS56" s="213"/>
      <c r="BT56" s="214"/>
      <c r="BU56" s="167"/>
      <c r="BV56" s="154"/>
      <c r="BW56" s="154"/>
      <c r="BX56" s="154"/>
      <c r="BY56" s="154"/>
      <c r="BZ56" s="154"/>
      <c r="CA56" s="154"/>
      <c r="CB56" s="154"/>
      <c r="CC56" s="154"/>
      <c r="CD56" s="154"/>
      <c r="CE56" s="168"/>
      <c r="CF56" s="154"/>
      <c r="CG56" s="213"/>
      <c r="CH56" s="214"/>
      <c r="CI56" s="167"/>
      <c r="CJ56" s="154"/>
      <c r="CK56" s="154"/>
      <c r="CL56" s="154"/>
      <c r="CM56" s="154"/>
      <c r="CN56" s="154"/>
      <c r="CO56" s="154"/>
      <c r="CP56" s="154"/>
      <c r="CQ56" s="154"/>
      <c r="CR56" s="154"/>
      <c r="CS56" s="168"/>
      <c r="CT56" s="154"/>
      <c r="CU56" s="213"/>
      <c r="CV56" s="214"/>
      <c r="CW56" s="167"/>
      <c r="CX56" s="154"/>
      <c r="CY56" s="154"/>
      <c r="CZ56" s="154"/>
      <c r="DA56" s="154"/>
      <c r="DB56" s="154"/>
      <c r="DC56" s="154"/>
      <c r="DD56" s="154"/>
      <c r="DE56" s="154"/>
      <c r="DF56" s="154"/>
      <c r="DG56" s="168"/>
      <c r="DH56" s="154"/>
      <c r="DI56" s="213"/>
      <c r="DJ56" s="214"/>
      <c r="DK56" s="167"/>
      <c r="DL56" s="154"/>
      <c r="DM56" s="154"/>
      <c r="DN56" s="154"/>
      <c r="DO56" s="154"/>
      <c r="DP56" s="154"/>
      <c r="DQ56" s="154"/>
      <c r="DR56" s="154"/>
      <c r="DS56" s="154"/>
      <c r="DT56" s="154"/>
      <c r="DU56" s="168"/>
      <c r="DV56" s="154"/>
      <c r="DW56" s="213"/>
      <c r="DX56" s="214"/>
      <c r="DY56" s="167"/>
      <c r="DZ56" s="154"/>
      <c r="EA56" s="154"/>
      <c r="EB56" s="154"/>
      <c r="EC56" s="154"/>
      <c r="ED56" s="154"/>
      <c r="EE56" s="154"/>
      <c r="EF56" s="154"/>
      <c r="EG56" s="154"/>
      <c r="EH56" s="154"/>
      <c r="EI56" s="168"/>
      <c r="EJ56" s="154"/>
      <c r="EK56" s="213"/>
      <c r="EL56" s="214"/>
      <c r="EM56" s="167"/>
      <c r="EN56" s="154"/>
      <c r="EO56" s="154"/>
      <c r="EP56" s="154"/>
      <c r="EQ56" s="154"/>
      <c r="ER56" s="154"/>
      <c r="ES56" s="154"/>
      <c r="ET56" s="154"/>
      <c r="EU56" s="154"/>
      <c r="EV56" s="154"/>
      <c r="EW56" s="168"/>
      <c r="EX56" s="154"/>
      <c r="EY56" s="213"/>
      <c r="EZ56" s="214"/>
      <c r="FA56" s="167"/>
      <c r="FB56" s="154"/>
      <c r="FC56" s="154"/>
      <c r="FD56" s="154"/>
      <c r="FE56" s="154"/>
      <c r="FF56" s="154"/>
      <c r="FG56" s="154"/>
      <c r="FH56" s="154"/>
      <c r="FI56" s="154"/>
      <c r="FJ56" s="154"/>
      <c r="FK56" s="168"/>
      <c r="FL56" s="154"/>
      <c r="FM56" s="213"/>
      <c r="FN56" s="214"/>
      <c r="FO56" s="167"/>
      <c r="FP56" s="154"/>
      <c r="FQ56" s="154"/>
      <c r="FR56" s="154"/>
      <c r="FS56" s="154"/>
      <c r="FT56" s="154"/>
      <c r="FU56" s="154"/>
      <c r="FV56" s="154"/>
      <c r="FW56" s="154"/>
      <c r="FX56" s="154"/>
      <c r="FY56" s="168"/>
      <c r="FZ56" s="154"/>
      <c r="GA56" s="213"/>
      <c r="GB56" s="214"/>
      <c r="GC56" s="167"/>
      <c r="GD56" s="154"/>
      <c r="GE56" s="154"/>
      <c r="GF56" s="154"/>
      <c r="GG56" s="154"/>
      <c r="GH56" s="154"/>
      <c r="GI56" s="154"/>
      <c r="GJ56" s="154"/>
      <c r="GK56" s="154"/>
      <c r="GL56" s="154"/>
      <c r="GM56" s="168"/>
      <c r="GN56" s="154"/>
      <c r="GO56" s="213"/>
      <c r="GP56" s="214"/>
      <c r="GQ56" s="167"/>
      <c r="GR56" s="154"/>
      <c r="GS56" s="154"/>
      <c r="GT56" s="154"/>
      <c r="GU56" s="154"/>
      <c r="GV56" s="154"/>
      <c r="GW56" s="154"/>
      <c r="GX56" s="154"/>
      <c r="GY56" s="154"/>
      <c r="GZ56" s="154"/>
      <c r="HA56" s="168"/>
      <c r="HB56" s="154"/>
      <c r="HC56" s="213"/>
      <c r="HD56" s="214"/>
      <c r="HE56" s="215"/>
      <c r="HF56" s="216"/>
      <c r="HG56" s="216"/>
      <c r="HH56" s="216"/>
      <c r="HI56" s="216"/>
      <c r="HJ56" s="216"/>
      <c r="HK56" s="216"/>
      <c r="HL56" s="216"/>
      <c r="HM56" s="216"/>
      <c r="HN56" s="216"/>
      <c r="HO56" s="217"/>
      <c r="HP56" s="216"/>
      <c r="HQ56" s="218"/>
      <c r="HR56" s="219"/>
      <c r="HS56" s="215"/>
      <c r="HT56" s="216"/>
      <c r="HU56" s="216"/>
      <c r="HV56" s="216"/>
      <c r="HW56" s="216"/>
      <c r="HX56" s="216"/>
      <c r="HY56" s="216"/>
      <c r="HZ56" s="216"/>
      <c r="IA56" s="216"/>
      <c r="IB56" s="216"/>
      <c r="IC56" s="217"/>
      <c r="ID56" s="216"/>
      <c r="IE56" s="218"/>
      <c r="IF56" s="219"/>
      <c r="IG56" s="215"/>
      <c r="IH56" s="216"/>
      <c r="II56" s="216"/>
      <c r="IJ56" s="216"/>
      <c r="IK56" s="216"/>
      <c r="IL56" s="216"/>
      <c r="IM56" s="216"/>
      <c r="IN56" s="216"/>
      <c r="IO56" s="216"/>
      <c r="IP56" s="216"/>
      <c r="IQ56" s="217"/>
      <c r="IR56" s="216"/>
      <c r="IS56" s="218"/>
      <c r="IT56" s="219"/>
      <c r="IU56" s="215"/>
      <c r="IV56" s="216"/>
      <c r="IW56" s="86"/>
    </row>
    <row r="57" customFormat="false" ht="15.75" hidden="false" customHeight="false" outlineLevel="0" collapsed="false">
      <c r="A57" s="39"/>
      <c r="B57" s="36"/>
      <c r="C57" s="167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80"/>
    </row>
    <row r="58" customFormat="false" ht="15.75" hidden="false" customHeight="false" outlineLevel="0" collapsed="false">
      <c r="A58" s="181" t="s">
        <v>44</v>
      </c>
      <c r="B58" s="36"/>
      <c r="C58" s="167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80"/>
    </row>
    <row r="59" customFormat="false" ht="16.5" hidden="false" customHeight="false" outlineLevel="0" collapsed="false">
      <c r="A59" s="39"/>
      <c r="B59" s="36"/>
      <c r="C59" s="167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80"/>
    </row>
    <row r="60" customFormat="false" ht="16.5" hidden="false" customHeight="false" outlineLevel="0" collapsed="false">
      <c r="A60" s="39" t="s">
        <v>128</v>
      </c>
      <c r="B60" s="220" t="n">
        <v>0.42</v>
      </c>
      <c r="C60" s="167"/>
      <c r="D60" s="55" t="s">
        <v>1</v>
      </c>
      <c r="E60" s="200"/>
      <c r="F60" s="55" t="s">
        <v>39</v>
      </c>
      <c r="G60" s="42"/>
      <c r="H60" s="132" t="s">
        <v>31</v>
      </c>
      <c r="I60" s="168"/>
      <c r="J60" s="168"/>
      <c r="K60" s="168"/>
      <c r="L60" s="168"/>
      <c r="M60" s="168"/>
      <c r="N60" s="180"/>
    </row>
    <row r="61" customFormat="false" ht="6.75" hidden="false" customHeight="true" outlineLevel="0" collapsed="false">
      <c r="A61" s="39"/>
      <c r="B61" s="220"/>
      <c r="C61" s="167"/>
      <c r="D61" s="221"/>
      <c r="E61" s="168"/>
      <c r="F61" s="221"/>
      <c r="G61" s="168"/>
      <c r="H61" s="221"/>
      <c r="I61" s="168"/>
      <c r="J61" s="168"/>
      <c r="K61" s="168"/>
      <c r="L61" s="168"/>
      <c r="M61" s="168"/>
      <c r="N61" s="180"/>
    </row>
    <row r="62" customFormat="false" ht="15.75" hidden="false" customHeight="false" outlineLevel="0" collapsed="false">
      <c r="A62" s="39"/>
      <c r="B62" s="202" t="s">
        <v>133</v>
      </c>
      <c r="C62" s="167"/>
      <c r="D62" s="222" t="n">
        <f aca="false">+(N5+N8)*(1-B60)</f>
        <v>182833840.8</v>
      </c>
      <c r="E62" s="152"/>
      <c r="F62" s="222" t="n">
        <f aca="false">(+N6+N9)*(1-B60)</f>
        <v>642680272.88</v>
      </c>
      <c r="G62" s="152"/>
      <c r="H62" s="222" t="n">
        <f aca="false">(+N7+N10)*(1-B60)</f>
        <v>1615012711.5</v>
      </c>
      <c r="I62" s="152"/>
      <c r="J62" s="152"/>
      <c r="K62" s="152"/>
      <c r="L62" s="152"/>
      <c r="M62" s="152"/>
      <c r="N62" s="153"/>
    </row>
    <row r="63" customFormat="false" ht="15.75" hidden="false" customHeight="false" outlineLevel="0" collapsed="false">
      <c r="A63" s="39"/>
      <c r="B63" s="202" t="s">
        <v>134</v>
      </c>
      <c r="C63" s="167"/>
      <c r="D63" s="223" t="n">
        <f aca="false">+BS!B123</f>
        <v>253185595.567867</v>
      </c>
      <c r="E63" s="168"/>
      <c r="F63" s="223" t="n">
        <f aca="false">+D63</f>
        <v>253185595.567867</v>
      </c>
      <c r="G63" s="168"/>
      <c r="H63" s="223" t="n">
        <f aca="false">+D63</f>
        <v>253185595.567867</v>
      </c>
      <c r="I63" s="168"/>
      <c r="J63" s="168"/>
      <c r="K63" s="168"/>
      <c r="L63" s="168"/>
      <c r="M63" s="152"/>
      <c r="N63" s="180"/>
    </row>
    <row r="64" customFormat="false" ht="15.75" hidden="false" customHeight="false" outlineLevel="0" collapsed="false">
      <c r="A64" s="39"/>
      <c r="B64" s="202" t="s">
        <v>135</v>
      </c>
      <c r="C64" s="167"/>
      <c r="D64" s="224" t="e">
        <f aca="false">+D65+D66</f>
        <v>#VALUE!</v>
      </c>
      <c r="E64" s="168"/>
      <c r="F64" s="224" t="e">
        <f aca="false">+F65+F66</f>
        <v>#VALUE!</v>
      </c>
      <c r="G64" s="168"/>
      <c r="H64" s="224" t="e">
        <f aca="false">+H65+H66</f>
        <v>#VALUE!</v>
      </c>
      <c r="I64" s="168"/>
      <c r="J64" s="168"/>
      <c r="K64" s="168"/>
      <c r="L64" s="168"/>
      <c r="M64" s="152"/>
      <c r="N64" s="180"/>
    </row>
    <row r="65" customFormat="false" ht="16.5" hidden="false" customHeight="false" outlineLevel="0" collapsed="false">
      <c r="A65" s="185"/>
      <c r="B65" s="186" t="s">
        <v>136</v>
      </c>
      <c r="C65" s="187"/>
      <c r="D65" s="225" t="str">
        <f aca="false">+Inc!D61</f>
        <v> </v>
      </c>
      <c r="E65" s="159"/>
      <c r="F65" s="225" t="str">
        <f aca="false">+D65</f>
        <v> </v>
      </c>
      <c r="G65" s="159"/>
      <c r="H65" s="225" t="str">
        <f aca="false">+D65</f>
        <v> </v>
      </c>
      <c r="I65" s="159"/>
      <c r="J65" s="159"/>
      <c r="K65" s="159"/>
      <c r="L65" s="159"/>
      <c r="M65" s="159"/>
      <c r="N65" s="155"/>
    </row>
    <row r="66" customFormat="false" ht="16.5" hidden="false" customHeight="false" outlineLevel="0" collapsed="false">
      <c r="A66" s="188" t="s">
        <v>137</v>
      </c>
      <c r="B66" s="189"/>
      <c r="C66" s="190"/>
      <c r="D66" s="226" t="n">
        <f aca="false">D62/D63</f>
        <v>0.722133660052516</v>
      </c>
      <c r="E66" s="191"/>
      <c r="F66" s="226" t="n">
        <f aca="false">F62/F63</f>
        <v>2.53837613249103</v>
      </c>
      <c r="G66" s="191"/>
      <c r="H66" s="226" t="n">
        <f aca="false">H62/H63</f>
        <v>6.37877011872538</v>
      </c>
      <c r="I66" s="191"/>
      <c r="J66" s="191"/>
      <c r="K66" s="191"/>
      <c r="L66" s="191"/>
      <c r="M66" s="191"/>
      <c r="N66" s="192"/>
    </row>
    <row r="67" customFormat="false" ht="16.5" hidden="false" customHeight="false" outlineLevel="0" collapsed="false">
      <c r="A67" s="40" t="s">
        <v>138</v>
      </c>
      <c r="B67" s="50"/>
      <c r="C67" s="198"/>
      <c r="D67" s="227" t="s">
        <v>9</v>
      </c>
      <c r="E67" s="154"/>
      <c r="F67" s="154"/>
      <c r="G67" s="154"/>
      <c r="H67" s="154"/>
      <c r="I67" s="154"/>
      <c r="J67" s="154"/>
      <c r="K67" s="154"/>
      <c r="L67" s="154"/>
      <c r="M67" s="154"/>
      <c r="N67" s="155"/>
    </row>
    <row r="68" customFormat="false" ht="16.5" hidden="false" customHeight="false" outlineLevel="0" collapsed="false">
      <c r="A68" s="49"/>
      <c r="B68" s="50"/>
      <c r="C68" s="198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5"/>
    </row>
    <row r="69" customFormat="false" ht="16.5" hidden="false" customHeight="false" outlineLevel="0" collapsed="false">
      <c r="A69" s="53"/>
      <c r="B69" s="199" t="s">
        <v>38</v>
      </c>
      <c r="C69" s="167"/>
      <c r="D69" s="55" t="s">
        <v>1</v>
      </c>
      <c r="E69" s="200"/>
      <c r="F69" s="55" t="s">
        <v>39</v>
      </c>
      <c r="G69" s="42"/>
      <c r="H69" s="132" t="s">
        <v>31</v>
      </c>
      <c r="I69" s="51"/>
      <c r="J69" s="51"/>
      <c r="K69" s="51"/>
      <c r="L69" s="51"/>
      <c r="M69" s="51"/>
      <c r="N69" s="52"/>
    </row>
    <row r="70" customFormat="false" ht="16.5" hidden="false" customHeight="false" outlineLevel="0" collapsed="false">
      <c r="A70" s="53"/>
      <c r="B70" s="186" t="s">
        <v>44</v>
      </c>
      <c r="C70" s="167"/>
      <c r="D70" s="228" t="e">
        <f aca="false">+D65+D66</f>
        <v>#VALUE!</v>
      </c>
      <c r="E70" s="200"/>
      <c r="F70" s="228" t="e">
        <f aca="false">+F65+F66</f>
        <v>#VALUE!</v>
      </c>
      <c r="G70" s="42"/>
      <c r="H70" s="228" t="e">
        <f aca="false">+H65+H66</f>
        <v>#VALUE!</v>
      </c>
      <c r="I70" s="51"/>
      <c r="J70" s="51"/>
      <c r="K70" s="51"/>
      <c r="L70" s="51"/>
      <c r="M70" s="51"/>
      <c r="N70" s="52"/>
    </row>
    <row r="71" customFormat="false" ht="16.5" hidden="false" customHeight="false" outlineLevel="0" collapsed="false">
      <c r="A71" s="229"/>
      <c r="B71" s="230" t="s">
        <v>45</v>
      </c>
      <c r="C71" s="231"/>
      <c r="D71" s="232" t="e">
        <f aca="false">(D64/D65)-1</f>
        <v>#VALUE!</v>
      </c>
      <c r="E71" s="233"/>
      <c r="F71" s="232" t="e">
        <f aca="false">(F64/F65)-1</f>
        <v>#VALUE!</v>
      </c>
      <c r="G71" s="233"/>
      <c r="H71" s="232" t="e">
        <f aca="false">(H64/H65)-1</f>
        <v>#VALUE!</v>
      </c>
      <c r="I71" s="234"/>
      <c r="J71" s="234"/>
      <c r="K71" s="234"/>
      <c r="L71" s="234"/>
      <c r="M71" s="234"/>
      <c r="N71" s="235"/>
    </row>
    <row r="72" customFormat="false" ht="15.75" hidden="false" customHeight="false" outlineLevel="0" collapsed="false">
      <c r="A72" s="104"/>
      <c r="B72" s="104"/>
      <c r="C72" s="104"/>
      <c r="D72" s="147"/>
    </row>
  </sheetData>
  <mergeCells count="2">
    <mergeCell ref="A2:N2"/>
    <mergeCell ref="D3:N3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F45" activeCellId="0" sqref="F4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4" width="8.7"/>
    <col collapsed="false" customWidth="true" hidden="false" outlineLevel="0" max="2" min="2" style="104" width="32.7"/>
    <col collapsed="false" customWidth="false" hidden="false" outlineLevel="0" max="3" min="3" style="104" width="9.14"/>
    <col collapsed="false" customWidth="true" hidden="false" outlineLevel="0" max="4" min="4" style="104" width="4.28"/>
    <col collapsed="false" customWidth="true" hidden="false" outlineLevel="0" max="5" min="5" style="104" width="11.42"/>
    <col collapsed="false" customWidth="true" hidden="false" outlineLevel="0" max="10" min="6" style="104" width="9.56"/>
    <col collapsed="false" customWidth="true" hidden="false" outlineLevel="0" max="11" min="11" style="104" width="11.42"/>
    <col collapsed="false" customWidth="true" hidden="false" outlineLevel="0" max="12" min="12" style="104" width="30.28"/>
    <col collapsed="false" customWidth="true" hidden="false" outlineLevel="0" max="13" min="13" style="104" width="28.7"/>
    <col collapsed="false" customWidth="false" hidden="false" outlineLevel="0" max="257" min="14" style="104" width="9.14"/>
  </cols>
  <sheetData>
    <row r="1" customFormat="false" ht="36" hidden="false" customHeight="true" outlineLevel="0" collapsed="false"/>
    <row r="2" customFormat="false" ht="24" hidden="false" customHeight="true" outlineLevel="0" collapsed="false">
      <c r="A2" s="236" t="s">
        <v>139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7"/>
      <c r="M2" s="237"/>
    </row>
    <row r="3" customFormat="false" ht="12.75" hidden="false" customHeight="true" outlineLevel="0" collapsed="false">
      <c r="A3" s="238"/>
      <c r="B3" s="113"/>
      <c r="C3" s="113"/>
      <c r="D3" s="113"/>
      <c r="E3" s="239" t="s">
        <v>140</v>
      </c>
      <c r="F3" s="239" t="s">
        <v>3</v>
      </c>
      <c r="G3" s="239" t="s">
        <v>4</v>
      </c>
      <c r="H3" s="239" t="s">
        <v>5</v>
      </c>
      <c r="I3" s="239" t="s">
        <v>6</v>
      </c>
      <c r="J3" s="239" t="s">
        <v>7</v>
      </c>
      <c r="K3" s="239" t="s">
        <v>8</v>
      </c>
      <c r="L3" s="240" t="s">
        <v>141</v>
      </c>
      <c r="M3" s="237"/>
    </row>
    <row r="4" customFormat="false" ht="12.75" hidden="false" customHeight="true" outlineLevel="0" collapsed="false">
      <c r="A4" s="241" t="s">
        <v>142</v>
      </c>
      <c r="B4" s="242"/>
      <c r="C4" s="243"/>
      <c r="D4" s="244"/>
      <c r="E4" s="245"/>
      <c r="F4" s="246"/>
      <c r="G4" s="246"/>
      <c r="H4" s="246"/>
      <c r="I4" s="246"/>
      <c r="J4" s="246"/>
      <c r="K4" s="247"/>
      <c r="L4" s="248"/>
      <c r="M4" s="249"/>
    </row>
    <row r="5" customFormat="false" ht="12.75" hidden="false" customHeight="true" outlineLevel="0" collapsed="false">
      <c r="A5" s="250" t="s">
        <v>143</v>
      </c>
      <c r="B5" s="251"/>
      <c r="C5" s="251"/>
      <c r="D5" s="252"/>
      <c r="E5" s="253"/>
      <c r="F5" s="254"/>
      <c r="G5" s="254"/>
      <c r="H5" s="254"/>
      <c r="I5" s="254"/>
      <c r="J5" s="254"/>
      <c r="K5" s="255"/>
      <c r="L5" s="256"/>
      <c r="M5" s="94"/>
    </row>
    <row r="6" customFormat="false" ht="12.75" hidden="false" customHeight="true" outlineLevel="0" collapsed="false">
      <c r="A6" s="250"/>
      <c r="B6" s="80" t="s">
        <v>144</v>
      </c>
      <c r="C6" s="251"/>
      <c r="D6" s="252"/>
      <c r="E6" s="257" t="n">
        <v>250000</v>
      </c>
      <c r="F6" s="258"/>
      <c r="G6" s="258"/>
      <c r="H6" s="258"/>
      <c r="I6" s="258"/>
      <c r="J6" s="258"/>
      <c r="K6" s="259" t="n">
        <f aca="false">SUM(E6:J6)</f>
        <v>250000</v>
      </c>
      <c r="L6" s="256" t="s">
        <v>145</v>
      </c>
      <c r="M6" s="94"/>
    </row>
    <row r="7" customFormat="false" ht="12.75" hidden="false" customHeight="true" outlineLevel="0" collapsed="false">
      <c r="A7" s="250"/>
      <c r="B7" s="260" t="s">
        <v>146</v>
      </c>
      <c r="C7" s="251"/>
      <c r="D7" s="252"/>
      <c r="E7" s="261" t="n">
        <v>25000</v>
      </c>
      <c r="F7" s="262"/>
      <c r="G7" s="262"/>
      <c r="H7" s="262"/>
      <c r="I7" s="262"/>
      <c r="J7" s="262"/>
      <c r="K7" s="263" t="n">
        <f aca="false">SUM(E7:J7)</f>
        <v>25000</v>
      </c>
      <c r="L7" s="256"/>
      <c r="M7" s="94"/>
    </row>
    <row r="8" customFormat="false" ht="12.75" hidden="false" customHeight="true" outlineLevel="0" collapsed="false">
      <c r="A8" s="250"/>
      <c r="B8" s="260" t="s">
        <v>147</v>
      </c>
      <c r="C8" s="251"/>
      <c r="D8" s="252"/>
      <c r="E8" s="261" t="n">
        <v>50000</v>
      </c>
      <c r="F8" s="262"/>
      <c r="G8" s="262"/>
      <c r="H8" s="262"/>
      <c r="I8" s="262"/>
      <c r="J8" s="262"/>
      <c r="K8" s="263" t="n">
        <f aca="false">SUM(E8:J8)</f>
        <v>50000</v>
      </c>
      <c r="L8" s="256"/>
      <c r="M8" s="94"/>
    </row>
    <row r="9" customFormat="false" ht="12.75" hidden="false" customHeight="true" outlineLevel="0" collapsed="false">
      <c r="A9" s="250"/>
      <c r="B9" s="260" t="s">
        <v>148</v>
      </c>
      <c r="C9" s="251"/>
      <c r="D9" s="252"/>
      <c r="E9" s="261" t="n">
        <v>60000</v>
      </c>
      <c r="F9" s="262"/>
      <c r="G9" s="262"/>
      <c r="H9" s="262"/>
      <c r="I9" s="262"/>
      <c r="J9" s="262"/>
      <c r="K9" s="263" t="n">
        <f aca="false">SUM(E9:J9)</f>
        <v>60000</v>
      </c>
      <c r="L9" s="256"/>
      <c r="M9" s="94"/>
    </row>
    <row r="10" customFormat="false" ht="12.75" hidden="false" customHeight="true" outlineLevel="0" collapsed="false">
      <c r="A10" s="250"/>
      <c r="B10" s="260" t="s">
        <v>149</v>
      </c>
      <c r="C10" s="251"/>
      <c r="D10" s="252"/>
      <c r="E10" s="261" t="n">
        <v>75000</v>
      </c>
      <c r="F10" s="262"/>
      <c r="G10" s="262"/>
      <c r="H10" s="262"/>
      <c r="I10" s="262"/>
      <c r="J10" s="262"/>
      <c r="K10" s="263" t="n">
        <f aca="false">SUM(E10:J10)</f>
        <v>75000</v>
      </c>
      <c r="L10" s="256"/>
      <c r="M10" s="94"/>
    </row>
    <row r="11" customFormat="false" ht="36" hidden="false" customHeight="true" outlineLevel="0" collapsed="false">
      <c r="A11" s="250"/>
      <c r="B11" s="264" t="s">
        <v>150</v>
      </c>
      <c r="C11" s="251"/>
      <c r="D11" s="252"/>
      <c r="E11" s="261" t="n">
        <v>175000</v>
      </c>
      <c r="F11" s="262"/>
      <c r="G11" s="262"/>
      <c r="H11" s="262"/>
      <c r="I11" s="262"/>
      <c r="J11" s="262"/>
      <c r="K11" s="263" t="n">
        <f aca="false">SUM(E11:J11)</f>
        <v>175000</v>
      </c>
      <c r="L11" s="256"/>
      <c r="M11" s="94"/>
    </row>
    <row r="12" customFormat="false" ht="60" hidden="false" customHeight="true" outlineLevel="0" collapsed="false">
      <c r="A12" s="250"/>
      <c r="B12" s="264" t="s">
        <v>151</v>
      </c>
      <c r="C12" s="251"/>
      <c r="D12" s="252"/>
      <c r="E12" s="261" t="n">
        <v>200000</v>
      </c>
      <c r="F12" s="262"/>
      <c r="G12" s="262"/>
      <c r="H12" s="262"/>
      <c r="I12" s="262"/>
      <c r="J12" s="262"/>
      <c r="K12" s="263" t="n">
        <f aca="false">SUM(E12:J12)</f>
        <v>200000</v>
      </c>
      <c r="L12" s="256"/>
      <c r="M12" s="94"/>
    </row>
    <row r="13" customFormat="false" ht="12.75" hidden="false" customHeight="true" outlineLevel="0" collapsed="false">
      <c r="A13" s="250"/>
      <c r="B13" s="260" t="s">
        <v>152</v>
      </c>
      <c r="C13" s="251"/>
      <c r="D13" s="252"/>
      <c r="E13" s="261" t="n">
        <v>100000</v>
      </c>
      <c r="F13" s="262"/>
      <c r="G13" s="262"/>
      <c r="H13" s="262"/>
      <c r="I13" s="262"/>
      <c r="J13" s="262"/>
      <c r="K13" s="263" t="n">
        <f aca="false">SUM(E13:J13)</f>
        <v>100000</v>
      </c>
      <c r="L13" s="256"/>
      <c r="M13" s="94"/>
    </row>
    <row r="14" customFormat="false" ht="33.75" hidden="false" customHeight="true" outlineLevel="0" collapsed="false">
      <c r="A14" s="251"/>
      <c r="B14" s="265" t="s">
        <v>153</v>
      </c>
      <c r="C14" s="251"/>
      <c r="D14" s="252"/>
      <c r="E14" s="261" t="n">
        <v>200000</v>
      </c>
      <c r="F14" s="262"/>
      <c r="G14" s="262"/>
      <c r="H14" s="262"/>
      <c r="I14" s="262"/>
      <c r="J14" s="262"/>
      <c r="K14" s="263" t="n">
        <f aca="false">SUM(E14:J14)</f>
        <v>200000</v>
      </c>
      <c r="L14" s="256"/>
      <c r="M14" s="94"/>
    </row>
    <row r="15" customFormat="false" ht="12.75" hidden="false" customHeight="true" outlineLevel="0" collapsed="false">
      <c r="A15" s="251"/>
      <c r="B15" s="266" t="s">
        <v>154</v>
      </c>
      <c r="C15" s="251"/>
      <c r="D15" s="252"/>
      <c r="E15" s="261"/>
      <c r="F15" s="261"/>
      <c r="G15" s="261"/>
      <c r="H15" s="261"/>
      <c r="I15" s="261"/>
      <c r="J15" s="261"/>
      <c r="K15" s="267"/>
      <c r="L15" s="256"/>
      <c r="M15" s="94"/>
    </row>
    <row r="16" customFormat="false" ht="12.75" hidden="false" customHeight="true" outlineLevel="0" collapsed="false">
      <c r="A16" s="251"/>
      <c r="B16" s="260" t="s">
        <v>155</v>
      </c>
      <c r="C16" s="251"/>
      <c r="D16" s="252"/>
      <c r="E16" s="261" t="n">
        <v>100000</v>
      </c>
      <c r="F16" s="261"/>
      <c r="G16" s="261"/>
      <c r="H16" s="261"/>
      <c r="I16" s="261"/>
      <c r="J16" s="261"/>
      <c r="K16" s="267"/>
      <c r="L16" s="256"/>
      <c r="M16" s="94"/>
    </row>
    <row r="17" customFormat="false" ht="12.75" hidden="false" customHeight="true" outlineLevel="0" collapsed="false">
      <c r="A17" s="251"/>
      <c r="B17" s="260" t="s">
        <v>156</v>
      </c>
      <c r="C17" s="251"/>
      <c r="D17" s="252"/>
      <c r="E17" s="261" t="n">
        <v>25000</v>
      </c>
      <c r="F17" s="261"/>
      <c r="G17" s="261"/>
      <c r="H17" s="261"/>
      <c r="I17" s="261"/>
      <c r="J17" s="261"/>
      <c r="K17" s="267"/>
      <c r="L17" s="256"/>
      <c r="M17" s="94"/>
    </row>
    <row r="18" customFormat="false" ht="12.75" hidden="false" customHeight="true" outlineLevel="0" collapsed="false">
      <c r="A18" s="251"/>
      <c r="B18" s="260" t="s">
        <v>157</v>
      </c>
      <c r="C18" s="251"/>
      <c r="D18" s="252"/>
      <c r="E18" s="261" t="n">
        <v>25000</v>
      </c>
      <c r="F18" s="261"/>
      <c r="G18" s="261"/>
      <c r="H18" s="261"/>
      <c r="I18" s="261"/>
      <c r="J18" s="261"/>
      <c r="K18" s="267"/>
      <c r="L18" s="256"/>
      <c r="M18" s="94"/>
    </row>
    <row r="19" customFormat="false" ht="12.75" hidden="false" customHeight="true" outlineLevel="0" collapsed="false">
      <c r="A19" s="251"/>
      <c r="B19" s="260" t="s">
        <v>158</v>
      </c>
      <c r="C19" s="251"/>
      <c r="D19" s="252"/>
      <c r="E19" s="261" t="n">
        <v>25000</v>
      </c>
      <c r="F19" s="261"/>
      <c r="G19" s="261"/>
      <c r="H19" s="261"/>
      <c r="I19" s="261"/>
      <c r="J19" s="261"/>
      <c r="K19" s="267"/>
      <c r="L19" s="256"/>
      <c r="M19" s="94"/>
    </row>
    <row r="20" customFormat="false" ht="12.75" hidden="false" customHeight="true" outlineLevel="0" collapsed="false">
      <c r="A20" s="251"/>
      <c r="B20" s="260" t="s">
        <v>159</v>
      </c>
      <c r="C20" s="251"/>
      <c r="D20" s="252"/>
      <c r="E20" s="261" t="n">
        <v>25000</v>
      </c>
      <c r="F20" s="261"/>
      <c r="G20" s="261"/>
      <c r="H20" s="261"/>
      <c r="I20" s="261"/>
      <c r="J20" s="261"/>
      <c r="K20" s="267"/>
      <c r="L20" s="256"/>
      <c r="M20" s="94"/>
    </row>
    <row r="21" customFormat="false" ht="12.75" hidden="false" customHeight="true" outlineLevel="0" collapsed="false">
      <c r="A21" s="251"/>
      <c r="B21" s="260" t="s">
        <v>160</v>
      </c>
      <c r="C21" s="251"/>
      <c r="D21" s="252"/>
      <c r="E21" s="261" t="n">
        <v>75000</v>
      </c>
      <c r="F21" s="261"/>
      <c r="G21" s="261"/>
      <c r="H21" s="261"/>
      <c r="I21" s="261"/>
      <c r="J21" s="261"/>
      <c r="K21" s="267"/>
      <c r="L21" s="256"/>
      <c r="M21" s="94"/>
    </row>
    <row r="22" customFormat="false" ht="12.75" hidden="false" customHeight="true" outlineLevel="0" collapsed="false">
      <c r="A22" s="268"/>
      <c r="B22" s="269" t="s">
        <v>161</v>
      </c>
      <c r="C22" s="270"/>
      <c r="D22" s="271"/>
      <c r="E22" s="272" t="n">
        <f aca="false">E6+E14+SUM(E16:E21)</f>
        <v>725000</v>
      </c>
      <c r="F22" s="273" t="n">
        <f aca="false">SUM(F5:F14)</f>
        <v>0</v>
      </c>
      <c r="G22" s="273" t="n">
        <f aca="false">SUM(G5:G14)</f>
        <v>0</v>
      </c>
      <c r="H22" s="273" t="n">
        <f aca="false">SUM(H5:H14)</f>
        <v>0</v>
      </c>
      <c r="I22" s="273" t="n">
        <f aca="false">SUM(I5:I14)</f>
        <v>0</v>
      </c>
      <c r="J22" s="273" t="n">
        <f aca="false">SUM(J5:J14)</f>
        <v>0</v>
      </c>
      <c r="K22" s="274" t="n">
        <f aca="false">SUM(K5:K14)</f>
        <v>1135000</v>
      </c>
      <c r="L22" s="256"/>
      <c r="M22" s="94"/>
    </row>
    <row r="23" customFormat="false" ht="12.75" hidden="false" customHeight="true" outlineLevel="0" collapsed="false">
      <c r="B23" s="275" t="s">
        <v>12</v>
      </c>
      <c r="C23" s="251"/>
      <c r="D23" s="252"/>
      <c r="E23" s="276" t="n">
        <v>0</v>
      </c>
      <c r="F23" s="277" t="n">
        <f aca="false">E22/3</f>
        <v>241666.666666667</v>
      </c>
      <c r="G23" s="278" t="n">
        <f aca="false">+F23</f>
        <v>241666.666666667</v>
      </c>
      <c r="H23" s="277" t="n">
        <f aca="false">+F23</f>
        <v>241666.666666667</v>
      </c>
      <c r="I23" s="278"/>
      <c r="J23" s="277"/>
      <c r="K23" s="255" t="n">
        <f aca="false">SUM(E23:J23)</f>
        <v>725000</v>
      </c>
      <c r="L23" s="256"/>
      <c r="M23" s="94"/>
    </row>
    <row r="24" customFormat="false" ht="12.75" hidden="false" customHeight="true" outlineLevel="0" collapsed="false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256"/>
      <c r="M24" s="94"/>
    </row>
    <row r="25" customFormat="false" ht="12.75" hidden="false" customHeight="true" outlineLevel="0" collapsed="false">
      <c r="A25" s="241" t="s">
        <v>124</v>
      </c>
      <c r="B25" s="243"/>
      <c r="C25" s="243"/>
      <c r="D25" s="244"/>
      <c r="E25" s="245"/>
      <c r="F25" s="246"/>
      <c r="G25" s="247"/>
      <c r="H25" s="246"/>
      <c r="I25" s="247"/>
      <c r="J25" s="246"/>
      <c r="K25" s="247"/>
      <c r="L25" s="256"/>
      <c r="M25" s="94"/>
    </row>
    <row r="26" customFormat="false" ht="12.75" hidden="false" customHeight="true" outlineLevel="0" collapsed="false">
      <c r="A26" s="250" t="s">
        <v>162</v>
      </c>
      <c r="B26" s="251"/>
      <c r="C26" s="251"/>
      <c r="D26" s="252"/>
      <c r="E26" s="257" t="n">
        <f aca="false">+E5*0.15</f>
        <v>0</v>
      </c>
      <c r="F26" s="258" t="n">
        <f aca="false">E22*0.18</f>
        <v>130500</v>
      </c>
      <c r="G26" s="258" t="n">
        <f aca="false">$E$22*0.18</f>
        <v>130500</v>
      </c>
      <c r="H26" s="258" t="n">
        <f aca="false">G26</f>
        <v>130500</v>
      </c>
      <c r="I26" s="258" t="n">
        <f aca="false">H26</f>
        <v>130500</v>
      </c>
      <c r="J26" s="258" t="n">
        <f aca="false">I26</f>
        <v>130500</v>
      </c>
      <c r="K26" s="259" t="n">
        <f aca="false">SUM(E26:J26)</f>
        <v>652500</v>
      </c>
      <c r="L26" s="256" t="s">
        <v>163</v>
      </c>
      <c r="M26" s="94"/>
    </row>
    <row r="27" customFormat="false" ht="12.75" hidden="false" customHeight="true" outlineLevel="0" collapsed="false">
      <c r="A27" s="279"/>
      <c r="B27" s="280"/>
      <c r="C27" s="280"/>
      <c r="D27" s="281"/>
      <c r="E27" s="276"/>
      <c r="F27" s="277"/>
      <c r="G27" s="278"/>
      <c r="H27" s="277"/>
      <c r="I27" s="278"/>
      <c r="J27" s="277"/>
      <c r="K27" s="255" t="n">
        <f aca="false">SUM(E27:J27)</f>
        <v>0</v>
      </c>
      <c r="L27" s="256"/>
      <c r="M27" s="94"/>
    </row>
    <row r="28" customFormat="false" ht="12.75" hidden="false" customHeight="true" outlineLevel="0" collapsed="false">
      <c r="A28" s="282"/>
      <c r="B28" s="283" t="s">
        <v>164</v>
      </c>
      <c r="C28" s="282"/>
      <c r="D28" s="282"/>
      <c r="E28" s="272" t="n">
        <f aca="false">SUM(E26:E27)</f>
        <v>0</v>
      </c>
      <c r="F28" s="273" t="n">
        <f aca="false">SUM(F26:F27)</f>
        <v>130500</v>
      </c>
      <c r="G28" s="273" t="n">
        <f aca="false">SUM(G26:G27)</f>
        <v>130500</v>
      </c>
      <c r="H28" s="273" t="n">
        <f aca="false">SUM(H26:H27)</f>
        <v>130500</v>
      </c>
      <c r="I28" s="273" t="n">
        <f aca="false">SUM(I26:I27)</f>
        <v>130500</v>
      </c>
      <c r="J28" s="273" t="n">
        <f aca="false">SUM(J26:J27)</f>
        <v>130500</v>
      </c>
      <c r="K28" s="274" t="n">
        <f aca="false">SUM(K26:K27)</f>
        <v>652500</v>
      </c>
      <c r="L28" s="256"/>
      <c r="M28" s="94"/>
    </row>
    <row r="29" customFormat="false" ht="12.75" hidden="false" customHeight="true" outlineLevel="0" collapsed="false">
      <c r="A29" s="284"/>
      <c r="B29" s="284"/>
      <c r="C29" s="284"/>
      <c r="D29" s="284"/>
      <c r="E29" s="285"/>
      <c r="F29" s="285"/>
      <c r="G29" s="285"/>
      <c r="H29" s="285"/>
      <c r="I29" s="285"/>
      <c r="J29" s="285"/>
      <c r="K29" s="285"/>
      <c r="L29" s="286"/>
      <c r="M29" s="287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88"/>
      <c r="CC29" s="288"/>
      <c r="CD29" s="288"/>
      <c r="CE29" s="288"/>
      <c r="CF29" s="288"/>
      <c r="CG29" s="288"/>
      <c r="CH29" s="288"/>
      <c r="CI29" s="288"/>
      <c r="CJ29" s="288"/>
      <c r="CK29" s="288"/>
      <c r="CL29" s="288"/>
      <c r="CM29" s="288"/>
      <c r="CN29" s="288"/>
      <c r="CO29" s="288"/>
      <c r="CP29" s="288"/>
      <c r="CQ29" s="288"/>
      <c r="CR29" s="288"/>
      <c r="CS29" s="288"/>
      <c r="CT29" s="288"/>
      <c r="CU29" s="288"/>
      <c r="CV29" s="288"/>
      <c r="CW29" s="288"/>
      <c r="CX29" s="288"/>
      <c r="CY29" s="288"/>
      <c r="CZ29" s="288"/>
      <c r="DA29" s="288"/>
      <c r="DB29" s="288"/>
      <c r="DC29" s="288"/>
      <c r="DD29" s="288"/>
      <c r="DE29" s="288"/>
      <c r="DF29" s="288"/>
      <c r="DG29" s="288"/>
      <c r="DH29" s="288"/>
      <c r="DI29" s="288"/>
      <c r="DJ29" s="288"/>
      <c r="DK29" s="288"/>
      <c r="DL29" s="288"/>
      <c r="DM29" s="288"/>
      <c r="DN29" s="288"/>
      <c r="DO29" s="288"/>
      <c r="DP29" s="288"/>
      <c r="DQ29" s="288"/>
      <c r="DR29" s="288"/>
      <c r="DS29" s="288"/>
      <c r="DT29" s="288"/>
      <c r="DU29" s="288"/>
      <c r="DV29" s="288"/>
      <c r="DW29" s="288"/>
      <c r="DX29" s="288"/>
      <c r="DY29" s="288"/>
      <c r="DZ29" s="288"/>
      <c r="EA29" s="288"/>
      <c r="EB29" s="288"/>
      <c r="EC29" s="288"/>
      <c r="ED29" s="288"/>
      <c r="EE29" s="288"/>
      <c r="EF29" s="288"/>
      <c r="EG29" s="288"/>
      <c r="EH29" s="288"/>
      <c r="EI29" s="288"/>
      <c r="EJ29" s="288"/>
      <c r="EK29" s="288"/>
      <c r="EL29" s="288"/>
      <c r="EM29" s="288"/>
      <c r="EN29" s="288"/>
      <c r="EO29" s="288"/>
      <c r="EP29" s="288"/>
      <c r="EQ29" s="288"/>
      <c r="ER29" s="288"/>
      <c r="ES29" s="288"/>
      <c r="ET29" s="288"/>
      <c r="EU29" s="288"/>
      <c r="EV29" s="288"/>
      <c r="EW29" s="288"/>
      <c r="EX29" s="288"/>
      <c r="EY29" s="288"/>
      <c r="EZ29" s="288"/>
      <c r="FA29" s="288"/>
      <c r="FB29" s="288"/>
      <c r="FC29" s="288"/>
      <c r="FD29" s="288"/>
      <c r="FE29" s="288"/>
      <c r="FF29" s="288"/>
      <c r="FG29" s="288"/>
      <c r="FH29" s="288"/>
      <c r="FI29" s="288"/>
      <c r="FJ29" s="288"/>
      <c r="FK29" s="288"/>
      <c r="FL29" s="288"/>
      <c r="FM29" s="288"/>
      <c r="FN29" s="288"/>
      <c r="FO29" s="288"/>
      <c r="FP29" s="288"/>
      <c r="FQ29" s="288"/>
      <c r="FR29" s="288"/>
      <c r="FS29" s="288"/>
      <c r="FT29" s="288"/>
      <c r="FU29" s="288"/>
      <c r="FV29" s="288"/>
      <c r="FW29" s="288"/>
      <c r="FX29" s="288"/>
      <c r="FY29" s="288"/>
      <c r="FZ29" s="288"/>
      <c r="GA29" s="288"/>
      <c r="GB29" s="288"/>
      <c r="GC29" s="288"/>
      <c r="GD29" s="288"/>
      <c r="GE29" s="288"/>
      <c r="GF29" s="288"/>
      <c r="GG29" s="288"/>
      <c r="GH29" s="288"/>
      <c r="GI29" s="288"/>
      <c r="GJ29" s="288"/>
      <c r="GK29" s="288"/>
      <c r="GL29" s="288"/>
      <c r="GM29" s="288"/>
      <c r="GN29" s="288"/>
      <c r="GO29" s="288"/>
      <c r="GP29" s="288"/>
      <c r="GQ29" s="288"/>
      <c r="GR29" s="288"/>
      <c r="GS29" s="288"/>
      <c r="GT29" s="288"/>
      <c r="GU29" s="288"/>
      <c r="GV29" s="288"/>
      <c r="GW29" s="288"/>
      <c r="GX29" s="288"/>
      <c r="GY29" s="288"/>
      <c r="GZ29" s="288"/>
      <c r="HA29" s="288"/>
      <c r="HB29" s="288"/>
      <c r="HC29" s="288"/>
      <c r="HD29" s="288"/>
      <c r="HE29" s="288"/>
      <c r="HF29" s="288"/>
      <c r="HG29" s="288"/>
      <c r="HH29" s="288"/>
      <c r="HI29" s="288"/>
      <c r="HJ29" s="288"/>
      <c r="HK29" s="288"/>
      <c r="HL29" s="288"/>
      <c r="HM29" s="288"/>
      <c r="HN29" s="288"/>
      <c r="HO29" s="288"/>
      <c r="HP29" s="288"/>
      <c r="HQ29" s="288"/>
      <c r="HR29" s="288"/>
      <c r="HS29" s="288"/>
      <c r="HT29" s="288"/>
      <c r="HU29" s="288"/>
      <c r="HV29" s="288"/>
      <c r="HW29" s="288"/>
      <c r="HX29" s="288"/>
      <c r="HY29" s="288"/>
      <c r="HZ29" s="288"/>
      <c r="IA29" s="288"/>
      <c r="IB29" s="288"/>
      <c r="IC29" s="288"/>
      <c r="ID29" s="288"/>
      <c r="IE29" s="288"/>
      <c r="IF29" s="288"/>
      <c r="IG29" s="288"/>
      <c r="IH29" s="288"/>
      <c r="II29" s="288"/>
      <c r="IJ29" s="288"/>
      <c r="IK29" s="288"/>
      <c r="IL29" s="288"/>
      <c r="IM29" s="288"/>
      <c r="IN29" s="288"/>
      <c r="IO29" s="288"/>
      <c r="IP29" s="288"/>
      <c r="IQ29" s="288"/>
      <c r="IR29" s="288"/>
      <c r="IS29" s="288"/>
      <c r="IT29" s="288"/>
      <c r="IU29" s="288"/>
      <c r="IV29" s="288"/>
      <c r="IW29" s="288"/>
    </row>
    <row r="30" customFormat="false" ht="12.75" hidden="false" customHeight="true" outlineLevel="0" collapsed="false">
      <c r="A30" s="289" t="s">
        <v>165</v>
      </c>
      <c r="B30" s="290"/>
      <c r="C30" s="290"/>
      <c r="D30" s="290"/>
      <c r="E30" s="291" t="n">
        <f aca="false">E22+E28</f>
        <v>725000</v>
      </c>
      <c r="F30" s="292" t="n">
        <f aca="false">F22+F28</f>
        <v>130500</v>
      </c>
      <c r="G30" s="292" t="n">
        <f aca="false">G22+G28</f>
        <v>130500</v>
      </c>
      <c r="H30" s="292" t="n">
        <f aca="false">H22+H28</f>
        <v>130500</v>
      </c>
      <c r="I30" s="292" t="n">
        <f aca="false">I22+I28</f>
        <v>130500</v>
      </c>
      <c r="J30" s="292" t="n">
        <f aca="false">J22+J28</f>
        <v>130500</v>
      </c>
      <c r="K30" s="293" t="n">
        <f aca="false">K22+K28</f>
        <v>1787500</v>
      </c>
      <c r="L30" s="256"/>
      <c r="M30" s="94"/>
    </row>
    <row r="31" customFormat="false" ht="12.75" hidden="false" customHeight="true" outlineLevel="0" collapsed="false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256"/>
      <c r="M31" s="94"/>
    </row>
    <row r="32" customFormat="false" ht="12.75" hidden="false" customHeight="true" outlineLevel="0" collapsed="false">
      <c r="A32" s="294"/>
      <c r="B32" s="113"/>
      <c r="C32" s="113"/>
      <c r="D32" s="113"/>
      <c r="E32" s="295"/>
      <c r="F32" s="295"/>
      <c r="G32" s="295"/>
      <c r="H32" s="295"/>
      <c r="I32" s="295"/>
      <c r="J32" s="295"/>
      <c r="K32" s="295"/>
      <c r="L32" s="256"/>
      <c r="M32" s="94"/>
    </row>
    <row r="33" customFormat="false" ht="12.75" hidden="false" customHeight="true" outlineLevel="0" collapsed="false">
      <c r="A33" s="296" t="s">
        <v>166</v>
      </c>
      <c r="B33" s="243"/>
      <c r="C33" s="243"/>
      <c r="D33" s="244"/>
      <c r="E33" s="245"/>
      <c r="F33" s="246"/>
      <c r="G33" s="246"/>
      <c r="H33" s="246"/>
      <c r="I33" s="246"/>
      <c r="J33" s="246"/>
      <c r="K33" s="247"/>
      <c r="L33" s="256"/>
      <c r="M33" s="94"/>
    </row>
    <row r="34" customFormat="false" ht="12.75" hidden="false" customHeight="true" outlineLevel="0" collapsed="false">
      <c r="A34" s="250" t="s">
        <v>167</v>
      </c>
      <c r="B34" s="251"/>
      <c r="C34" s="251"/>
      <c r="D34" s="252"/>
      <c r="E34" s="257" t="n">
        <f aca="false">E30/2</f>
        <v>362500</v>
      </c>
      <c r="F34" s="258"/>
      <c r="G34" s="258"/>
      <c r="H34" s="258"/>
      <c r="I34" s="258"/>
      <c r="J34" s="258"/>
      <c r="K34" s="259" t="n">
        <f aca="false">SUM(E34:J34)</f>
        <v>362500</v>
      </c>
      <c r="L34" s="256" t="s">
        <v>9</v>
      </c>
      <c r="M34" s="94"/>
    </row>
    <row r="35" customFormat="false" ht="12.75" hidden="false" customHeight="true" outlineLevel="0" collapsed="false">
      <c r="A35" s="250" t="s">
        <v>168</v>
      </c>
      <c r="B35" s="251"/>
      <c r="C35" s="251"/>
      <c r="D35" s="252"/>
      <c r="E35" s="257"/>
      <c r="F35" s="257" t="n">
        <f aca="false">E34*0.2</f>
        <v>72500</v>
      </c>
      <c r="G35" s="257" t="n">
        <f aca="false">F35</f>
        <v>72500</v>
      </c>
      <c r="H35" s="257" t="n">
        <f aca="false">G35</f>
        <v>72500</v>
      </c>
      <c r="I35" s="257" t="n">
        <f aca="false">H35</f>
        <v>72500</v>
      </c>
      <c r="J35" s="257" t="n">
        <f aca="false">I35</f>
        <v>72500</v>
      </c>
      <c r="K35" s="259" t="n">
        <f aca="false">SUM(E35:J35)</f>
        <v>362500</v>
      </c>
      <c r="L35" s="256"/>
      <c r="M35" s="94"/>
    </row>
    <row r="36" customFormat="false" ht="12.75" hidden="false" customHeight="true" outlineLevel="0" collapsed="false">
      <c r="A36" s="297"/>
      <c r="B36" s="298" t="s">
        <v>169</v>
      </c>
      <c r="C36" s="299"/>
      <c r="D36" s="300"/>
      <c r="E36" s="301" t="n">
        <f aca="false">SUM(E34)</f>
        <v>362500</v>
      </c>
      <c r="F36" s="301" t="n">
        <f aca="false">F34+F35</f>
        <v>72500</v>
      </c>
      <c r="G36" s="301" t="n">
        <f aca="false">G34+G35</f>
        <v>72500</v>
      </c>
      <c r="H36" s="301" t="n">
        <f aca="false">H34+H35</f>
        <v>72500</v>
      </c>
      <c r="I36" s="301" t="n">
        <f aca="false">I34+I35</f>
        <v>72500</v>
      </c>
      <c r="J36" s="301" t="n">
        <f aca="false">J34+J35</f>
        <v>72500</v>
      </c>
      <c r="K36" s="302" t="n">
        <f aca="false">K35+K34</f>
        <v>725000</v>
      </c>
      <c r="L36" s="256"/>
      <c r="M36" s="94"/>
    </row>
    <row r="37" customFormat="false" ht="12.75" hidden="false" customHeight="true" outlineLevel="0" collapsed="false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256"/>
      <c r="M37" s="94"/>
    </row>
    <row r="38" customFormat="false" ht="12.75" hidden="false" customHeight="true" outlineLevel="0" collapsed="false">
      <c r="A38" s="294"/>
      <c r="B38" s="113"/>
      <c r="C38" s="113"/>
      <c r="D38" s="113"/>
      <c r="E38" s="295"/>
      <c r="F38" s="295"/>
      <c r="G38" s="295"/>
      <c r="H38" s="295"/>
      <c r="I38" s="295"/>
      <c r="J38" s="295"/>
      <c r="K38" s="295"/>
      <c r="L38" s="256"/>
      <c r="M38" s="94"/>
    </row>
    <row r="39" customFormat="false" ht="12.75" hidden="false" customHeight="true" outlineLevel="0" collapsed="false">
      <c r="A39" s="296" t="s">
        <v>126</v>
      </c>
      <c r="B39" s="243"/>
      <c r="C39" s="243"/>
      <c r="D39" s="244"/>
      <c r="E39" s="245"/>
      <c r="F39" s="246"/>
      <c r="G39" s="246"/>
      <c r="H39" s="246"/>
      <c r="I39" s="246"/>
      <c r="J39" s="246"/>
      <c r="K39" s="247"/>
      <c r="L39" s="256"/>
      <c r="M39" s="94"/>
    </row>
    <row r="40" customFormat="false" ht="12.75" hidden="false" customHeight="true" outlineLevel="0" collapsed="false">
      <c r="A40" s="250" t="s">
        <v>9</v>
      </c>
      <c r="B40" s="251"/>
      <c r="C40" s="251"/>
      <c r="D40" s="252"/>
      <c r="E40" s="257" t="s">
        <v>9</v>
      </c>
      <c r="F40" s="258"/>
      <c r="G40" s="258"/>
      <c r="H40" s="258"/>
      <c r="I40" s="258"/>
      <c r="J40" s="258"/>
      <c r="K40" s="259" t="n">
        <f aca="false">SUM(E40:J40)</f>
        <v>0</v>
      </c>
      <c r="L40" s="256" t="s">
        <v>9</v>
      </c>
      <c r="M40" s="94"/>
    </row>
    <row r="41" customFormat="false" ht="12.75" hidden="false" customHeight="true" outlineLevel="0" collapsed="false">
      <c r="A41" s="250" t="s">
        <v>9</v>
      </c>
      <c r="B41" s="251"/>
      <c r="C41" s="251"/>
      <c r="D41" s="252"/>
      <c r="E41" s="261" t="s">
        <v>9</v>
      </c>
      <c r="F41" s="262"/>
      <c r="G41" s="262"/>
      <c r="H41" s="262"/>
      <c r="I41" s="262"/>
      <c r="J41" s="262"/>
      <c r="K41" s="267" t="n">
        <f aca="false">SUM(E41:J41)</f>
        <v>0</v>
      </c>
      <c r="L41" s="256" t="s">
        <v>9</v>
      </c>
      <c r="M41" s="94"/>
    </row>
    <row r="42" customFormat="false" ht="12.75" hidden="false" customHeight="true" outlineLevel="0" collapsed="false">
      <c r="A42" s="279"/>
      <c r="B42" s="280"/>
      <c r="C42" s="280"/>
      <c r="D42" s="281"/>
      <c r="E42" s="261"/>
      <c r="F42" s="262"/>
      <c r="G42" s="262"/>
      <c r="H42" s="262"/>
      <c r="I42" s="262"/>
      <c r="J42" s="262"/>
      <c r="K42" s="267" t="n">
        <f aca="false">SUM(E42:J42)</f>
        <v>0</v>
      </c>
      <c r="L42" s="256"/>
      <c r="M42" s="94"/>
    </row>
    <row r="43" customFormat="false" ht="12.75" hidden="false" customHeight="true" outlineLevel="0" collapsed="false">
      <c r="A43" s="297"/>
      <c r="B43" s="298" t="s">
        <v>170</v>
      </c>
      <c r="C43" s="299"/>
      <c r="D43" s="300"/>
      <c r="E43" s="272" t="n">
        <f aca="false">SUM(E40:E42)</f>
        <v>0</v>
      </c>
      <c r="F43" s="273" t="n">
        <f aca="false">SUM(F40:F42)</f>
        <v>0</v>
      </c>
      <c r="G43" s="273" t="n">
        <f aca="false">SUM(G40:G42)</f>
        <v>0</v>
      </c>
      <c r="H43" s="273" t="n">
        <f aca="false">SUM(H40:H42)</f>
        <v>0</v>
      </c>
      <c r="I43" s="273" t="n">
        <f aca="false">SUM(I40:I42)</f>
        <v>0</v>
      </c>
      <c r="J43" s="273" t="n">
        <f aca="false">SUM(J40:J42)</f>
        <v>0</v>
      </c>
      <c r="K43" s="274" t="n">
        <f aca="false">SUM(K40:K42)</f>
        <v>0</v>
      </c>
      <c r="L43" s="256"/>
      <c r="M43" s="94"/>
    </row>
    <row r="44" customFormat="false" ht="12.75" hidden="false" customHeight="true" outlineLevel="0" collapsed="false">
      <c r="A44" s="303"/>
      <c r="B44" s="284"/>
      <c r="C44" s="303"/>
      <c r="D44" s="284"/>
      <c r="E44" s="285"/>
      <c r="F44" s="285"/>
      <c r="G44" s="285"/>
      <c r="H44" s="285"/>
      <c r="I44" s="285"/>
      <c r="J44" s="285"/>
      <c r="K44" s="285"/>
      <c r="L44" s="286"/>
      <c r="M44" s="287"/>
      <c r="N44" s="288"/>
      <c r="O44" s="288"/>
      <c r="P44" s="288"/>
      <c r="Q44" s="288"/>
      <c r="R44" s="288"/>
      <c r="S44" s="288"/>
      <c r="T44" s="288"/>
      <c r="U44" s="288"/>
      <c r="V44" s="288"/>
      <c r="W44" s="288"/>
      <c r="X44" s="288"/>
      <c r="Y44" s="288"/>
      <c r="Z44" s="288"/>
      <c r="AA44" s="288"/>
      <c r="AB44" s="288"/>
      <c r="AC44" s="288"/>
      <c r="AD44" s="288"/>
      <c r="AE44" s="288"/>
      <c r="AF44" s="288"/>
      <c r="AG44" s="288"/>
      <c r="AH44" s="288"/>
      <c r="AI44" s="288"/>
      <c r="AJ44" s="288"/>
      <c r="AK44" s="288"/>
      <c r="AL44" s="288"/>
      <c r="AM44" s="288"/>
      <c r="AN44" s="288"/>
      <c r="AO44" s="288"/>
      <c r="AP44" s="288"/>
      <c r="AQ44" s="288"/>
      <c r="AR44" s="288"/>
      <c r="AS44" s="288"/>
      <c r="AT44" s="288"/>
      <c r="AU44" s="288"/>
      <c r="AV44" s="288"/>
      <c r="AW44" s="288"/>
      <c r="AX44" s="288"/>
      <c r="AY44" s="288"/>
      <c r="AZ44" s="288"/>
      <c r="BA44" s="288"/>
      <c r="BB44" s="288"/>
      <c r="BC44" s="288"/>
      <c r="BD44" s="288"/>
      <c r="BE44" s="288"/>
      <c r="BF44" s="288"/>
      <c r="BG44" s="288"/>
      <c r="BH44" s="288"/>
      <c r="BI44" s="288"/>
      <c r="BJ44" s="288"/>
      <c r="BK44" s="288"/>
      <c r="BL44" s="288"/>
      <c r="BM44" s="288"/>
      <c r="BN44" s="288"/>
      <c r="BO44" s="288"/>
      <c r="BP44" s="288"/>
      <c r="BQ44" s="288"/>
      <c r="BR44" s="288"/>
      <c r="BS44" s="288"/>
      <c r="BT44" s="288"/>
      <c r="BU44" s="288"/>
      <c r="BV44" s="288"/>
      <c r="BW44" s="288"/>
      <c r="BX44" s="288"/>
      <c r="BY44" s="288"/>
      <c r="BZ44" s="288"/>
      <c r="CA44" s="288"/>
      <c r="CB44" s="288"/>
      <c r="CC44" s="288"/>
      <c r="CD44" s="288"/>
      <c r="CE44" s="288"/>
      <c r="CF44" s="288"/>
      <c r="CG44" s="288"/>
      <c r="CH44" s="288"/>
      <c r="CI44" s="288"/>
      <c r="CJ44" s="288"/>
      <c r="CK44" s="288"/>
      <c r="CL44" s="288"/>
      <c r="CM44" s="288"/>
      <c r="CN44" s="288"/>
      <c r="CO44" s="288"/>
      <c r="CP44" s="288"/>
      <c r="CQ44" s="288"/>
      <c r="CR44" s="288"/>
      <c r="CS44" s="288"/>
      <c r="CT44" s="288"/>
      <c r="CU44" s="288"/>
      <c r="CV44" s="288"/>
      <c r="CW44" s="288"/>
      <c r="CX44" s="288"/>
      <c r="CY44" s="288"/>
      <c r="CZ44" s="288"/>
      <c r="DA44" s="288"/>
      <c r="DB44" s="288"/>
      <c r="DC44" s="288"/>
      <c r="DD44" s="288"/>
      <c r="DE44" s="288"/>
      <c r="DF44" s="288"/>
      <c r="DG44" s="288"/>
      <c r="DH44" s="288"/>
      <c r="DI44" s="288"/>
      <c r="DJ44" s="288"/>
      <c r="DK44" s="288"/>
      <c r="DL44" s="288"/>
      <c r="DM44" s="288"/>
      <c r="DN44" s="288"/>
      <c r="DO44" s="288"/>
      <c r="DP44" s="288"/>
      <c r="DQ44" s="288"/>
      <c r="DR44" s="288"/>
      <c r="DS44" s="288"/>
      <c r="DT44" s="288"/>
      <c r="DU44" s="288"/>
      <c r="DV44" s="288"/>
      <c r="DW44" s="288"/>
      <c r="DX44" s="288"/>
      <c r="DY44" s="288"/>
      <c r="DZ44" s="288"/>
      <c r="EA44" s="288"/>
      <c r="EB44" s="288"/>
      <c r="EC44" s="288"/>
      <c r="ED44" s="288"/>
      <c r="EE44" s="288"/>
      <c r="EF44" s="288"/>
      <c r="EG44" s="288"/>
      <c r="EH44" s="288"/>
      <c r="EI44" s="288"/>
      <c r="EJ44" s="288"/>
      <c r="EK44" s="288"/>
      <c r="EL44" s="288"/>
      <c r="EM44" s="288"/>
      <c r="EN44" s="288"/>
      <c r="EO44" s="288"/>
      <c r="EP44" s="288"/>
      <c r="EQ44" s="288"/>
      <c r="ER44" s="288"/>
      <c r="ES44" s="288"/>
      <c r="ET44" s="288"/>
      <c r="EU44" s="288"/>
      <c r="EV44" s="288"/>
      <c r="EW44" s="288"/>
      <c r="EX44" s="288"/>
      <c r="EY44" s="288"/>
      <c r="EZ44" s="288"/>
      <c r="FA44" s="288"/>
      <c r="FB44" s="288"/>
      <c r="FC44" s="288"/>
      <c r="FD44" s="288"/>
      <c r="FE44" s="288"/>
      <c r="FF44" s="288"/>
      <c r="FG44" s="288"/>
      <c r="FH44" s="288"/>
      <c r="FI44" s="288"/>
      <c r="FJ44" s="288"/>
      <c r="FK44" s="288"/>
      <c r="FL44" s="288"/>
      <c r="FM44" s="288"/>
      <c r="FN44" s="288"/>
      <c r="FO44" s="288"/>
      <c r="FP44" s="288"/>
      <c r="FQ44" s="288"/>
      <c r="FR44" s="288"/>
      <c r="FS44" s="288"/>
      <c r="FT44" s="288"/>
      <c r="FU44" s="288"/>
      <c r="FV44" s="288"/>
      <c r="FW44" s="288"/>
      <c r="FX44" s="288"/>
      <c r="FY44" s="288"/>
      <c r="FZ44" s="288"/>
      <c r="GA44" s="288"/>
      <c r="GB44" s="288"/>
      <c r="GC44" s="288"/>
      <c r="GD44" s="288"/>
      <c r="GE44" s="288"/>
      <c r="GF44" s="288"/>
      <c r="GG44" s="288"/>
      <c r="GH44" s="288"/>
      <c r="GI44" s="288"/>
      <c r="GJ44" s="288"/>
      <c r="GK44" s="288"/>
      <c r="GL44" s="288"/>
      <c r="GM44" s="288"/>
      <c r="GN44" s="288"/>
      <c r="GO44" s="288"/>
      <c r="GP44" s="288"/>
      <c r="GQ44" s="288"/>
      <c r="GR44" s="288"/>
      <c r="GS44" s="288"/>
      <c r="GT44" s="288"/>
      <c r="GU44" s="288"/>
      <c r="GV44" s="288"/>
      <c r="GW44" s="288"/>
      <c r="GX44" s="288"/>
      <c r="GY44" s="288"/>
      <c r="GZ44" s="288"/>
      <c r="HA44" s="288"/>
      <c r="HB44" s="288"/>
      <c r="HC44" s="288"/>
      <c r="HD44" s="288"/>
      <c r="HE44" s="288"/>
      <c r="HF44" s="288"/>
      <c r="HG44" s="288"/>
      <c r="HH44" s="288"/>
      <c r="HI44" s="288"/>
      <c r="HJ44" s="288"/>
      <c r="HK44" s="288"/>
      <c r="HL44" s="288"/>
      <c r="HM44" s="288"/>
      <c r="HN44" s="288"/>
      <c r="HO44" s="288"/>
      <c r="HP44" s="288"/>
      <c r="HQ44" s="288"/>
      <c r="HR44" s="288"/>
      <c r="HS44" s="288"/>
      <c r="HT44" s="288"/>
      <c r="HU44" s="288"/>
      <c r="HV44" s="288"/>
      <c r="HW44" s="288"/>
      <c r="HX44" s="288"/>
      <c r="HY44" s="288"/>
      <c r="HZ44" s="288"/>
      <c r="IA44" s="288"/>
      <c r="IB44" s="288"/>
      <c r="IC44" s="288"/>
      <c r="ID44" s="288"/>
      <c r="IE44" s="288"/>
      <c r="IF44" s="288"/>
      <c r="IG44" s="288"/>
      <c r="IH44" s="288"/>
      <c r="II44" s="288"/>
      <c r="IJ44" s="288"/>
      <c r="IK44" s="288"/>
      <c r="IL44" s="288"/>
      <c r="IM44" s="288"/>
      <c r="IN44" s="288"/>
      <c r="IO44" s="288"/>
      <c r="IP44" s="288"/>
      <c r="IQ44" s="288"/>
      <c r="IR44" s="288"/>
      <c r="IS44" s="288"/>
      <c r="IT44" s="288"/>
      <c r="IU44" s="288"/>
      <c r="IV44" s="288"/>
      <c r="IW44" s="288"/>
    </row>
    <row r="45" customFormat="false" ht="12.75" hidden="false" customHeight="true" outlineLevel="0" collapsed="false">
      <c r="A45" s="289" t="s">
        <v>171</v>
      </c>
      <c r="B45" s="290"/>
      <c r="C45" s="290"/>
      <c r="D45" s="290"/>
      <c r="E45" s="291" t="n">
        <f aca="false">E36+E43</f>
        <v>362500</v>
      </c>
      <c r="F45" s="291" t="n">
        <f aca="false">F36+F43</f>
        <v>72500</v>
      </c>
      <c r="G45" s="291" t="n">
        <f aca="false">G36+G43</f>
        <v>72500</v>
      </c>
      <c r="H45" s="291" t="n">
        <f aca="false">H36+H43</f>
        <v>72500</v>
      </c>
      <c r="I45" s="291" t="n">
        <f aca="false">I36+I43</f>
        <v>72500</v>
      </c>
      <c r="J45" s="291" t="n">
        <f aca="false">J36+J43</f>
        <v>72500</v>
      </c>
      <c r="K45" s="291" t="n">
        <f aca="false">K36+K43</f>
        <v>725000</v>
      </c>
      <c r="L45" s="286"/>
      <c r="M45" s="287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P45" s="288"/>
      <c r="AQ45" s="288"/>
      <c r="AR45" s="288"/>
      <c r="AS45" s="288"/>
      <c r="AT45" s="288"/>
      <c r="AU45" s="288"/>
      <c r="AV45" s="288"/>
      <c r="AW45" s="288"/>
      <c r="AX45" s="288"/>
      <c r="AY45" s="288"/>
      <c r="AZ45" s="288"/>
      <c r="BA45" s="288"/>
      <c r="BB45" s="288"/>
      <c r="BC45" s="288"/>
      <c r="BD45" s="288"/>
      <c r="BE45" s="288"/>
      <c r="BF45" s="288"/>
      <c r="BG45" s="288"/>
      <c r="BH45" s="288"/>
      <c r="BI45" s="288"/>
      <c r="BJ45" s="288"/>
      <c r="BK45" s="288"/>
      <c r="BL45" s="288"/>
      <c r="BM45" s="288"/>
      <c r="BN45" s="288"/>
      <c r="BO45" s="288"/>
      <c r="BP45" s="288"/>
      <c r="BQ45" s="288"/>
      <c r="BR45" s="288"/>
      <c r="BS45" s="288"/>
      <c r="BT45" s="288"/>
      <c r="BU45" s="288"/>
      <c r="BV45" s="288"/>
      <c r="BW45" s="288"/>
      <c r="BX45" s="288"/>
      <c r="BY45" s="288"/>
      <c r="BZ45" s="288"/>
      <c r="CA45" s="288"/>
      <c r="CB45" s="288"/>
      <c r="CC45" s="288"/>
      <c r="CD45" s="288"/>
      <c r="CE45" s="288"/>
      <c r="CF45" s="288"/>
      <c r="CG45" s="288"/>
      <c r="CH45" s="288"/>
      <c r="CI45" s="288"/>
      <c r="CJ45" s="288"/>
      <c r="CK45" s="288"/>
      <c r="CL45" s="288"/>
      <c r="CM45" s="288"/>
      <c r="CN45" s="288"/>
      <c r="CO45" s="288"/>
      <c r="CP45" s="288"/>
      <c r="CQ45" s="288"/>
      <c r="CR45" s="288"/>
      <c r="CS45" s="288"/>
      <c r="CT45" s="288"/>
      <c r="CU45" s="288"/>
      <c r="CV45" s="288"/>
      <c r="CW45" s="288"/>
      <c r="CX45" s="288"/>
      <c r="CY45" s="288"/>
      <c r="CZ45" s="288"/>
      <c r="DA45" s="288"/>
      <c r="DB45" s="288"/>
      <c r="DC45" s="288"/>
      <c r="DD45" s="288"/>
      <c r="DE45" s="288"/>
      <c r="DF45" s="288"/>
      <c r="DG45" s="288"/>
      <c r="DH45" s="288"/>
      <c r="DI45" s="288"/>
      <c r="DJ45" s="288"/>
      <c r="DK45" s="288"/>
      <c r="DL45" s="288"/>
      <c r="DM45" s="288"/>
      <c r="DN45" s="288"/>
      <c r="DO45" s="288"/>
      <c r="DP45" s="288"/>
      <c r="DQ45" s="288"/>
      <c r="DR45" s="288"/>
      <c r="DS45" s="288"/>
      <c r="DT45" s="288"/>
      <c r="DU45" s="288"/>
      <c r="DV45" s="288"/>
      <c r="DW45" s="288"/>
      <c r="DX45" s="288"/>
      <c r="DY45" s="288"/>
      <c r="DZ45" s="288"/>
      <c r="EA45" s="288"/>
      <c r="EB45" s="288"/>
      <c r="EC45" s="288"/>
      <c r="ED45" s="288"/>
      <c r="EE45" s="288"/>
      <c r="EF45" s="288"/>
      <c r="EG45" s="288"/>
      <c r="EH45" s="288"/>
      <c r="EI45" s="288"/>
      <c r="EJ45" s="288"/>
      <c r="EK45" s="288"/>
      <c r="EL45" s="288"/>
      <c r="EM45" s="288"/>
      <c r="EN45" s="288"/>
      <c r="EO45" s="288"/>
      <c r="EP45" s="288"/>
      <c r="EQ45" s="288"/>
      <c r="ER45" s="288"/>
      <c r="ES45" s="288"/>
      <c r="ET45" s="288"/>
      <c r="EU45" s="288"/>
      <c r="EV45" s="288"/>
      <c r="EW45" s="288"/>
      <c r="EX45" s="288"/>
      <c r="EY45" s="288"/>
      <c r="EZ45" s="288"/>
      <c r="FA45" s="288"/>
      <c r="FB45" s="288"/>
      <c r="FC45" s="288"/>
      <c r="FD45" s="288"/>
      <c r="FE45" s="288"/>
      <c r="FF45" s="288"/>
      <c r="FG45" s="288"/>
      <c r="FH45" s="288"/>
      <c r="FI45" s="288"/>
      <c r="FJ45" s="288"/>
      <c r="FK45" s="288"/>
      <c r="FL45" s="288"/>
      <c r="FM45" s="288"/>
      <c r="FN45" s="288"/>
      <c r="FO45" s="288"/>
      <c r="FP45" s="288"/>
      <c r="FQ45" s="288"/>
      <c r="FR45" s="288"/>
      <c r="FS45" s="288"/>
      <c r="FT45" s="288"/>
      <c r="FU45" s="288"/>
      <c r="FV45" s="288"/>
      <c r="FW45" s="288"/>
      <c r="FX45" s="288"/>
      <c r="FY45" s="288"/>
      <c r="FZ45" s="288"/>
      <c r="GA45" s="288"/>
      <c r="GB45" s="288"/>
      <c r="GC45" s="288"/>
      <c r="GD45" s="288"/>
      <c r="GE45" s="288"/>
      <c r="GF45" s="288"/>
      <c r="GG45" s="288"/>
      <c r="GH45" s="288"/>
      <c r="GI45" s="288"/>
      <c r="GJ45" s="288"/>
      <c r="GK45" s="288"/>
      <c r="GL45" s="288"/>
      <c r="GM45" s="288"/>
      <c r="GN45" s="288"/>
      <c r="GO45" s="288"/>
      <c r="GP45" s="288"/>
      <c r="GQ45" s="288"/>
      <c r="GR45" s="288"/>
      <c r="GS45" s="288"/>
      <c r="GT45" s="288"/>
      <c r="GU45" s="288"/>
      <c r="GV45" s="288"/>
      <c r="GW45" s="288"/>
      <c r="GX45" s="288"/>
      <c r="GY45" s="288"/>
      <c r="GZ45" s="288"/>
      <c r="HA45" s="288"/>
      <c r="HB45" s="288"/>
      <c r="HC45" s="288"/>
      <c r="HD45" s="288"/>
      <c r="HE45" s="288"/>
      <c r="HF45" s="288"/>
      <c r="HG45" s="288"/>
      <c r="HH45" s="288"/>
      <c r="HI45" s="288"/>
      <c r="HJ45" s="288"/>
      <c r="HK45" s="288"/>
      <c r="HL45" s="288"/>
      <c r="HM45" s="288"/>
      <c r="HN45" s="288"/>
      <c r="HO45" s="288"/>
      <c r="HP45" s="288"/>
      <c r="HQ45" s="288"/>
      <c r="HR45" s="288"/>
      <c r="HS45" s="288"/>
      <c r="HT45" s="288"/>
      <c r="HU45" s="288"/>
      <c r="HV45" s="288"/>
      <c r="HW45" s="288"/>
      <c r="HX45" s="288"/>
      <c r="HY45" s="288"/>
      <c r="HZ45" s="288"/>
      <c r="IA45" s="288"/>
      <c r="IB45" s="288"/>
      <c r="IC45" s="288"/>
      <c r="ID45" s="288"/>
      <c r="IE45" s="288"/>
      <c r="IF45" s="288"/>
      <c r="IG45" s="288"/>
      <c r="IH45" s="288"/>
      <c r="II45" s="288"/>
      <c r="IJ45" s="288"/>
      <c r="IK45" s="288"/>
      <c r="IL45" s="288"/>
      <c r="IM45" s="288"/>
      <c r="IN45" s="288"/>
      <c r="IO45" s="288"/>
      <c r="IP45" s="288"/>
      <c r="IQ45" s="288"/>
      <c r="IR45" s="288"/>
      <c r="IS45" s="288"/>
      <c r="IT45" s="288"/>
      <c r="IU45" s="288"/>
      <c r="IV45" s="288"/>
      <c r="IW45" s="288"/>
    </row>
    <row r="46" customFormat="false" ht="12.75" hidden="false" customHeight="true" outlineLevel="0" collapsed="false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256"/>
      <c r="M46" s="94"/>
    </row>
    <row r="47" customFormat="false" ht="12.75" hidden="false" customHeight="true" outlineLevel="0" collapsed="false">
      <c r="A47" s="304"/>
      <c r="B47" s="305" t="s">
        <v>172</v>
      </c>
      <c r="C47" s="306"/>
      <c r="D47" s="300"/>
      <c r="E47" s="307" t="n">
        <f aca="false">E30+E45</f>
        <v>1087500</v>
      </c>
      <c r="F47" s="308" t="n">
        <f aca="false">F30+F45</f>
        <v>203000</v>
      </c>
      <c r="G47" s="308" t="n">
        <f aca="false">G30+G45</f>
        <v>203000</v>
      </c>
      <c r="H47" s="308" t="n">
        <f aca="false">H30+H45</f>
        <v>203000</v>
      </c>
      <c r="I47" s="308" t="n">
        <f aca="false">I30+I45</f>
        <v>203000</v>
      </c>
      <c r="J47" s="308" t="n">
        <f aca="false">J30+J45</f>
        <v>203000</v>
      </c>
      <c r="K47" s="309" t="n">
        <f aca="false">K30+K45</f>
        <v>2512500</v>
      </c>
      <c r="L47" s="310"/>
      <c r="M47" s="311"/>
    </row>
  </sheetData>
  <mergeCells count="1">
    <mergeCell ref="A2:K2"/>
  </mergeCells>
  <printOptions headings="false" gridLines="true" gridLinesSet="true" horizontalCentered="false" verticalCentered="false"/>
  <pageMargins left="0.5" right="0.5" top="0.5" bottom="0.5" header="0.2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&amp;LConfidential&amp;R&amp;D</oddHeader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7" topLeftCell="B32" activePane="bottomRight" state="frozen"/>
      <selection pane="topLeft" activeCell="A1" activeCellId="0" sqref="A1"/>
      <selection pane="topRight" activeCell="B1" activeCellId="0" sqref="B1"/>
      <selection pane="bottomLeft" activeCell="A32" activeCellId="0" sqref="A32"/>
      <selection pane="bottomRight" activeCell="H42" activeCellId="0" sqref="H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12" width="33.41"/>
    <col collapsed="false" customWidth="true" hidden="false" outlineLevel="0" max="2" min="2" style="312" width="12.85"/>
    <col collapsed="false" customWidth="true" hidden="false" outlineLevel="0" max="3" min="3" style="0" width="4.56"/>
    <col collapsed="false" customWidth="true" hidden="false" outlineLevel="0" max="4" min="4" style="312" width="12.85"/>
    <col collapsed="false" customWidth="true" hidden="false" outlineLevel="0" max="5" min="5" style="312" width="4.28"/>
    <col collapsed="false" customWidth="true" hidden="false" outlineLevel="0" max="6" min="6" style="312" width="14.56"/>
    <col collapsed="false" customWidth="true" hidden="false" outlineLevel="0" max="7" min="7" style="312" width="12.14"/>
    <col collapsed="false" customWidth="true" hidden="false" outlineLevel="0" max="8" min="8" style="312" width="11.85"/>
    <col collapsed="false" customWidth="true" hidden="false" outlineLevel="0" max="9" min="9" style="312" width="3.42"/>
    <col collapsed="false" customWidth="true" hidden="false" outlineLevel="0" max="12" min="10" style="312" width="12.85"/>
    <col collapsed="false" customWidth="false" hidden="false" outlineLevel="0" max="257" min="13" style="312" width="9.14"/>
  </cols>
  <sheetData>
    <row r="1" customFormat="false" ht="13.5" hidden="false" customHeight="false" outlineLevel="0" collapsed="false">
      <c r="A1" s="313" t="s">
        <v>173</v>
      </c>
    </row>
    <row r="2" customFormat="false" ht="13.5" hidden="false" customHeight="false" outlineLevel="0" collapsed="false">
      <c r="A2" s="313" t="s">
        <v>174</v>
      </c>
      <c r="D2" s="314" t="s">
        <v>175</v>
      </c>
    </row>
    <row r="3" customFormat="false" ht="12.75" hidden="false" customHeight="false" outlineLevel="0" collapsed="false">
      <c r="A3" s="313" t="s">
        <v>176</v>
      </c>
    </row>
    <row r="4" customFormat="false" ht="12.75" hidden="false" customHeight="false" outlineLevel="0" collapsed="false">
      <c r="A4" s="0"/>
      <c r="F4" s="315" t="s">
        <v>177</v>
      </c>
      <c r="G4" s="315"/>
      <c r="H4" s="315"/>
      <c r="J4" s="315" t="s">
        <v>178</v>
      </c>
      <c r="K4" s="315"/>
      <c r="L4" s="315"/>
    </row>
    <row r="5" customFormat="false" ht="12.75" hidden="false" customHeight="false" outlineLevel="0" collapsed="false">
      <c r="B5" s="316" t="s">
        <v>179</v>
      </c>
      <c r="D5" s="316" t="s">
        <v>180</v>
      </c>
      <c r="E5" s="316"/>
      <c r="F5" s="316"/>
    </row>
    <row r="6" customFormat="false" ht="12.75" hidden="false" customHeight="false" outlineLevel="0" collapsed="false">
      <c r="B6" s="316" t="s">
        <v>181</v>
      </c>
      <c r="D6" s="316" t="s">
        <v>181</v>
      </c>
      <c r="E6" s="316"/>
      <c r="F6" s="316" t="s">
        <v>1</v>
      </c>
      <c r="G6" s="316" t="s">
        <v>30</v>
      </c>
      <c r="H6" s="316" t="s">
        <v>31</v>
      </c>
      <c r="J6" s="316" t="s">
        <v>1</v>
      </c>
      <c r="K6" s="316" t="s">
        <v>30</v>
      </c>
      <c r="L6" s="316" t="s">
        <v>31</v>
      </c>
    </row>
    <row r="7" customFormat="false" ht="12.75" hidden="false" customHeight="false" outlineLevel="0" collapsed="false">
      <c r="B7" s="317" t="n">
        <v>12</v>
      </c>
      <c r="D7" s="317" t="s">
        <v>9</v>
      </c>
      <c r="E7" s="317"/>
      <c r="F7" s="317" t="s">
        <v>182</v>
      </c>
      <c r="G7" s="317" t="s">
        <v>182</v>
      </c>
      <c r="H7" s="317" t="s">
        <v>183</v>
      </c>
      <c r="J7" s="317" t="s">
        <v>182</v>
      </c>
      <c r="K7" s="317" t="s">
        <v>182</v>
      </c>
      <c r="L7" s="317" t="s">
        <v>183</v>
      </c>
    </row>
    <row r="8" customFormat="false" ht="12.75" hidden="false" customHeight="false" outlineLevel="0" collapsed="false">
      <c r="A8" s="312" t="s">
        <v>184</v>
      </c>
      <c r="B8" s="318" t="n">
        <v>10801000000</v>
      </c>
      <c r="D8" s="319" t="n">
        <f aca="false">B8/$B$7*12</f>
        <v>10801000000</v>
      </c>
      <c r="E8" s="320"/>
      <c r="F8" s="321" t="n">
        <f aca="false">+R1!H20+R2!H18</f>
        <v>0</v>
      </c>
      <c r="G8" s="321" t="n">
        <f aca="false">+R1!J20+R2!J18</f>
        <v>0</v>
      </c>
      <c r="H8" s="321" t="n">
        <f aca="false">+R1!L20+R2!L18</f>
        <v>0</v>
      </c>
      <c r="J8" s="322" t="n">
        <f aca="false">$D8+F8</f>
        <v>10801000000</v>
      </c>
      <c r="K8" s="322" t="n">
        <f aca="false">$D8+G8</f>
        <v>10801000000</v>
      </c>
      <c r="L8" s="322" t="n">
        <f aca="false">$D8+H8</f>
        <v>10801000000</v>
      </c>
    </row>
    <row r="9" customFormat="false" ht="12.75" hidden="false" customHeight="false" outlineLevel="0" collapsed="false">
      <c r="A9" s="312" t="s">
        <v>185</v>
      </c>
      <c r="B9" s="318" t="n">
        <v>1113000000</v>
      </c>
      <c r="D9" s="319" t="n">
        <f aca="false">B9/$B$7*12</f>
        <v>1113000000</v>
      </c>
      <c r="E9" s="320"/>
      <c r="F9" s="320" t="n">
        <v>0</v>
      </c>
      <c r="G9" s="320" t="n">
        <v>0</v>
      </c>
      <c r="H9" s="320" t="n">
        <v>0</v>
      </c>
      <c r="J9" s="322" t="n">
        <f aca="false">$D9+F9</f>
        <v>1113000000</v>
      </c>
      <c r="K9" s="322" t="n">
        <f aca="false">$D9+G9</f>
        <v>1113000000</v>
      </c>
      <c r="L9" s="322" t="n">
        <f aca="false">$D9+H8</f>
        <v>1113000000</v>
      </c>
    </row>
    <row r="10" customFormat="false" ht="12.75" hidden="false" customHeight="false" outlineLevel="0" collapsed="false">
      <c r="B10" s="320"/>
      <c r="D10" s="320"/>
      <c r="E10" s="320"/>
      <c r="J10" s="322"/>
      <c r="K10" s="322"/>
      <c r="L10" s="322"/>
    </row>
    <row r="11" customFormat="false" ht="12.75" hidden="false" customHeight="false" outlineLevel="0" collapsed="false">
      <c r="A11" s="312" t="s">
        <v>9</v>
      </c>
      <c r="B11" s="320" t="n">
        <v>0</v>
      </c>
      <c r="D11" s="320" t="n">
        <f aca="false">B11*2</f>
        <v>0</v>
      </c>
      <c r="E11" s="320"/>
      <c r="J11" s="322" t="n">
        <f aca="false">$D11+F11</f>
        <v>0</v>
      </c>
      <c r="K11" s="322" t="n">
        <f aca="false">$D11+G11</f>
        <v>0</v>
      </c>
      <c r="L11" s="322" t="n">
        <f aca="false">$D11+H11</f>
        <v>0</v>
      </c>
    </row>
    <row r="12" customFormat="false" ht="12.75" hidden="false" customHeight="false" outlineLevel="0" collapsed="false">
      <c r="A12" s="312" t="s">
        <v>9</v>
      </c>
      <c r="B12" s="320" t="s">
        <v>9</v>
      </c>
      <c r="D12" s="320" t="s">
        <v>9</v>
      </c>
      <c r="E12" s="320"/>
      <c r="F12" s="320"/>
      <c r="J12" s="322" t="s">
        <v>9</v>
      </c>
      <c r="K12" s="322" t="s">
        <v>9</v>
      </c>
      <c r="L12" s="322" t="s">
        <v>9</v>
      </c>
    </row>
    <row r="13" customFormat="false" ht="15" hidden="false" customHeight="false" outlineLevel="0" collapsed="false">
      <c r="A13" s="312" t="s">
        <v>186</v>
      </c>
      <c r="B13" s="323" t="n">
        <v>0</v>
      </c>
      <c r="D13" s="323" t="n">
        <v>0</v>
      </c>
      <c r="E13" s="323"/>
      <c r="F13" s="324"/>
      <c r="G13" s="325"/>
      <c r="H13" s="325"/>
      <c r="J13" s="326" t="n">
        <f aca="false">$D13+F13</f>
        <v>0</v>
      </c>
      <c r="K13" s="326" t="n">
        <f aca="false">$D13+G13</f>
        <v>0</v>
      </c>
      <c r="L13" s="326" t="n">
        <f aca="false">$D13+H13</f>
        <v>0</v>
      </c>
    </row>
    <row r="14" customFormat="false" ht="12.75" hidden="false" customHeight="false" outlineLevel="0" collapsed="false">
      <c r="B14" s="327"/>
      <c r="D14" s="327"/>
      <c r="E14" s="327"/>
      <c r="F14" s="327"/>
    </row>
    <row r="15" customFormat="false" ht="12.75" hidden="false" customHeight="false" outlineLevel="0" collapsed="false">
      <c r="A15" s="328" t="s">
        <v>187</v>
      </c>
      <c r="B15" s="322" t="n">
        <f aca="false">SUM(B8:B13)</f>
        <v>11914000000</v>
      </c>
      <c r="D15" s="322" t="n">
        <f aca="false">SUM(D8:D13)</f>
        <v>11914000000</v>
      </c>
      <c r="E15" s="322"/>
      <c r="F15" s="322" t="n">
        <f aca="false">SUM(F8:F14)</f>
        <v>0</v>
      </c>
      <c r="G15" s="322" t="n">
        <f aca="false">SUM(G8:G14)</f>
        <v>0</v>
      </c>
      <c r="H15" s="322" t="n">
        <f aca="false">SUM(H8:H14)</f>
        <v>0</v>
      </c>
      <c r="J15" s="322" t="n">
        <f aca="false">SUM(J8:J14)</f>
        <v>11914000000</v>
      </c>
      <c r="K15" s="322" t="n">
        <f aca="false">SUM(K8:K14)</f>
        <v>11914000000</v>
      </c>
      <c r="L15" s="322" t="n">
        <f aca="false">SUM(L8:L14)</f>
        <v>11914000000</v>
      </c>
    </row>
    <row r="16" customFormat="false" ht="12.75" hidden="false" customHeight="false" outlineLevel="0" collapsed="false">
      <c r="B16" s="322"/>
      <c r="D16" s="322"/>
      <c r="E16" s="322"/>
      <c r="F16" s="322"/>
    </row>
    <row r="17" customFormat="false" ht="12.75" hidden="false" customHeight="false" outlineLevel="0" collapsed="false">
      <c r="A17" s="312" t="s">
        <v>19</v>
      </c>
      <c r="B17" s="318" t="n">
        <v>0</v>
      </c>
      <c r="D17" s="319" t="n">
        <f aca="false">B17/$B$7*12</f>
        <v>0</v>
      </c>
      <c r="E17" s="320"/>
      <c r="F17" s="329" t="n">
        <f aca="false">-E1!H17-E2!H17-E3!H17-E5!H16</f>
        <v>-62745600</v>
      </c>
      <c r="G17" s="329" t="n">
        <f aca="false">-E1!J17-E2!J17-E3!J17-E5!J16</f>
        <v>-216223000</v>
      </c>
      <c r="H17" s="329" t="n">
        <f aca="false">-E1!L17-E2!L17-E3!L17-E5!L16</f>
        <v>-531804000</v>
      </c>
      <c r="J17" s="322" t="n">
        <f aca="false">$D17+F17</f>
        <v>-62745600</v>
      </c>
      <c r="K17" s="322" t="n">
        <f aca="false">$D17+G17</f>
        <v>-216223000</v>
      </c>
      <c r="L17" s="322" t="n">
        <f aca="false">$D17+H17</f>
        <v>-531804000</v>
      </c>
    </row>
    <row r="18" customFormat="false" ht="15" hidden="false" customHeight="false" outlineLevel="0" collapsed="false">
      <c r="A18" s="312" t="s">
        <v>188</v>
      </c>
      <c r="B18" s="323" t="n">
        <v>0</v>
      </c>
      <c r="D18" s="323" t="n">
        <v>0</v>
      </c>
      <c r="E18" s="323"/>
      <c r="F18" s="325"/>
      <c r="G18" s="325"/>
      <c r="H18" s="325"/>
      <c r="J18" s="326" t="n">
        <v>0</v>
      </c>
      <c r="K18" s="326" t="n">
        <v>0</v>
      </c>
      <c r="L18" s="326" t="n">
        <f aca="false">$D18+H18</f>
        <v>0</v>
      </c>
    </row>
    <row r="19" customFormat="false" ht="12.75" hidden="false" customHeight="false" outlineLevel="0" collapsed="false">
      <c r="B19" s="322"/>
      <c r="D19" s="322"/>
      <c r="E19" s="322"/>
    </row>
    <row r="20" customFormat="false" ht="12.75" hidden="false" customHeight="false" outlineLevel="0" collapsed="false">
      <c r="A20" s="328" t="s">
        <v>189</v>
      </c>
      <c r="B20" s="322" t="n">
        <f aca="false">B15-B17-B18</f>
        <v>11914000000</v>
      </c>
      <c r="D20" s="322" t="n">
        <f aca="false">D15-D17-D18</f>
        <v>11914000000</v>
      </c>
      <c r="E20" s="322"/>
      <c r="F20" s="322" t="n">
        <f aca="false">F15-F17</f>
        <v>62745600</v>
      </c>
      <c r="G20" s="322" t="n">
        <f aca="false">G15-G17</f>
        <v>216223000</v>
      </c>
      <c r="H20" s="322" t="n">
        <f aca="false">H15-H17</f>
        <v>531804000</v>
      </c>
      <c r="J20" s="322" t="n">
        <f aca="false">J15-SUM(J17:J19)</f>
        <v>11976745600</v>
      </c>
      <c r="K20" s="322" t="n">
        <f aca="false">K15-SUM(K17:K19)</f>
        <v>12130223000</v>
      </c>
      <c r="L20" s="322" t="n">
        <f aca="false">L15-SUM(L17:L19)</f>
        <v>12445804000</v>
      </c>
    </row>
    <row r="21" customFormat="false" ht="12.75" hidden="false" customHeight="false" outlineLevel="0" collapsed="false">
      <c r="B21" s="322"/>
      <c r="D21" s="322"/>
      <c r="E21" s="322"/>
      <c r="F21" s="322"/>
    </row>
    <row r="22" customFormat="false" ht="12.75" hidden="false" customHeight="false" outlineLevel="0" collapsed="false">
      <c r="A22" s="312" t="s">
        <v>190</v>
      </c>
      <c r="B22" s="318" t="n">
        <v>4196000000</v>
      </c>
      <c r="D22" s="319" t="n">
        <f aca="false">B22/$B$7*12</f>
        <v>4196000000</v>
      </c>
      <c r="E22" s="320"/>
      <c r="F22" s="329" t="n">
        <f aca="false">-E6!H17-E7!H18-E8!H18</f>
        <v>-839200</v>
      </c>
      <c r="G22" s="329" t="n">
        <f aca="false">-E6!J17-E7!J18-E8!J18</f>
        <v>-2517600</v>
      </c>
      <c r="H22" s="329" t="n">
        <f aca="false">-E6!L17-E7!L18-E8!L18</f>
        <v>-6294000</v>
      </c>
      <c r="J22" s="322" t="n">
        <f aca="false">$D22+F22</f>
        <v>4195160800</v>
      </c>
      <c r="K22" s="322" t="n">
        <f aca="false">$D22+G22</f>
        <v>4193482400</v>
      </c>
      <c r="L22" s="322" t="n">
        <f aca="false">$D22+H22</f>
        <v>4189706000</v>
      </c>
    </row>
    <row r="23" customFormat="false" ht="12.75" hidden="false" customHeight="false" outlineLevel="0" collapsed="false">
      <c r="A23" s="312" t="s">
        <v>191</v>
      </c>
      <c r="B23" s="318" t="n">
        <v>1237000000</v>
      </c>
      <c r="D23" s="319" t="n">
        <f aca="false">B23/$B$7*12</f>
        <v>1237000000</v>
      </c>
      <c r="E23" s="320"/>
      <c r="F23" s="330" t="n">
        <v>0</v>
      </c>
      <c r="G23" s="330" t="n">
        <v>0</v>
      </c>
      <c r="H23" s="330" t="n">
        <v>0</v>
      </c>
      <c r="J23" s="322" t="n">
        <f aca="false">$D23+F23</f>
        <v>1237000000</v>
      </c>
      <c r="K23" s="322" t="n">
        <f aca="false">$D23+G23</f>
        <v>1237000000</v>
      </c>
      <c r="L23" s="322" t="n">
        <f aca="false">$D23+H23</f>
        <v>1237000000</v>
      </c>
    </row>
    <row r="24" customFormat="false" ht="12.75" hidden="false" customHeight="false" outlineLevel="0" collapsed="false">
      <c r="A24" s="312" t="s">
        <v>192</v>
      </c>
      <c r="B24" s="318" t="n">
        <v>113000000</v>
      </c>
      <c r="D24" s="319" t="n">
        <f aca="false">B24/$B$7*12</f>
        <v>113000000</v>
      </c>
      <c r="E24" s="320"/>
      <c r="F24" s="330" t="n">
        <v>0</v>
      </c>
      <c r="G24" s="330" t="n">
        <v>0</v>
      </c>
      <c r="H24" s="330" t="n">
        <v>0</v>
      </c>
      <c r="J24" s="322" t="n">
        <f aca="false">$D24+F24</f>
        <v>113000000</v>
      </c>
      <c r="K24" s="322" t="n">
        <f aca="false">$D24+G24</f>
        <v>113000000</v>
      </c>
      <c r="L24" s="322" t="n">
        <f aca="false">$D24+H24</f>
        <v>113000000</v>
      </c>
    </row>
    <row r="25" customFormat="false" ht="12.75" hidden="false" customHeight="false" outlineLevel="0" collapsed="false">
      <c r="A25" s="312" t="s">
        <v>193</v>
      </c>
      <c r="B25" s="318" t="n">
        <v>1317000000</v>
      </c>
      <c r="D25" s="319" t="n">
        <f aca="false">B25/$B$7*12</f>
        <v>1317000000</v>
      </c>
      <c r="E25" s="320"/>
      <c r="F25" s="331" t="n">
        <v>0</v>
      </c>
      <c r="G25" s="331" t="n">
        <v>0</v>
      </c>
      <c r="H25" s="331" t="n">
        <v>0</v>
      </c>
      <c r="J25" s="322" t="n">
        <f aca="false">$D25+F25</f>
        <v>1317000000</v>
      </c>
      <c r="K25" s="322" t="n">
        <f aca="false">$D25+G25</f>
        <v>1317000000</v>
      </c>
      <c r="L25" s="322" t="n">
        <f aca="false">$D25+H25</f>
        <v>1317000000</v>
      </c>
    </row>
    <row r="26" customFormat="false" ht="12.75" hidden="false" customHeight="false" outlineLevel="0" collapsed="false">
      <c r="A26" s="312" t="s">
        <v>12</v>
      </c>
      <c r="B26" s="318" t="n">
        <v>0</v>
      </c>
      <c r="D26" s="319" t="n">
        <f aca="false">B26/$B$7*12</f>
        <v>0</v>
      </c>
      <c r="E26" s="320"/>
      <c r="F26" s="331"/>
      <c r="G26" s="331"/>
      <c r="H26" s="331"/>
      <c r="J26" s="322"/>
      <c r="K26" s="322"/>
      <c r="L26" s="322"/>
    </row>
    <row r="27" customFormat="false" ht="12.75" hidden="false" customHeight="false" outlineLevel="0" collapsed="false">
      <c r="A27" s="312" t="s">
        <v>194</v>
      </c>
      <c r="B27" s="318" t="n">
        <v>592000000</v>
      </c>
      <c r="D27" s="319" t="n">
        <f aca="false">B27/$B$7*12</f>
        <v>592000000</v>
      </c>
      <c r="E27" s="320"/>
      <c r="F27" s="331" t="n">
        <v>0</v>
      </c>
      <c r="G27" s="331" t="n">
        <v>0</v>
      </c>
      <c r="H27" s="331" t="n">
        <v>0</v>
      </c>
      <c r="J27" s="322" t="n">
        <f aca="false">$D27+F27</f>
        <v>592000000</v>
      </c>
      <c r="K27" s="322" t="n">
        <f aca="false">$D27+G27</f>
        <v>592000000</v>
      </c>
      <c r="L27" s="322" t="n">
        <f aca="false">$D27+H27</f>
        <v>592000000</v>
      </c>
    </row>
    <row r="28" customFormat="false" ht="15" hidden="false" customHeight="false" outlineLevel="0" collapsed="false">
      <c r="A28" s="312" t="s">
        <v>195</v>
      </c>
      <c r="B28" s="332" t="n">
        <v>1301000000</v>
      </c>
      <c r="D28" s="333" t="n">
        <f aca="false">B28/$B$7*12</f>
        <v>1301000000</v>
      </c>
      <c r="E28" s="323"/>
      <c r="F28" s="334" t="n">
        <v>0</v>
      </c>
      <c r="G28" s="334" t="n">
        <v>0</v>
      </c>
      <c r="H28" s="334" t="n">
        <v>0</v>
      </c>
      <c r="J28" s="326" t="n">
        <f aca="false">$D28+F28</f>
        <v>1301000000</v>
      </c>
      <c r="K28" s="326" t="n">
        <f aca="false">$D28+G28</f>
        <v>1301000000</v>
      </c>
      <c r="L28" s="326" t="n">
        <f aca="false">$D28+H28</f>
        <v>1301000000</v>
      </c>
    </row>
    <row r="29" customFormat="false" ht="12.75" hidden="false" customHeight="false" outlineLevel="0" collapsed="false">
      <c r="B29" s="322" t="n">
        <f aca="false">SUM(B22:B28)</f>
        <v>8756000000</v>
      </c>
      <c r="D29" s="322"/>
      <c r="E29" s="322"/>
      <c r="F29" s="322"/>
    </row>
    <row r="30" customFormat="false" ht="12.75" hidden="false" customHeight="false" outlineLevel="0" collapsed="false">
      <c r="A30" s="328" t="s">
        <v>196</v>
      </c>
      <c r="B30" s="322" t="n">
        <f aca="false">B20-SUM(B22:B28)</f>
        <v>3158000000</v>
      </c>
      <c r="D30" s="322" t="n">
        <f aca="false">D20-SUM(D22:D28)</f>
        <v>3158000000</v>
      </c>
      <c r="E30" s="322"/>
      <c r="F30" s="322" t="n">
        <f aca="false">F20-F22-F25-F28</f>
        <v>63584800</v>
      </c>
      <c r="G30" s="322" t="n">
        <f aca="false">G20-G22-G25-G28</f>
        <v>218740600</v>
      </c>
      <c r="H30" s="322" t="n">
        <f aca="false">H20-H22-H25-H28</f>
        <v>538098000</v>
      </c>
      <c r="J30" s="322" t="n">
        <f aca="false">J20-SUM(J22:J29)</f>
        <v>3221584800</v>
      </c>
      <c r="K30" s="322" t="n">
        <f aca="false">K20-SUM(K22:K29)</f>
        <v>3376740600</v>
      </c>
      <c r="L30" s="322" t="n">
        <f aca="false">L20-SUM(L22:L29)</f>
        <v>3696098000</v>
      </c>
    </row>
    <row r="31" customFormat="false" ht="12.75" hidden="false" customHeight="false" outlineLevel="0" collapsed="false">
      <c r="B31" s="322"/>
      <c r="D31" s="322"/>
      <c r="E31" s="322"/>
      <c r="F31" s="322"/>
    </row>
    <row r="32" customFormat="false" ht="15" hidden="false" customHeight="false" outlineLevel="0" collapsed="false">
      <c r="A32" s="312" t="s">
        <v>197</v>
      </c>
      <c r="B32" s="332" t="n">
        <v>1140000000</v>
      </c>
      <c r="D32" s="333" t="n">
        <f aca="false">B32/$B$7*12</f>
        <v>1140000000</v>
      </c>
      <c r="E32" s="323"/>
      <c r="F32" s="335" t="n">
        <f aca="false">+'SW Cost'!F23</f>
        <v>241666.666666667</v>
      </c>
      <c r="G32" s="336" t="n">
        <f aca="false">+F32</f>
        <v>241666.666666667</v>
      </c>
      <c r="H32" s="336" t="n">
        <f aca="false">+F32</f>
        <v>241666.666666667</v>
      </c>
      <c r="J32" s="326" t="n">
        <f aca="false">$D32+F32</f>
        <v>1140241666.66667</v>
      </c>
      <c r="K32" s="326" t="n">
        <f aca="false">$D32+G32</f>
        <v>1140241666.66667</v>
      </c>
      <c r="L32" s="326" t="n">
        <f aca="false">$D32+H32</f>
        <v>1140241666.66667</v>
      </c>
    </row>
    <row r="33" customFormat="false" ht="12.75" hidden="false" customHeight="false" outlineLevel="0" collapsed="false">
      <c r="A33" s="322" t="s">
        <v>9</v>
      </c>
      <c r="B33" s="322"/>
      <c r="D33" s="322"/>
      <c r="E33" s="322"/>
      <c r="F33" s="322"/>
    </row>
    <row r="34" customFormat="false" ht="12.75" hidden="false" customHeight="false" outlineLevel="0" collapsed="false">
      <c r="A34" s="328" t="s">
        <v>198</v>
      </c>
      <c r="B34" s="322" t="n">
        <f aca="false">B30-B32</f>
        <v>2018000000</v>
      </c>
      <c r="D34" s="322" t="n">
        <f aca="false">D30-D32</f>
        <v>2018000000</v>
      </c>
      <c r="E34" s="322"/>
      <c r="F34" s="322" t="n">
        <f aca="false">F30-F32</f>
        <v>63343133.3333333</v>
      </c>
      <c r="G34" s="322" t="n">
        <f aca="false">G30-G32</f>
        <v>218498933.333333</v>
      </c>
      <c r="H34" s="322" t="n">
        <f aca="false">H30-H32</f>
        <v>537856333.333333</v>
      </c>
      <c r="J34" s="322" t="n">
        <f aca="false">J30-J32</f>
        <v>2081343133.33333</v>
      </c>
      <c r="K34" s="322" t="n">
        <f aca="false">K30-K32</f>
        <v>2236498933.33333</v>
      </c>
      <c r="L34" s="322" t="n">
        <f aca="false">L30-L32</f>
        <v>2555856333.33333</v>
      </c>
    </row>
    <row r="35" customFormat="false" ht="12.75" hidden="false" customHeight="false" outlineLevel="0" collapsed="false">
      <c r="B35" s="322"/>
      <c r="D35" s="322"/>
      <c r="E35" s="322"/>
      <c r="F35" s="322"/>
    </row>
    <row r="36" customFormat="false" ht="12.75" hidden="false" customHeight="false" outlineLevel="0" collapsed="false">
      <c r="A36" s="312" t="s">
        <v>199</v>
      </c>
      <c r="B36" s="318" t="n">
        <v>723000000</v>
      </c>
      <c r="D36" s="319" t="n">
        <f aca="false">B36/$B$7*12</f>
        <v>723000000</v>
      </c>
      <c r="E36" s="320"/>
      <c r="F36" s="320"/>
      <c r="J36" s="322" t="n">
        <f aca="false">$D36+F36</f>
        <v>723000000</v>
      </c>
      <c r="K36" s="322" t="n">
        <f aca="false">$D36+G36</f>
        <v>723000000</v>
      </c>
      <c r="L36" s="322" t="n">
        <f aca="false">$D36+H36</f>
        <v>723000000</v>
      </c>
    </row>
    <row r="37" customFormat="false" ht="12.75" hidden="false" customHeight="false" outlineLevel="0" collapsed="false">
      <c r="A37" s="312" t="s">
        <v>200</v>
      </c>
      <c r="B37" s="320" t="n">
        <v>0</v>
      </c>
      <c r="D37" s="319" t="n">
        <f aca="false">B37/$B$7*12</f>
        <v>0</v>
      </c>
      <c r="E37" s="320"/>
      <c r="F37" s="320"/>
      <c r="J37" s="322" t="n">
        <f aca="false">$D37+F37</f>
        <v>0</v>
      </c>
      <c r="K37" s="322" t="n">
        <f aca="false">$D37+G37</f>
        <v>0</v>
      </c>
      <c r="L37" s="322" t="n">
        <f aca="false">$D37+H37</f>
        <v>0</v>
      </c>
    </row>
    <row r="38" customFormat="false" ht="15" hidden="false" customHeight="false" outlineLevel="0" collapsed="false">
      <c r="A38" s="312" t="s">
        <v>201</v>
      </c>
      <c r="B38" s="332" t="n">
        <v>-130000000</v>
      </c>
      <c r="D38" s="333" t="n">
        <f aca="false">B38/$B$7*12</f>
        <v>-130000000</v>
      </c>
      <c r="E38" s="323"/>
      <c r="F38" s="324"/>
      <c r="G38" s="325"/>
      <c r="H38" s="325"/>
      <c r="J38" s="326" t="n">
        <f aca="false">$D38+F38</f>
        <v>-130000000</v>
      </c>
      <c r="K38" s="326" t="n">
        <f aca="false">$D38+G38</f>
        <v>-130000000</v>
      </c>
      <c r="L38" s="326" t="n">
        <f aca="false">$D38+H38</f>
        <v>-130000000</v>
      </c>
    </row>
    <row r="39" customFormat="false" ht="12.75" hidden="false" customHeight="false" outlineLevel="0" collapsed="false">
      <c r="B39" s="322"/>
      <c r="D39" s="322"/>
      <c r="E39" s="322"/>
      <c r="F39" s="322"/>
    </row>
    <row r="40" customFormat="false" ht="12.75" hidden="false" customHeight="false" outlineLevel="0" collapsed="false">
      <c r="A40" s="328" t="s">
        <v>202</v>
      </c>
      <c r="B40" s="322" t="n">
        <f aca="false">B34-B36-B38</f>
        <v>1425000000</v>
      </c>
      <c r="D40" s="322" t="n">
        <f aca="false">D34-D36-D38</f>
        <v>1425000000</v>
      </c>
      <c r="E40" s="322"/>
      <c r="F40" s="322" t="n">
        <f aca="false">F34-F36-F37-F38</f>
        <v>63343133.3333333</v>
      </c>
      <c r="G40" s="322" t="n">
        <f aca="false">G34-G36-G37-G38</f>
        <v>218498933.333333</v>
      </c>
      <c r="H40" s="322" t="n">
        <f aca="false">H34-H36-H37-H38</f>
        <v>537856333.333333</v>
      </c>
      <c r="J40" s="322" t="n">
        <f aca="false">J34-SUM(J36:J39)</f>
        <v>1488343133.33333</v>
      </c>
      <c r="K40" s="322" t="n">
        <f aca="false">K34-SUM(K36:K39)</f>
        <v>1643498933.33333</v>
      </c>
      <c r="L40" s="322" t="n">
        <f aca="false">L34-SUM(L36:L39)</f>
        <v>1962856333.33333</v>
      </c>
    </row>
    <row r="41" customFormat="false" ht="12.75" hidden="false" customHeight="false" outlineLevel="0" collapsed="false">
      <c r="B41" s="322"/>
      <c r="D41" s="322"/>
      <c r="E41" s="322"/>
      <c r="F41" s="322"/>
    </row>
    <row r="42" customFormat="false" ht="12.75" hidden="false" customHeight="false" outlineLevel="0" collapsed="false">
      <c r="A42" s="312" t="s">
        <v>203</v>
      </c>
      <c r="B42" s="318" t="n">
        <v>0</v>
      </c>
      <c r="D42" s="319" t="n">
        <f aca="false">B42/$B$7*12</f>
        <v>0</v>
      </c>
      <c r="E42" s="320"/>
      <c r="F42" s="329" t="n">
        <f aca="false">+E4!H18</f>
        <v>6466480</v>
      </c>
      <c r="G42" s="329" t="n">
        <f aca="false">E4!J18</f>
        <v>22144060</v>
      </c>
      <c r="H42" s="329" t="n">
        <f aca="false">E4!L18</f>
        <v>54349800</v>
      </c>
      <c r="J42" s="322" t="n">
        <f aca="false">$D42+F42</f>
        <v>6466480</v>
      </c>
      <c r="K42" s="322" t="n">
        <f aca="false">$D42+G42</f>
        <v>22144060</v>
      </c>
      <c r="L42" s="322" t="n">
        <f aca="false">$D42+H42</f>
        <v>54349800</v>
      </c>
    </row>
    <row r="43" customFormat="false" ht="12.75" hidden="false" customHeight="false" outlineLevel="0" collapsed="false">
      <c r="A43" s="312" t="s">
        <v>204</v>
      </c>
      <c r="B43" s="318" t="n">
        <v>0</v>
      </c>
      <c r="D43" s="319" t="n">
        <f aca="false">B43/$B$7*12</f>
        <v>0</v>
      </c>
      <c r="E43" s="320"/>
      <c r="J43" s="322" t="n">
        <f aca="false">$D43+F43</f>
        <v>0</v>
      </c>
      <c r="K43" s="322" t="n">
        <f aca="false">$D43+G43</f>
        <v>0</v>
      </c>
      <c r="L43" s="322" t="n">
        <f aca="false">$D43+H43</f>
        <v>0</v>
      </c>
    </row>
    <row r="44" customFormat="false" ht="12.75" hidden="false" customHeight="false" outlineLevel="0" collapsed="false">
      <c r="A44" s="312" t="s">
        <v>205</v>
      </c>
      <c r="B44" s="318" t="n">
        <v>0</v>
      </c>
      <c r="D44" s="319" t="n">
        <f aca="false">B44/$B$7*12</f>
        <v>0</v>
      </c>
      <c r="E44" s="320"/>
      <c r="J44" s="322" t="n">
        <f aca="false">$D44+F44</f>
        <v>0</v>
      </c>
      <c r="K44" s="322" t="n">
        <f aca="false">$D44+G44</f>
        <v>0</v>
      </c>
      <c r="L44" s="322" t="n">
        <f aca="false">$D44+H44</f>
        <v>0</v>
      </c>
    </row>
    <row r="45" customFormat="false" ht="15" hidden="false" customHeight="false" outlineLevel="0" collapsed="false">
      <c r="A45" s="312" t="s">
        <v>206</v>
      </c>
      <c r="B45" s="332" t="n">
        <v>0</v>
      </c>
      <c r="D45" s="333" t="n">
        <f aca="false">B45/$B$7*12</f>
        <v>0</v>
      </c>
      <c r="E45" s="323"/>
      <c r="F45" s="324"/>
      <c r="G45" s="325"/>
      <c r="H45" s="325"/>
      <c r="J45" s="326" t="n">
        <f aca="false">$D45+F45</f>
        <v>0</v>
      </c>
      <c r="K45" s="326" t="n">
        <f aca="false">$D45+G45</f>
        <v>0</v>
      </c>
      <c r="L45" s="326" t="n">
        <f aca="false">$D45+H45</f>
        <v>0</v>
      </c>
    </row>
    <row r="46" customFormat="false" ht="15" hidden="false" customHeight="false" outlineLevel="0" collapsed="false">
      <c r="B46" s="323"/>
      <c r="D46" s="323"/>
      <c r="E46" s="323"/>
      <c r="F46" s="323"/>
    </row>
    <row r="47" customFormat="false" ht="12.75" hidden="false" customHeight="false" outlineLevel="0" collapsed="false">
      <c r="A47" s="328" t="s">
        <v>207</v>
      </c>
      <c r="B47" s="322" t="n">
        <f aca="false">B40-SUM(B42:B46)</f>
        <v>1425000000</v>
      </c>
      <c r="D47" s="322" t="n">
        <f aca="false">D40-SUM(D42:D46)</f>
        <v>1425000000</v>
      </c>
      <c r="E47" s="322"/>
      <c r="F47" s="322" t="n">
        <f aca="false">F40-SUM(F42:F46)</f>
        <v>56876653.3333333</v>
      </c>
      <c r="G47" s="322" t="n">
        <f aca="false">G40-SUM(G42:G46)</f>
        <v>196354873.333333</v>
      </c>
      <c r="H47" s="322" t="n">
        <f aca="false">H40-SUM(H42:H46)</f>
        <v>483506533.333333</v>
      </c>
      <c r="J47" s="322" t="n">
        <f aca="false">J40-SUM(J42:J46)</f>
        <v>1481876653.33333</v>
      </c>
      <c r="K47" s="322" t="n">
        <f aca="false">K40-SUM(K42:K46)</f>
        <v>1621354873.33333</v>
      </c>
      <c r="L47" s="322" t="n">
        <f aca="false">L40-SUM(L42:L46)</f>
        <v>1908506533.33333</v>
      </c>
    </row>
    <row r="48" customFormat="false" ht="12.75" hidden="false" customHeight="false" outlineLevel="0" collapsed="false">
      <c r="B48" s="322"/>
      <c r="D48" s="322"/>
      <c r="E48" s="322"/>
      <c r="F48" s="322"/>
    </row>
    <row r="49" customFormat="false" ht="15" hidden="false" customHeight="false" outlineLevel="0" collapsed="false">
      <c r="A49" s="312" t="s">
        <v>208</v>
      </c>
      <c r="B49" s="332" t="n">
        <v>0</v>
      </c>
      <c r="D49" s="333" t="n">
        <f aca="false">B49/$B$7*12</f>
        <v>0</v>
      </c>
      <c r="E49" s="323"/>
      <c r="F49" s="324"/>
      <c r="G49" s="325"/>
      <c r="H49" s="325"/>
      <c r="J49" s="326" t="n">
        <f aca="false">$D49+F49</f>
        <v>0</v>
      </c>
      <c r="K49" s="326" t="n">
        <f aca="false">$D49+G49</f>
        <v>0</v>
      </c>
      <c r="L49" s="326" t="n">
        <f aca="false">$D49+H49</f>
        <v>0</v>
      </c>
    </row>
    <row r="50" customFormat="false" ht="12.75" hidden="false" customHeight="false" outlineLevel="0" collapsed="false">
      <c r="B50" s="322"/>
      <c r="D50" s="322"/>
      <c r="E50" s="322"/>
      <c r="F50" s="322"/>
    </row>
    <row r="51" customFormat="false" ht="12.75" hidden="false" customHeight="false" outlineLevel="0" collapsed="false">
      <c r="A51" s="328" t="s">
        <v>209</v>
      </c>
      <c r="B51" s="322" t="n">
        <f aca="false">B47-B49</f>
        <v>1425000000</v>
      </c>
      <c r="D51" s="322" t="n">
        <f aca="false">D47-D49</f>
        <v>1425000000</v>
      </c>
      <c r="E51" s="322"/>
      <c r="F51" s="322" t="n">
        <f aca="false">F47-F49</f>
        <v>56876653.3333333</v>
      </c>
      <c r="G51" s="322" t="n">
        <f aca="false">G47-G49</f>
        <v>196354873.333333</v>
      </c>
      <c r="H51" s="322" t="n">
        <f aca="false">H47-H49</f>
        <v>483506533.333333</v>
      </c>
      <c r="J51" s="322" t="n">
        <f aca="false">J47-J49</f>
        <v>1481876653.33333</v>
      </c>
      <c r="K51" s="322" t="n">
        <f aca="false">K47-K49</f>
        <v>1621354873.33333</v>
      </c>
      <c r="L51" s="322" t="n">
        <f aca="false">L47-L49</f>
        <v>1908506533.33333</v>
      </c>
    </row>
    <row r="52" customFormat="false" ht="12.75" hidden="false" customHeight="false" outlineLevel="0" collapsed="false">
      <c r="B52" s="322"/>
      <c r="D52" s="322"/>
      <c r="E52" s="322"/>
      <c r="F52" s="322"/>
    </row>
    <row r="53" customFormat="false" ht="12.75" hidden="false" customHeight="false" outlineLevel="0" collapsed="false">
      <c r="A53" s="312" t="s">
        <v>210</v>
      </c>
      <c r="B53" s="318" t="n">
        <v>511000000</v>
      </c>
      <c r="D53" s="319" t="n">
        <f aca="false">B53/$B$7*12</f>
        <v>511000000</v>
      </c>
      <c r="E53" s="320"/>
      <c r="F53" s="320" t="n">
        <f aca="false">F51*0.42</f>
        <v>23888194.4</v>
      </c>
      <c r="G53" s="320" t="n">
        <f aca="false">G51*0.42</f>
        <v>82469046.8</v>
      </c>
      <c r="H53" s="320" t="n">
        <f aca="false">H51*0.42</f>
        <v>203072744</v>
      </c>
      <c r="J53" s="322" t="n">
        <f aca="false">$D53+F53</f>
        <v>534888194.4</v>
      </c>
      <c r="K53" s="322" t="n">
        <f aca="false">$D53+G53</f>
        <v>593469046.8</v>
      </c>
      <c r="L53" s="322" t="n">
        <f aca="false">$D53+H53</f>
        <v>714072744</v>
      </c>
    </row>
    <row r="54" customFormat="false" ht="15" hidden="false" customHeight="false" outlineLevel="0" collapsed="false">
      <c r="A54" s="312" t="s">
        <v>211</v>
      </c>
      <c r="B54" s="332" t="n">
        <v>0</v>
      </c>
      <c r="D54" s="333" t="n">
        <f aca="false">B54/$B$7*12</f>
        <v>0</v>
      </c>
      <c r="E54" s="323"/>
      <c r="F54" s="324"/>
      <c r="G54" s="325"/>
      <c r="H54" s="325"/>
      <c r="J54" s="326" t="n">
        <f aca="false">$D54+F54</f>
        <v>0</v>
      </c>
      <c r="K54" s="326" t="n">
        <f aca="false">$D54+G54</f>
        <v>0</v>
      </c>
      <c r="L54" s="326" t="n">
        <f aca="false">$D54+H54</f>
        <v>0</v>
      </c>
    </row>
    <row r="55" customFormat="false" ht="12.75" hidden="false" customHeight="false" outlineLevel="0" collapsed="false">
      <c r="B55" s="322"/>
      <c r="D55" s="322"/>
      <c r="E55" s="322"/>
      <c r="F55" s="322"/>
    </row>
    <row r="56" customFormat="false" ht="15" hidden="false" customHeight="false" outlineLevel="0" collapsed="false">
      <c r="A56" s="337" t="s">
        <v>212</v>
      </c>
      <c r="B56" s="338" t="n">
        <f aca="false">B51-SUM(B53:B55)</f>
        <v>914000000</v>
      </c>
      <c r="D56" s="338" t="n">
        <f aca="false">D51-SUM(D53:D55)</f>
        <v>914000000</v>
      </c>
      <c r="E56" s="339"/>
      <c r="F56" s="322" t="n">
        <f aca="false">F51-SUM(F53:F55)</f>
        <v>32988458.9333333</v>
      </c>
      <c r="G56" s="322" t="n">
        <f aca="false">G51-SUM(G53:G55)</f>
        <v>113885826.533333</v>
      </c>
      <c r="H56" s="322" t="n">
        <f aca="false">H51-SUM(H53:H55)</f>
        <v>280433789.333333</v>
      </c>
      <c r="J56" s="322" t="n">
        <f aca="false">J51-SUM(J53:J55)</f>
        <v>946988458.933333</v>
      </c>
      <c r="K56" s="322" t="n">
        <f aca="false">K51-SUM(K53:K55)</f>
        <v>1027885826.53333</v>
      </c>
      <c r="L56" s="322" t="n">
        <f aca="false">L51-SUM(L53:L55)</f>
        <v>1194433789.33333</v>
      </c>
    </row>
    <row r="57" customFormat="false" ht="15" hidden="false" customHeight="false" outlineLevel="0" collapsed="false">
      <c r="A57" s="337"/>
      <c r="B57" s="338"/>
      <c r="D57" s="338"/>
      <c r="E57" s="339"/>
      <c r="F57" s="322"/>
      <c r="G57" s="322"/>
      <c r="H57" s="322"/>
      <c r="J57" s="322"/>
      <c r="K57" s="322"/>
      <c r="L57" s="322"/>
    </row>
    <row r="58" customFormat="false" ht="15" hidden="false" customHeight="false" outlineLevel="0" collapsed="false">
      <c r="A58" s="337" t="s">
        <v>213</v>
      </c>
      <c r="B58" s="338" t="n">
        <f aca="false">B56/B61</f>
        <v>253185595.567867</v>
      </c>
      <c r="D58" s="338"/>
      <c r="E58" s="339"/>
      <c r="F58" s="322"/>
      <c r="G58" s="322"/>
      <c r="H58" s="322"/>
      <c r="J58" s="322"/>
      <c r="K58" s="322"/>
      <c r="L58" s="322"/>
    </row>
    <row r="59" customFormat="false" ht="15" hidden="false" customHeight="false" outlineLevel="0" collapsed="false">
      <c r="A59" s="337"/>
      <c r="B59" s="338"/>
      <c r="D59" s="338"/>
      <c r="E59" s="339"/>
      <c r="F59" s="322"/>
      <c r="G59" s="322"/>
      <c r="H59" s="322"/>
      <c r="J59" s="322"/>
      <c r="K59" s="322"/>
      <c r="L59" s="322"/>
    </row>
    <row r="61" customFormat="false" ht="12.75" hidden="false" customHeight="false" outlineLevel="0" collapsed="false">
      <c r="A61" s="340" t="s">
        <v>214</v>
      </c>
      <c r="B61" s="312" t="n">
        <v>3.61</v>
      </c>
      <c r="D61" s="341" t="s">
        <v>9</v>
      </c>
    </row>
    <row r="65" customFormat="false" ht="12.75" hidden="false" customHeight="false" outlineLevel="0" collapsed="false">
      <c r="A65" s="0"/>
      <c r="B65" s="0"/>
      <c r="D65" s="0"/>
      <c r="E65" s="0"/>
    </row>
    <row r="66" customFormat="false" ht="12.75" hidden="false" customHeight="false" outlineLevel="0" collapsed="false">
      <c r="A66" s="342"/>
      <c r="B66" s="342" t="s">
        <v>215</v>
      </c>
      <c r="C66" s="342" t="s">
        <v>9</v>
      </c>
      <c r="D66" s="342" t="s">
        <v>216</v>
      </c>
      <c r="E66" s="343" t="s">
        <v>9</v>
      </c>
      <c r="F66" s="344" t="s">
        <v>8</v>
      </c>
      <c r="G66" s="344"/>
      <c r="H66" s="344"/>
      <c r="I66" s="344"/>
      <c r="J66" s="344"/>
      <c r="K66" s="344"/>
      <c r="L66" s="344"/>
      <c r="M66" s="344"/>
      <c r="N66" s="344"/>
      <c r="O66" s="344"/>
      <c r="P66" s="344"/>
      <c r="Q66" s="344"/>
      <c r="R66" s="344"/>
      <c r="S66" s="344"/>
      <c r="T66" s="344"/>
      <c r="U66" s="344"/>
      <c r="V66" s="344"/>
      <c r="W66" s="344"/>
      <c r="X66" s="344"/>
      <c r="Y66" s="344"/>
      <c r="Z66" s="344"/>
      <c r="AA66" s="344"/>
      <c r="AB66" s="344"/>
      <c r="AC66" s="344"/>
      <c r="AD66" s="344"/>
      <c r="AE66" s="344"/>
      <c r="AF66" s="344"/>
      <c r="AG66" s="344"/>
      <c r="AH66" s="344"/>
      <c r="AI66" s="344"/>
      <c r="AJ66" s="344"/>
      <c r="AK66" s="344"/>
      <c r="AL66" s="344"/>
      <c r="AM66" s="344"/>
      <c r="AN66" s="344"/>
      <c r="AO66" s="344"/>
      <c r="AP66" s="344"/>
      <c r="AQ66" s="344"/>
      <c r="AR66" s="344"/>
      <c r="AS66" s="344"/>
      <c r="AT66" s="344"/>
      <c r="AU66" s="344"/>
      <c r="AV66" s="344"/>
      <c r="AW66" s="344"/>
      <c r="AX66" s="344"/>
      <c r="AY66" s="344"/>
      <c r="AZ66" s="344"/>
      <c r="BA66" s="344"/>
      <c r="BB66" s="344"/>
      <c r="BC66" s="344"/>
      <c r="BD66" s="344"/>
      <c r="BE66" s="344"/>
      <c r="BF66" s="344"/>
      <c r="BG66" s="344"/>
      <c r="BH66" s="344"/>
      <c r="BI66" s="344"/>
      <c r="BJ66" s="344"/>
      <c r="BK66" s="344"/>
      <c r="BL66" s="344"/>
      <c r="BM66" s="344"/>
      <c r="BN66" s="344"/>
      <c r="BO66" s="344"/>
      <c r="BP66" s="344"/>
      <c r="BQ66" s="344"/>
      <c r="BR66" s="344"/>
      <c r="BS66" s="344"/>
      <c r="BT66" s="344"/>
      <c r="BU66" s="344"/>
      <c r="BV66" s="344"/>
      <c r="BW66" s="344"/>
      <c r="BX66" s="344"/>
      <c r="BY66" s="344"/>
      <c r="BZ66" s="344"/>
      <c r="CA66" s="344"/>
      <c r="CB66" s="344"/>
      <c r="CC66" s="344"/>
      <c r="CD66" s="344"/>
      <c r="CE66" s="344"/>
      <c r="CF66" s="344"/>
      <c r="CG66" s="344"/>
      <c r="CH66" s="344"/>
      <c r="CI66" s="344"/>
      <c r="CJ66" s="344"/>
      <c r="CK66" s="344"/>
      <c r="CL66" s="344"/>
      <c r="CM66" s="344"/>
      <c r="CN66" s="344"/>
      <c r="CO66" s="344"/>
      <c r="CP66" s="344"/>
      <c r="CQ66" s="344"/>
      <c r="CR66" s="344"/>
      <c r="CS66" s="344"/>
      <c r="CT66" s="344"/>
      <c r="CU66" s="344"/>
      <c r="CV66" s="344"/>
      <c r="CW66" s="344"/>
      <c r="CX66" s="344"/>
      <c r="CY66" s="344"/>
      <c r="CZ66" s="344"/>
      <c r="DA66" s="344"/>
      <c r="DB66" s="344"/>
      <c r="DC66" s="344"/>
      <c r="DD66" s="344"/>
      <c r="DE66" s="344"/>
      <c r="DF66" s="344"/>
      <c r="DG66" s="344"/>
      <c r="DH66" s="344"/>
      <c r="DI66" s="344"/>
      <c r="DJ66" s="344"/>
      <c r="DK66" s="344"/>
      <c r="DL66" s="344"/>
      <c r="DM66" s="344"/>
      <c r="DN66" s="344"/>
      <c r="DO66" s="344"/>
      <c r="DP66" s="344"/>
      <c r="DQ66" s="344"/>
      <c r="DR66" s="344"/>
      <c r="DS66" s="344"/>
      <c r="DT66" s="344"/>
      <c r="DU66" s="344"/>
      <c r="DV66" s="344"/>
      <c r="DW66" s="344"/>
      <c r="DX66" s="344"/>
      <c r="DY66" s="344"/>
      <c r="DZ66" s="344"/>
      <c r="EA66" s="344"/>
      <c r="EB66" s="344"/>
      <c r="EC66" s="344"/>
      <c r="ED66" s="344"/>
      <c r="EE66" s="344"/>
      <c r="EF66" s="344"/>
      <c r="EG66" s="344"/>
      <c r="EH66" s="344"/>
      <c r="EI66" s="344"/>
      <c r="EJ66" s="344"/>
      <c r="EK66" s="344"/>
      <c r="EL66" s="344"/>
      <c r="EM66" s="344"/>
      <c r="EN66" s="344"/>
      <c r="EO66" s="344"/>
      <c r="EP66" s="344"/>
      <c r="EQ66" s="344"/>
      <c r="ER66" s="344"/>
      <c r="ES66" s="344"/>
      <c r="ET66" s="344"/>
      <c r="EU66" s="344"/>
      <c r="EV66" s="344"/>
      <c r="EW66" s="344"/>
      <c r="EX66" s="344"/>
      <c r="EY66" s="344"/>
      <c r="EZ66" s="344"/>
      <c r="FA66" s="344"/>
      <c r="FB66" s="344"/>
      <c r="FC66" s="344"/>
      <c r="FD66" s="344"/>
      <c r="FE66" s="344"/>
      <c r="FF66" s="344"/>
      <c r="FG66" s="344"/>
      <c r="FH66" s="344"/>
      <c r="FI66" s="344"/>
      <c r="FJ66" s="344"/>
      <c r="FK66" s="344"/>
      <c r="FL66" s="344"/>
      <c r="FM66" s="344"/>
      <c r="FN66" s="344"/>
      <c r="FO66" s="344"/>
      <c r="FP66" s="344"/>
      <c r="FQ66" s="344"/>
      <c r="FR66" s="344"/>
      <c r="FS66" s="344"/>
      <c r="FT66" s="344"/>
      <c r="FU66" s="344"/>
      <c r="FV66" s="344"/>
      <c r="FW66" s="344"/>
      <c r="FX66" s="344"/>
      <c r="FY66" s="344"/>
      <c r="FZ66" s="344"/>
      <c r="GA66" s="344"/>
      <c r="GB66" s="344"/>
      <c r="GC66" s="344"/>
      <c r="GD66" s="344"/>
      <c r="GE66" s="344"/>
      <c r="GF66" s="344"/>
      <c r="GG66" s="344"/>
      <c r="GH66" s="344"/>
      <c r="GI66" s="344"/>
      <c r="GJ66" s="344"/>
      <c r="GK66" s="344"/>
      <c r="GL66" s="344"/>
      <c r="GM66" s="344"/>
      <c r="GN66" s="344"/>
      <c r="GO66" s="344"/>
      <c r="GP66" s="344"/>
      <c r="GQ66" s="344"/>
      <c r="GR66" s="344"/>
      <c r="GS66" s="344"/>
      <c r="GT66" s="344"/>
      <c r="GU66" s="344"/>
      <c r="GV66" s="344"/>
      <c r="GW66" s="344"/>
      <c r="GX66" s="344"/>
      <c r="GY66" s="344"/>
      <c r="GZ66" s="344"/>
      <c r="HA66" s="344"/>
      <c r="HB66" s="344"/>
      <c r="HC66" s="344"/>
      <c r="HD66" s="344"/>
      <c r="HE66" s="344"/>
      <c r="HF66" s="344"/>
      <c r="HG66" s="344"/>
      <c r="HH66" s="344"/>
      <c r="HI66" s="344"/>
      <c r="HJ66" s="344"/>
      <c r="HK66" s="344"/>
      <c r="HL66" s="344"/>
      <c r="HM66" s="344"/>
      <c r="HN66" s="344"/>
      <c r="HO66" s="344"/>
      <c r="HP66" s="344"/>
      <c r="HQ66" s="344"/>
      <c r="HR66" s="344"/>
      <c r="HS66" s="344"/>
      <c r="HT66" s="344"/>
      <c r="HU66" s="344"/>
      <c r="HV66" s="344"/>
      <c r="HW66" s="344"/>
      <c r="HX66" s="344"/>
      <c r="HY66" s="344"/>
      <c r="HZ66" s="344"/>
      <c r="IA66" s="344"/>
      <c r="IB66" s="344"/>
      <c r="IC66" s="344"/>
      <c r="ID66" s="344"/>
      <c r="IE66" s="344"/>
      <c r="IF66" s="344"/>
      <c r="IG66" s="344"/>
      <c r="IH66" s="344"/>
      <c r="II66" s="344"/>
      <c r="IJ66" s="344"/>
      <c r="IK66" s="344"/>
      <c r="IL66" s="344"/>
      <c r="IM66" s="344"/>
      <c r="IN66" s="344"/>
      <c r="IO66" s="344"/>
      <c r="IP66" s="344"/>
      <c r="IQ66" s="344"/>
      <c r="IR66" s="344"/>
      <c r="IS66" s="344"/>
      <c r="IT66" s="344"/>
      <c r="IU66" s="344"/>
      <c r="IV66" s="344"/>
      <c r="IW66" s="344"/>
    </row>
    <row r="67" customFormat="false" ht="12.75" hidden="false" customHeight="false" outlineLevel="0" collapsed="false">
      <c r="A67" s="345"/>
      <c r="B67" s="345"/>
      <c r="C67" s="345" t="s">
        <v>9</v>
      </c>
      <c r="D67" s="345"/>
      <c r="E67" s="0"/>
    </row>
    <row r="68" customFormat="false" ht="12.75" hidden="false" customHeight="false" outlineLevel="0" collapsed="false">
      <c r="A68" s="345" t="s">
        <v>217</v>
      </c>
      <c r="B68" s="346" t="n">
        <v>3546</v>
      </c>
      <c r="C68" s="346" t="s">
        <v>9</v>
      </c>
      <c r="D68" s="346" t="n">
        <v>650</v>
      </c>
      <c r="E68" s="12"/>
      <c r="F68" s="331" t="n">
        <f aca="false">D68+B68</f>
        <v>4196</v>
      </c>
    </row>
    <row r="69" customFormat="false" ht="12.75" hidden="false" customHeight="false" outlineLevel="0" collapsed="false">
      <c r="A69" s="345" t="s">
        <v>12</v>
      </c>
      <c r="B69" s="346" t="n">
        <v>1092</v>
      </c>
      <c r="C69" s="346" t="s">
        <v>9</v>
      </c>
      <c r="D69" s="346" t="n">
        <v>48</v>
      </c>
      <c r="E69" s="12"/>
      <c r="F69" s="331" t="n">
        <f aca="false">D69+B69</f>
        <v>1140</v>
      </c>
    </row>
    <row r="70" customFormat="false" ht="12.75" hidden="false" customHeight="false" outlineLevel="0" collapsed="false">
      <c r="A70" s="345" t="s">
        <v>218</v>
      </c>
      <c r="B70" s="346" t="n">
        <v>545</v>
      </c>
      <c r="C70" s="346" t="s">
        <v>9</v>
      </c>
      <c r="D70" s="346" t="n">
        <v>47</v>
      </c>
      <c r="E70" s="12"/>
      <c r="F70" s="331" t="n">
        <f aca="false">D70+B70</f>
        <v>592</v>
      </c>
    </row>
    <row r="71" customFormat="false" ht="12.75" hidden="false" customHeight="false" outlineLevel="0" collapsed="false">
      <c r="A71" s="345" t="s">
        <v>219</v>
      </c>
      <c r="B71" s="346" t="n">
        <v>1165</v>
      </c>
      <c r="C71" s="346" t="s">
        <v>9</v>
      </c>
      <c r="D71" s="346" t="n">
        <v>72</v>
      </c>
      <c r="E71" s="12"/>
      <c r="F71" s="331" t="n">
        <f aca="false">D71+B71</f>
        <v>1237</v>
      </c>
    </row>
    <row r="72" customFormat="false" ht="12.75" hidden="false" customHeight="false" outlineLevel="0" collapsed="false">
      <c r="A72" s="345" t="s">
        <v>220</v>
      </c>
      <c r="B72" s="346" t="n">
        <v>113</v>
      </c>
      <c r="C72" s="346" t="s">
        <v>9</v>
      </c>
      <c r="D72" s="346"/>
      <c r="E72" s="12"/>
      <c r="F72" s="331" t="n">
        <f aca="false">D72+B72</f>
        <v>113</v>
      </c>
    </row>
    <row r="73" customFormat="false" ht="12.75" hidden="false" customHeight="false" outlineLevel="0" collapsed="false">
      <c r="A73" s="345" t="s">
        <v>221</v>
      </c>
      <c r="B73" s="346" t="n">
        <v>1220</v>
      </c>
      <c r="C73" s="346" t="s">
        <v>9</v>
      </c>
      <c r="D73" s="346" t="n">
        <v>97</v>
      </c>
      <c r="E73" s="12"/>
      <c r="F73" s="331" t="n">
        <f aca="false">D73+B73</f>
        <v>1317</v>
      </c>
    </row>
    <row r="74" customFormat="false" ht="12.75" hidden="false" customHeight="false" outlineLevel="0" collapsed="false">
      <c r="A74" s="345" t="s">
        <v>222</v>
      </c>
      <c r="B74" s="346" t="n">
        <v>1155</v>
      </c>
      <c r="C74" s="346" t="s">
        <v>9</v>
      </c>
      <c r="D74" s="346" t="n">
        <v>146</v>
      </c>
      <c r="E74" s="12"/>
      <c r="F74" s="331" t="n">
        <f aca="false">D74+B74</f>
        <v>1301</v>
      </c>
    </row>
    <row r="75" customFormat="false" ht="12.75" hidden="false" customHeight="false" outlineLevel="0" collapsed="false">
      <c r="A75" s="345" t="s">
        <v>8</v>
      </c>
      <c r="B75" s="346" t="n">
        <f aca="false">SUM(B68:B74)</f>
        <v>8836</v>
      </c>
      <c r="C75" s="346" t="s">
        <v>9</v>
      </c>
      <c r="D75" s="346" t="n">
        <f aca="false">SUM(D68:D74)</f>
        <v>1060</v>
      </c>
      <c r="E75" s="12" t="s">
        <v>9</v>
      </c>
      <c r="F75" s="346" t="n">
        <f aca="false">SUM(F68:F74)</f>
        <v>9896</v>
      </c>
    </row>
    <row r="76" customFormat="false" ht="12.75" hidden="false" customHeight="false" outlineLevel="0" collapsed="false">
      <c r="A76" s="345"/>
      <c r="B76" s="345"/>
      <c r="C76" s="345"/>
      <c r="D76" s="345"/>
      <c r="E76" s="0"/>
    </row>
    <row r="77" customFormat="false" ht="12.75" hidden="false" customHeight="false" outlineLevel="0" collapsed="false">
      <c r="A77" s="345"/>
      <c r="B77" s="345"/>
      <c r="C77" s="345"/>
      <c r="D77" s="345"/>
      <c r="E77" s="0"/>
    </row>
    <row r="78" customFormat="false" ht="12.75" hidden="false" customHeight="false" outlineLevel="0" collapsed="false">
      <c r="A78" s="345"/>
      <c r="B78" s="345"/>
      <c r="C78" s="345"/>
      <c r="D78" s="345"/>
      <c r="E78" s="0"/>
    </row>
    <row r="79" customFormat="false" ht="12.75" hidden="false" customHeight="false" outlineLevel="0" collapsed="false">
      <c r="A79" s="345" t="s">
        <v>223</v>
      </c>
      <c r="B79" s="346" t="n">
        <v>50523</v>
      </c>
      <c r="C79" s="345" t="s">
        <v>9</v>
      </c>
      <c r="D79" s="345"/>
      <c r="E79" s="0"/>
    </row>
    <row r="80" customFormat="false" ht="12.75" hidden="false" customHeight="false" outlineLevel="0" collapsed="false">
      <c r="A80" s="345" t="s">
        <v>224</v>
      </c>
      <c r="B80" s="346" t="n">
        <v>70186</v>
      </c>
      <c r="C80" s="345" t="s">
        <v>9</v>
      </c>
      <c r="D80" s="345"/>
      <c r="E80" s="0"/>
    </row>
    <row r="81" customFormat="false" ht="12.75" hidden="false" customHeight="false" outlineLevel="0" collapsed="false">
      <c r="A81" s="345"/>
      <c r="C81" s="345"/>
    </row>
    <row r="82" customFormat="false" ht="12.75" hidden="false" customHeight="false" outlineLevel="0" collapsed="false">
      <c r="A82" s="0"/>
    </row>
    <row r="83" customFormat="false" ht="12.75" hidden="false" customHeight="false" outlineLevel="0" collapsed="false">
      <c r="A83" s="0"/>
    </row>
    <row r="84" customFormat="false" ht="12.75" hidden="false" customHeight="false" outlineLevel="0" collapsed="false">
      <c r="A84" s="0"/>
    </row>
    <row r="85" customFormat="false" ht="12.75" hidden="false" customHeight="false" outlineLevel="0" collapsed="false">
      <c r="A85" s="0"/>
    </row>
    <row r="86" customFormat="false" ht="12.75" hidden="false" customHeight="false" outlineLevel="0" collapsed="false">
      <c r="A86" s="0"/>
    </row>
    <row r="87" customFormat="false" ht="12.75" hidden="false" customHeight="false" outlineLevel="0" collapsed="false">
      <c r="A87" s="0"/>
    </row>
    <row r="88" customFormat="false" ht="12.75" hidden="false" customHeight="false" outlineLevel="0" collapsed="false">
      <c r="A88" s="0"/>
    </row>
    <row r="89" customFormat="false" ht="12.75" hidden="false" customHeight="false" outlineLevel="0" collapsed="false">
      <c r="A89" s="0"/>
    </row>
    <row r="90" customFormat="false" ht="12.75" hidden="false" customHeight="false" outlineLevel="0" collapsed="false">
      <c r="A90" s="0"/>
    </row>
    <row r="91" customFormat="false" ht="12.75" hidden="false" customHeight="false" outlineLevel="0" collapsed="false">
      <c r="A91" s="0"/>
    </row>
    <row r="92" customFormat="false" ht="12.75" hidden="false" customHeight="false" outlineLevel="0" collapsed="false">
      <c r="A92" s="0"/>
    </row>
    <row r="93" customFormat="false" ht="12.75" hidden="false" customHeight="false" outlineLevel="0" collapsed="false">
      <c r="A93" s="0"/>
    </row>
    <row r="94" customFormat="false" ht="12.75" hidden="false" customHeight="false" outlineLevel="0" collapsed="false">
      <c r="A94" s="0"/>
    </row>
    <row r="95" customFormat="false" ht="12.75" hidden="false" customHeight="false" outlineLevel="0" collapsed="false">
      <c r="A95" s="0"/>
    </row>
    <row r="96" customFormat="false" ht="12.75" hidden="false" customHeight="false" outlineLevel="0" collapsed="false">
      <c r="A96" s="0"/>
    </row>
    <row r="97" customFormat="false" ht="12.75" hidden="false" customHeight="false" outlineLevel="0" collapsed="false">
      <c r="A97" s="0"/>
    </row>
    <row r="98" customFormat="false" ht="12.75" hidden="false" customHeight="false" outlineLevel="0" collapsed="false">
      <c r="A98" s="0"/>
    </row>
    <row r="99" customFormat="false" ht="12.75" hidden="false" customHeight="false" outlineLevel="0" collapsed="false">
      <c r="A99" s="0"/>
    </row>
    <row r="100" customFormat="false" ht="12.75" hidden="false" customHeight="false" outlineLevel="0" collapsed="false">
      <c r="A100" s="0"/>
    </row>
    <row r="101" customFormat="false" ht="12.75" hidden="false" customHeight="false" outlineLevel="0" collapsed="false">
      <c r="A101" s="0"/>
    </row>
    <row r="102" customFormat="false" ht="12.75" hidden="false" customHeight="false" outlineLevel="0" collapsed="false">
      <c r="A102" s="0"/>
    </row>
    <row r="103" customFormat="false" ht="12.75" hidden="false" customHeight="false" outlineLevel="0" collapsed="false">
      <c r="A103" s="0"/>
    </row>
    <row r="104" customFormat="false" ht="12.75" hidden="false" customHeight="false" outlineLevel="0" collapsed="false">
      <c r="A104" s="0"/>
    </row>
    <row r="105" customFormat="false" ht="12.75" hidden="false" customHeight="false" outlineLevel="0" collapsed="false">
      <c r="A105" s="0"/>
    </row>
    <row r="106" customFormat="false" ht="12.75" hidden="false" customHeight="false" outlineLevel="0" collapsed="false">
      <c r="A106" s="0"/>
    </row>
    <row r="107" customFormat="false" ht="12.75" hidden="false" customHeight="false" outlineLevel="0" collapsed="false">
      <c r="A107" s="0"/>
    </row>
    <row r="108" customFormat="false" ht="12.75" hidden="false" customHeight="false" outlineLevel="0" collapsed="false">
      <c r="A108" s="0"/>
    </row>
    <row r="109" customFormat="false" ht="12.75" hidden="false" customHeight="false" outlineLevel="0" collapsed="false">
      <c r="A109" s="0"/>
    </row>
    <row r="110" customFormat="false" ht="12.75" hidden="false" customHeight="false" outlineLevel="0" collapsed="false">
      <c r="A110" s="0"/>
    </row>
    <row r="111" customFormat="false" ht="12.75" hidden="false" customHeight="false" outlineLevel="0" collapsed="false">
      <c r="A111" s="0"/>
    </row>
    <row r="112" customFormat="false" ht="12.75" hidden="false" customHeight="false" outlineLevel="0" collapsed="false">
      <c r="A112" s="0"/>
    </row>
    <row r="113" customFormat="false" ht="12.75" hidden="false" customHeight="false" outlineLevel="0" collapsed="false">
      <c r="A113" s="0"/>
    </row>
    <row r="114" customFormat="false" ht="12.75" hidden="false" customHeight="false" outlineLevel="0" collapsed="false">
      <c r="A114" s="0"/>
    </row>
    <row r="115" customFormat="false" ht="12.75" hidden="false" customHeight="false" outlineLevel="0" collapsed="false">
      <c r="A115" s="0"/>
    </row>
  </sheetData>
  <mergeCells count="2">
    <mergeCell ref="F4:H4"/>
    <mergeCell ref="J4:L4"/>
  </mergeCells>
  <printOptions headings="false" gridLines="false" gridLinesSet="true" horizontalCentered="false" verticalCentered="false"/>
  <pageMargins left="1" right="1" top="0.5" bottom="0.5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7" topLeftCell="B97" activePane="bottomRight" state="frozen"/>
      <selection pane="topLeft" activeCell="A1" activeCellId="0" sqref="A1"/>
      <selection pane="topRight" activeCell="B1" activeCellId="0" sqref="B1"/>
      <selection pane="bottomLeft" activeCell="A97" activeCellId="0" sqref="A97"/>
      <selection pane="bottomRight" activeCell="H9" activeCellId="0" sqref="H9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80" width="29.56"/>
    <col collapsed="false" customWidth="true" hidden="false" outlineLevel="0" max="2" min="2" style="80" width="14.56"/>
    <col collapsed="false" customWidth="true" hidden="false" outlineLevel="0" max="3" min="3" style="80" width="2.42"/>
    <col collapsed="false" customWidth="true" hidden="false" outlineLevel="0" max="4" min="4" style="347" width="14.7"/>
    <col collapsed="false" customWidth="true" hidden="false" outlineLevel="0" max="5" min="5" style="348" width="1.99"/>
    <col collapsed="false" customWidth="true" hidden="false" outlineLevel="0" max="6" min="6" style="349" width="14.7"/>
    <col collapsed="false" customWidth="true" hidden="false" outlineLevel="0" max="7" min="7" style="348" width="2.7"/>
    <col collapsed="false" customWidth="true" hidden="false" outlineLevel="0" max="8" min="8" style="349" width="15.56"/>
    <col collapsed="false" customWidth="true" hidden="false" outlineLevel="0" max="9" min="9" style="348" width="2.42"/>
    <col collapsed="false" customWidth="true" hidden="false" outlineLevel="0" max="10" min="10" style="349" width="14.7"/>
    <col collapsed="false" customWidth="true" hidden="false" outlineLevel="0" max="11" min="11" style="348" width="1.41"/>
    <col collapsed="false" customWidth="true" hidden="false" outlineLevel="0" max="12" min="12" style="349" width="14.7"/>
    <col collapsed="false" customWidth="true" hidden="false" outlineLevel="0" max="13" min="13" style="348" width="2.13"/>
    <col collapsed="false" customWidth="true" hidden="false" outlineLevel="0" max="14" min="14" style="349" width="14.7"/>
    <col collapsed="false" customWidth="false" hidden="false" outlineLevel="0" max="257" min="15" style="80" width="9.14"/>
  </cols>
  <sheetData>
    <row r="1" customFormat="false" ht="12.75" hidden="false" customHeight="false" outlineLevel="0" collapsed="false">
      <c r="A1" s="350" t="s">
        <v>225</v>
      </c>
    </row>
    <row r="2" customFormat="false" ht="12.75" hidden="false" customHeight="false" outlineLevel="0" collapsed="false">
      <c r="A2" s="350" t="s">
        <v>226</v>
      </c>
      <c r="D2" s="351" t="s">
        <v>175</v>
      </c>
    </row>
    <row r="3" customFormat="false" ht="12" hidden="false" customHeight="false" outlineLevel="0" collapsed="false">
      <c r="A3" s="350" t="s">
        <v>227</v>
      </c>
    </row>
    <row r="4" customFormat="false" ht="12.75" hidden="false" customHeight="false" outlineLevel="0" collapsed="false">
      <c r="A4" s="0"/>
      <c r="D4" s="352" t="s">
        <v>228</v>
      </c>
      <c r="E4" s="352"/>
      <c r="F4" s="352"/>
      <c r="G4" s="352"/>
      <c r="H4" s="352"/>
      <c r="J4" s="353" t="s">
        <v>229</v>
      </c>
      <c r="K4" s="353"/>
      <c r="L4" s="353"/>
      <c r="M4" s="353"/>
      <c r="N4" s="353"/>
    </row>
    <row r="5" customFormat="false" ht="12" hidden="false" customHeight="false" outlineLevel="0" collapsed="false">
      <c r="D5" s="354"/>
    </row>
    <row r="6" customFormat="false" ht="12" hidden="false" customHeight="false" outlineLevel="0" collapsed="false">
      <c r="B6" s="355" t="s">
        <v>230</v>
      </c>
      <c r="D6" s="354" t="s">
        <v>1</v>
      </c>
      <c r="F6" s="356" t="s">
        <v>30</v>
      </c>
      <c r="H6" s="356" t="s">
        <v>31</v>
      </c>
      <c r="J6" s="356" t="s">
        <v>1</v>
      </c>
      <c r="K6" s="353"/>
      <c r="L6" s="356" t="s">
        <v>30</v>
      </c>
      <c r="M6" s="353"/>
      <c r="N6" s="356" t="s">
        <v>31</v>
      </c>
    </row>
    <row r="7" customFormat="false" ht="12" hidden="false" customHeight="false" outlineLevel="0" collapsed="false">
      <c r="A7" s="357"/>
      <c r="B7" s="358" t="s">
        <v>231</v>
      </c>
      <c r="D7" s="359" t="s">
        <v>182</v>
      </c>
      <c r="F7" s="360" t="s">
        <v>182</v>
      </c>
      <c r="H7" s="360" t="s">
        <v>183</v>
      </c>
      <c r="J7" s="360" t="s">
        <v>182</v>
      </c>
      <c r="K7" s="361"/>
      <c r="L7" s="360" t="s">
        <v>182</v>
      </c>
      <c r="M7" s="361"/>
      <c r="N7" s="360" t="s">
        <v>183</v>
      </c>
    </row>
    <row r="8" customFormat="false" ht="12" hidden="false" customHeight="false" outlineLevel="0" collapsed="false">
      <c r="A8" s="357" t="s">
        <v>232</v>
      </c>
      <c r="B8" s="358"/>
    </row>
    <row r="9" customFormat="false" ht="12" hidden="false" customHeight="false" outlineLevel="0" collapsed="false">
      <c r="A9" s="80" t="s">
        <v>233</v>
      </c>
      <c r="B9" s="362" t="n">
        <v>105000000</v>
      </c>
      <c r="D9" s="363" t="n">
        <f aca="false">-D10-D17-D29</f>
        <v>6475000</v>
      </c>
      <c r="E9" s="364"/>
      <c r="F9" s="365" t="n">
        <f aca="false">-F10-F17-F29</f>
        <v>17275000</v>
      </c>
      <c r="G9" s="364"/>
      <c r="H9" s="365" t="n">
        <f aca="false">-H10-H17-H29</f>
        <v>35275000</v>
      </c>
      <c r="I9" s="366"/>
      <c r="J9" s="367" t="n">
        <f aca="false">$B9+D9</f>
        <v>111475000</v>
      </c>
      <c r="K9" s="366"/>
      <c r="L9" s="367" t="n">
        <f aca="false">$B9+F9</f>
        <v>122275000</v>
      </c>
      <c r="M9" s="366"/>
      <c r="N9" s="367" t="n">
        <f aca="false">$B9+H9</f>
        <v>140275000</v>
      </c>
    </row>
    <row r="10" customFormat="false" ht="12" hidden="false" customHeight="false" outlineLevel="0" collapsed="false">
      <c r="A10" s="80" t="s">
        <v>234</v>
      </c>
      <c r="B10" s="362" t="n">
        <v>597000000</v>
      </c>
      <c r="D10" s="368" t="n">
        <f aca="false">-A1!H13*1000</f>
        <v>-0</v>
      </c>
      <c r="E10" s="369"/>
      <c r="F10" s="370" t="n">
        <f aca="false">-A1!J13*1000</f>
        <v>-0</v>
      </c>
      <c r="G10" s="369"/>
      <c r="H10" s="370" t="n">
        <f aca="false">-A1!L13*1000</f>
        <v>-0</v>
      </c>
      <c r="J10" s="349" t="n">
        <f aca="false">$B10+D10</f>
        <v>597000000</v>
      </c>
      <c r="L10" s="349" t="n">
        <f aca="false">$B10+F10</f>
        <v>597000000</v>
      </c>
      <c r="N10" s="349" t="n">
        <f aca="false">$B10+H10</f>
        <v>597000000</v>
      </c>
    </row>
    <row r="11" customFormat="false" ht="12" hidden="false" customHeight="false" outlineLevel="0" collapsed="false">
      <c r="A11" s="80" t="s">
        <v>235</v>
      </c>
      <c r="B11" s="362" t="n">
        <v>0</v>
      </c>
      <c r="J11" s="349" t="n">
        <f aca="false">$B11+D11</f>
        <v>0</v>
      </c>
      <c r="L11" s="349" t="n">
        <f aca="false">$B11+F11</f>
        <v>0</v>
      </c>
      <c r="N11" s="349" t="n">
        <f aca="false">$B11+H11</f>
        <v>0</v>
      </c>
    </row>
    <row r="12" customFormat="false" ht="12" hidden="false" customHeight="false" outlineLevel="0" collapsed="false">
      <c r="A12" s="80" t="s">
        <v>236</v>
      </c>
      <c r="B12" s="362" t="n">
        <v>0</v>
      </c>
      <c r="J12" s="349" t="n">
        <f aca="false">$B12+D12</f>
        <v>0</v>
      </c>
      <c r="L12" s="349" t="n">
        <f aca="false">$B12+F12</f>
        <v>0</v>
      </c>
      <c r="N12" s="349" t="n">
        <f aca="false">$B12+H12</f>
        <v>0</v>
      </c>
    </row>
    <row r="13" customFormat="false" ht="12" hidden="false" customHeight="false" outlineLevel="0" collapsed="false">
      <c r="A13" s="80" t="s">
        <v>237</v>
      </c>
      <c r="B13" s="362" t="n">
        <v>0</v>
      </c>
      <c r="J13" s="349" t="n">
        <f aca="false">$B13+D13</f>
        <v>0</v>
      </c>
      <c r="L13" s="349" t="n">
        <f aca="false">$B13+F13</f>
        <v>0</v>
      </c>
      <c r="N13" s="349" t="n">
        <f aca="false">$B13+H13</f>
        <v>0</v>
      </c>
    </row>
    <row r="14" customFormat="false" ht="12" hidden="false" customHeight="false" outlineLevel="0" collapsed="false">
      <c r="A14" s="80" t="s">
        <v>238</v>
      </c>
      <c r="B14" s="362" t="n">
        <v>0</v>
      </c>
      <c r="J14" s="349" t="n">
        <f aca="false">$B14+D14</f>
        <v>0</v>
      </c>
      <c r="L14" s="349" t="n">
        <f aca="false">$B14+F14</f>
        <v>0</v>
      </c>
      <c r="N14" s="349" t="n">
        <f aca="false">$B14+H14</f>
        <v>0</v>
      </c>
    </row>
    <row r="15" customFormat="false" ht="12" hidden="false" customHeight="false" outlineLevel="0" collapsed="false">
      <c r="A15" s="80" t="s">
        <v>239</v>
      </c>
      <c r="B15" s="362" t="n">
        <v>0</v>
      </c>
      <c r="J15" s="349" t="n">
        <f aca="false">$B15+D15</f>
        <v>0</v>
      </c>
      <c r="L15" s="349" t="n">
        <f aca="false">$B15+F15</f>
        <v>0</v>
      </c>
      <c r="N15" s="349" t="n">
        <f aca="false">$B15+H15</f>
        <v>0</v>
      </c>
    </row>
    <row r="16" customFormat="false" ht="12" hidden="false" customHeight="false" outlineLevel="0" collapsed="false">
      <c r="A16" s="80" t="s">
        <v>240</v>
      </c>
      <c r="B16" s="362" t="n">
        <v>0</v>
      </c>
      <c r="J16" s="349" t="n">
        <f aca="false">$B16+D16</f>
        <v>0</v>
      </c>
      <c r="L16" s="349" t="n">
        <f aca="false">$B16+F16</f>
        <v>0</v>
      </c>
      <c r="N16" s="349" t="n">
        <f aca="false">$B16+H16</f>
        <v>0</v>
      </c>
    </row>
    <row r="17" customFormat="false" ht="12" hidden="false" customHeight="false" outlineLevel="0" collapsed="false">
      <c r="A17" s="80" t="s">
        <v>241</v>
      </c>
      <c r="B17" s="362" t="n">
        <v>360000000</v>
      </c>
      <c r="D17" s="368" t="n">
        <f aca="false">-A2!H14</f>
        <v>-7200000</v>
      </c>
      <c r="E17" s="369"/>
      <c r="F17" s="368" t="n">
        <f aca="false">-A2!J14</f>
        <v>-18000000</v>
      </c>
      <c r="G17" s="369"/>
      <c r="H17" s="368" t="n">
        <f aca="false">-A2!L14</f>
        <v>-36000000</v>
      </c>
      <c r="J17" s="349" t="n">
        <f aca="false">$B17+D17</f>
        <v>352800000</v>
      </c>
      <c r="L17" s="349" t="n">
        <f aca="false">$B17+F17</f>
        <v>342000000</v>
      </c>
      <c r="N17" s="349" t="n">
        <f aca="false">$B17+H17</f>
        <v>324000000</v>
      </c>
    </row>
    <row r="18" customFormat="false" ht="12" hidden="false" customHeight="false" outlineLevel="0" collapsed="false">
      <c r="A18" s="80" t="s">
        <v>242</v>
      </c>
      <c r="B18" s="362" t="n">
        <v>0</v>
      </c>
      <c r="J18" s="349" t="n">
        <f aca="false">$B18+D18</f>
        <v>0</v>
      </c>
      <c r="L18" s="349" t="n">
        <f aca="false">$B18+F18</f>
        <v>0</v>
      </c>
      <c r="N18" s="349" t="n">
        <f aca="false">$B18+H18</f>
        <v>0</v>
      </c>
    </row>
    <row r="19" customFormat="false" ht="12" hidden="false" customHeight="false" outlineLevel="0" collapsed="false">
      <c r="A19" s="80" t="s">
        <v>243</v>
      </c>
      <c r="B19" s="362" t="n">
        <v>0</v>
      </c>
      <c r="J19" s="349" t="n">
        <f aca="false">$B19+D19</f>
        <v>0</v>
      </c>
      <c r="L19" s="349" t="n">
        <f aca="false">$B19+F19</f>
        <v>0</v>
      </c>
      <c r="N19" s="349" t="n">
        <f aca="false">$B19+H19</f>
        <v>0</v>
      </c>
    </row>
    <row r="20" customFormat="false" ht="14.25" hidden="false" customHeight="false" outlineLevel="0" collapsed="false">
      <c r="A20" s="80" t="s">
        <v>244</v>
      </c>
      <c r="B20" s="371" t="n">
        <v>223000000</v>
      </c>
      <c r="D20" s="372"/>
      <c r="F20" s="373"/>
      <c r="H20" s="373"/>
      <c r="J20" s="373" t="n">
        <f aca="false">$B20+D20</f>
        <v>223000000</v>
      </c>
      <c r="L20" s="373" t="n">
        <f aca="false">$B20+F20</f>
        <v>223000000</v>
      </c>
      <c r="N20" s="373" t="n">
        <f aca="false">$B20+H20</f>
        <v>223000000</v>
      </c>
    </row>
    <row r="21" customFormat="false" ht="12" hidden="false" customHeight="false" outlineLevel="0" collapsed="false">
      <c r="B21" s="349"/>
    </row>
    <row r="22" customFormat="false" ht="12" hidden="false" customHeight="false" outlineLevel="0" collapsed="false">
      <c r="A22" s="80" t="s">
        <v>245</v>
      </c>
      <c r="B22" s="349" t="n">
        <f aca="false">SUM(B9:B20)</f>
        <v>1285000000</v>
      </c>
      <c r="D22" s="347" t="n">
        <f aca="false">SUM(D9:D20)</f>
        <v>-725000</v>
      </c>
      <c r="F22" s="349" t="n">
        <f aca="false">SUM(F9:F20)</f>
        <v>-725000</v>
      </c>
      <c r="H22" s="349" t="n">
        <f aca="false">SUM(H9:H20)</f>
        <v>-725000</v>
      </c>
      <c r="J22" s="349" t="n">
        <f aca="false">SUM(J9:J20)</f>
        <v>1284275000</v>
      </c>
      <c r="L22" s="349" t="n">
        <f aca="false">SUM(L9:L20)</f>
        <v>1284275000</v>
      </c>
      <c r="N22" s="349" t="n">
        <f aca="false">SUM(N9:N20)</f>
        <v>1284275000</v>
      </c>
    </row>
    <row r="23" customFormat="false" ht="12" hidden="false" customHeight="false" outlineLevel="0" collapsed="false">
      <c r="B23" s="349"/>
    </row>
    <row r="24" customFormat="false" ht="12" hidden="false" customHeight="false" outlineLevel="0" collapsed="false">
      <c r="B24" s="349"/>
    </row>
    <row r="25" customFormat="false" ht="12.75" hidden="false" customHeight="false" outlineLevel="0" collapsed="false">
      <c r="A25" s="104"/>
      <c r="B25" s="104"/>
    </row>
    <row r="26" customFormat="false" ht="12" hidden="false" customHeight="false" outlineLevel="0" collapsed="false">
      <c r="B26" s="349"/>
    </row>
    <row r="27" customFormat="false" ht="12" hidden="false" customHeight="false" outlineLevel="0" collapsed="false">
      <c r="A27" s="80" t="s">
        <v>246</v>
      </c>
      <c r="B27" s="362" t="n">
        <v>0</v>
      </c>
      <c r="J27" s="349" t="n">
        <f aca="false">$B27+D27</f>
        <v>0</v>
      </c>
      <c r="L27" s="349" t="n">
        <f aca="false">$B27+F27</f>
        <v>0</v>
      </c>
      <c r="N27" s="349" t="n">
        <f aca="false">$B27+H27</f>
        <v>0</v>
      </c>
    </row>
    <row r="28" customFormat="false" ht="12" hidden="false" customHeight="false" outlineLevel="0" collapsed="false">
      <c r="A28" s="80" t="s">
        <v>247</v>
      </c>
      <c r="B28" s="362" t="n">
        <v>0</v>
      </c>
      <c r="J28" s="349" t="n">
        <f aca="false">$B28+D28</f>
        <v>0</v>
      </c>
      <c r="L28" s="349" t="n">
        <f aca="false">$B28+F28</f>
        <v>0</v>
      </c>
      <c r="N28" s="349" t="n">
        <f aca="false">$B28+H28</f>
        <v>0</v>
      </c>
    </row>
    <row r="29" customFormat="false" ht="12" hidden="false" customHeight="false" outlineLevel="0" collapsed="false">
      <c r="A29" s="80" t="s">
        <v>248</v>
      </c>
      <c r="B29" s="362" t="n">
        <v>28196000000</v>
      </c>
      <c r="D29" s="368" t="n">
        <f aca="false">+'SW Cost'!E22</f>
        <v>725000</v>
      </c>
      <c r="E29" s="369"/>
      <c r="F29" s="370" t="n">
        <f aca="false">+'SW Cost'!E22</f>
        <v>725000</v>
      </c>
      <c r="G29" s="369"/>
      <c r="H29" s="370" t="n">
        <f aca="false">+'SW Cost'!E22</f>
        <v>725000</v>
      </c>
      <c r="J29" s="349" t="n">
        <f aca="false">$B29+D29</f>
        <v>28196725000</v>
      </c>
      <c r="L29" s="349" t="n">
        <f aca="false">$B29+F29</f>
        <v>28196725000</v>
      </c>
      <c r="N29" s="349" t="n">
        <f aca="false">$B29+H29</f>
        <v>28196725000</v>
      </c>
    </row>
    <row r="30" customFormat="false" ht="12" hidden="false" customHeight="false" outlineLevel="0" collapsed="false">
      <c r="A30" s="80" t="s">
        <v>249</v>
      </c>
      <c r="B30" s="362" t="n">
        <v>0</v>
      </c>
      <c r="J30" s="349" t="n">
        <f aca="false">$B30+D30</f>
        <v>0</v>
      </c>
      <c r="L30" s="349" t="n">
        <f aca="false">$B30+F30</f>
        <v>0</v>
      </c>
      <c r="N30" s="349" t="n">
        <f aca="false">$B30+H30</f>
        <v>0</v>
      </c>
    </row>
    <row r="31" customFormat="false" ht="12" hidden="false" customHeight="false" outlineLevel="0" collapsed="false">
      <c r="A31" s="80" t="s">
        <v>250</v>
      </c>
      <c r="B31" s="362" t="n">
        <v>0</v>
      </c>
      <c r="D31" s="368" t="n">
        <f aca="false">-Inc!F32</f>
        <v>-241666.666666667</v>
      </c>
      <c r="E31" s="369"/>
      <c r="F31" s="370" t="n">
        <f aca="false">+D31</f>
        <v>-241666.666666667</v>
      </c>
      <c r="G31" s="369"/>
      <c r="H31" s="370" t="n">
        <f aca="false">+D31</f>
        <v>-241666.666666667</v>
      </c>
      <c r="J31" s="349" t="n">
        <f aca="false">$B31+D31</f>
        <v>-241666.666666667</v>
      </c>
      <c r="L31" s="349" t="n">
        <f aca="false">$B31+F31</f>
        <v>-241666.666666667</v>
      </c>
      <c r="N31" s="349" t="n">
        <f aca="false">$B31+H31</f>
        <v>-241666.666666667</v>
      </c>
    </row>
    <row r="32" customFormat="false" ht="14.25" hidden="false" customHeight="false" outlineLevel="0" collapsed="false">
      <c r="A32" s="80" t="s">
        <v>251</v>
      </c>
      <c r="B32" s="371" t="n">
        <v>0</v>
      </c>
      <c r="D32" s="372"/>
      <c r="F32" s="373"/>
      <c r="H32" s="373"/>
      <c r="J32" s="373" t="n">
        <f aca="false">$B32+D32</f>
        <v>0</v>
      </c>
      <c r="L32" s="373" t="n">
        <f aca="false">$B32+F32</f>
        <v>0</v>
      </c>
      <c r="N32" s="373" t="n">
        <f aca="false">$B32+H32</f>
        <v>0</v>
      </c>
    </row>
    <row r="33" customFormat="false" ht="12" hidden="false" customHeight="false" outlineLevel="0" collapsed="false">
      <c r="B33" s="349"/>
    </row>
    <row r="34" customFormat="false" ht="12" hidden="false" customHeight="false" outlineLevel="0" collapsed="false">
      <c r="A34" s="80" t="s">
        <v>252</v>
      </c>
      <c r="B34" s="349" t="n">
        <f aca="false">SUM(B27:B32)</f>
        <v>28196000000</v>
      </c>
      <c r="D34" s="347" t="n">
        <f aca="false">SUM(D27:D33)</f>
        <v>483333.333333333</v>
      </c>
      <c r="F34" s="349" t="n">
        <f aca="false">SUM(F27:F33)</f>
        <v>483333.333333333</v>
      </c>
      <c r="H34" s="349" t="n">
        <f aca="false">SUM(H27:H33)</f>
        <v>483333.333333333</v>
      </c>
      <c r="J34" s="349" t="n">
        <f aca="false">SUM(J27:J33)</f>
        <v>28196483333.3333</v>
      </c>
      <c r="L34" s="349" t="n">
        <f aca="false">SUM(L27:L33)</f>
        <v>28196483333.3333</v>
      </c>
      <c r="N34" s="349" t="n">
        <f aca="false">SUM(N27:N33)</f>
        <v>28196483333.3333</v>
      </c>
    </row>
    <row r="35" customFormat="false" ht="12" hidden="false" customHeight="false" outlineLevel="0" collapsed="false">
      <c r="B35" s="349"/>
    </row>
    <row r="36" customFormat="false" ht="12" hidden="false" customHeight="false" outlineLevel="0" collapsed="false">
      <c r="A36" s="80" t="s">
        <v>253</v>
      </c>
      <c r="B36" s="362" t="n">
        <v>0</v>
      </c>
      <c r="J36" s="349" t="n">
        <f aca="false">$B36+D36</f>
        <v>0</v>
      </c>
      <c r="L36" s="349" t="n">
        <f aca="false">$B36+F36</f>
        <v>0</v>
      </c>
      <c r="N36" s="349" t="n">
        <f aca="false">$B36+H36</f>
        <v>0</v>
      </c>
    </row>
    <row r="37" customFormat="false" ht="12" hidden="false" customHeight="false" outlineLevel="0" collapsed="false">
      <c r="A37" s="80" t="s">
        <v>254</v>
      </c>
      <c r="B37" s="362" t="n">
        <v>0</v>
      </c>
      <c r="J37" s="349" t="n">
        <f aca="false">$B37+D37</f>
        <v>0</v>
      </c>
      <c r="L37" s="349" t="n">
        <f aca="false">$B37+F37</f>
        <v>0</v>
      </c>
      <c r="N37" s="349" t="n">
        <f aca="false">$B37+H37</f>
        <v>0</v>
      </c>
    </row>
    <row r="38" customFormat="false" ht="12" hidden="false" customHeight="false" outlineLevel="0" collapsed="false">
      <c r="A38" s="80" t="s">
        <v>255</v>
      </c>
      <c r="B38" s="362" t="n">
        <v>0</v>
      </c>
      <c r="J38" s="349" t="n">
        <f aca="false">$B38+D38</f>
        <v>0</v>
      </c>
      <c r="L38" s="349" t="n">
        <f aca="false">$B38+F38</f>
        <v>0</v>
      </c>
      <c r="N38" s="349" t="n">
        <f aca="false">$B38+H38</f>
        <v>0</v>
      </c>
    </row>
    <row r="39" customFormat="false" ht="12" hidden="false" customHeight="false" outlineLevel="0" collapsed="false">
      <c r="A39" s="80" t="s">
        <v>256</v>
      </c>
      <c r="B39" s="362" t="n">
        <v>0</v>
      </c>
      <c r="J39" s="349" t="n">
        <f aca="false">$B39+D39</f>
        <v>0</v>
      </c>
      <c r="L39" s="349" t="n">
        <f aca="false">$B39+F39</f>
        <v>0</v>
      </c>
      <c r="N39" s="349" t="n">
        <f aca="false">$B39+H39</f>
        <v>0</v>
      </c>
    </row>
    <row r="40" customFormat="false" ht="12" hidden="false" customHeight="false" outlineLevel="0" collapsed="false">
      <c r="A40" s="80" t="s">
        <v>257</v>
      </c>
      <c r="B40" s="362" t="n">
        <v>0</v>
      </c>
      <c r="J40" s="349" t="n">
        <f aca="false">$B40+D40</f>
        <v>0</v>
      </c>
      <c r="L40" s="349" t="n">
        <f aca="false">$B40+F40</f>
        <v>0</v>
      </c>
      <c r="N40" s="349" t="n">
        <f aca="false">$B40+H40</f>
        <v>0</v>
      </c>
    </row>
    <row r="41" customFormat="false" ht="12" hidden="false" customHeight="false" outlineLevel="0" collapsed="false">
      <c r="A41" s="80" t="s">
        <v>258</v>
      </c>
      <c r="B41" s="362" t="n">
        <v>0</v>
      </c>
      <c r="J41" s="349" t="n">
        <f aca="false">$B41+D41</f>
        <v>0</v>
      </c>
      <c r="L41" s="349" t="n">
        <f aca="false">$B41+F41</f>
        <v>0</v>
      </c>
      <c r="N41" s="349" t="n">
        <f aca="false">$B41+H41</f>
        <v>0</v>
      </c>
    </row>
    <row r="42" customFormat="false" ht="12" hidden="false" customHeight="false" outlineLevel="0" collapsed="false">
      <c r="A42" s="80" t="s">
        <v>259</v>
      </c>
      <c r="B42" s="362" t="n">
        <v>0</v>
      </c>
      <c r="J42" s="349" t="n">
        <f aca="false">$B42+D42</f>
        <v>0</v>
      </c>
      <c r="L42" s="349" t="n">
        <f aca="false">$B42+F42</f>
        <v>0</v>
      </c>
      <c r="N42" s="349" t="n">
        <f aca="false">$B42+H42</f>
        <v>0</v>
      </c>
    </row>
    <row r="43" customFormat="false" ht="12" hidden="false" customHeight="false" outlineLevel="0" collapsed="false">
      <c r="A43" s="80" t="s">
        <v>260</v>
      </c>
      <c r="B43" s="362" t="n">
        <v>0</v>
      </c>
      <c r="J43" s="349" t="n">
        <f aca="false">$B43+D43</f>
        <v>0</v>
      </c>
      <c r="L43" s="349" t="n">
        <f aca="false">$B43+F43</f>
        <v>0</v>
      </c>
      <c r="N43" s="349" t="n">
        <f aca="false">$B43+H43</f>
        <v>0</v>
      </c>
    </row>
    <row r="44" customFormat="false" ht="12" hidden="false" customHeight="false" outlineLevel="0" collapsed="false">
      <c r="A44" s="80" t="s">
        <v>261</v>
      </c>
      <c r="B44" s="362" t="n">
        <v>740000000</v>
      </c>
      <c r="J44" s="349" t="n">
        <f aca="false">$B44+D44</f>
        <v>740000000</v>
      </c>
      <c r="L44" s="349" t="n">
        <f aca="false">$B44+F44</f>
        <v>740000000</v>
      </c>
      <c r="N44" s="349" t="n">
        <f aca="false">$B44+H44</f>
        <v>740000000</v>
      </c>
    </row>
    <row r="45" customFormat="false" ht="12" hidden="false" customHeight="false" outlineLevel="0" collapsed="false">
      <c r="A45" s="80" t="s">
        <v>262</v>
      </c>
      <c r="B45" s="362" t="n">
        <v>0</v>
      </c>
      <c r="J45" s="349" t="n">
        <f aca="false">$B45+D45</f>
        <v>0</v>
      </c>
      <c r="L45" s="349" t="n">
        <f aca="false">$B45+F45</f>
        <v>0</v>
      </c>
      <c r="N45" s="349" t="n">
        <f aca="false">$B45+H45</f>
        <v>0</v>
      </c>
    </row>
    <row r="46" customFormat="false" ht="14.25" hidden="false" customHeight="false" outlineLevel="0" collapsed="false">
      <c r="A46" s="80" t="s">
        <v>263</v>
      </c>
      <c r="B46" s="371" t="n">
        <v>0</v>
      </c>
      <c r="D46" s="372"/>
      <c r="F46" s="373"/>
      <c r="H46" s="373"/>
      <c r="J46" s="373" t="n">
        <f aca="false">$B46+D46</f>
        <v>0</v>
      </c>
      <c r="L46" s="373" t="n">
        <f aca="false">$B46+F46</f>
        <v>0</v>
      </c>
      <c r="N46" s="373" t="n">
        <f aca="false">$B46+H46</f>
        <v>0</v>
      </c>
    </row>
    <row r="47" customFormat="false" ht="12" hidden="false" customHeight="false" outlineLevel="0" collapsed="false">
      <c r="B47" s="349"/>
    </row>
    <row r="48" customFormat="false" ht="12" hidden="false" customHeight="false" outlineLevel="0" collapsed="false">
      <c r="A48" s="80" t="s">
        <v>264</v>
      </c>
      <c r="B48" s="349" t="n">
        <f aca="false">SUM(B36:B46)</f>
        <v>740000000</v>
      </c>
      <c r="D48" s="347" t="n">
        <f aca="false">SUM(D36:D47)</f>
        <v>0</v>
      </c>
      <c r="F48" s="349" t="n">
        <f aca="false">SUM(F36:F47)</f>
        <v>0</v>
      </c>
      <c r="H48" s="349" t="n">
        <f aca="false">SUM(H36:H47)</f>
        <v>0</v>
      </c>
      <c r="J48" s="349" t="n">
        <f aca="false">SUM(J36:J47)</f>
        <v>740000000</v>
      </c>
      <c r="L48" s="349" t="n">
        <f aca="false">SUM(L36:L47)</f>
        <v>740000000</v>
      </c>
      <c r="N48" s="349" t="n">
        <f aca="false">SUM(N36:N47)</f>
        <v>740000000</v>
      </c>
    </row>
    <row r="49" customFormat="false" ht="12" hidden="false" customHeight="false" outlineLevel="0" collapsed="false">
      <c r="B49" s="349"/>
    </row>
    <row r="50" customFormat="false" ht="12" hidden="false" customHeight="false" outlineLevel="0" collapsed="false">
      <c r="A50" s="80" t="s">
        <v>265</v>
      </c>
      <c r="B50" s="362" t="n">
        <v>0</v>
      </c>
      <c r="J50" s="349" t="n">
        <f aca="false">$B50+D50</f>
        <v>0</v>
      </c>
      <c r="L50" s="349" t="n">
        <f aca="false">$B50+F50</f>
        <v>0</v>
      </c>
      <c r="N50" s="349" t="n">
        <f aca="false">$B50+H50</f>
        <v>0</v>
      </c>
    </row>
    <row r="51" customFormat="false" ht="12" hidden="false" customHeight="false" outlineLevel="0" collapsed="false">
      <c r="A51" s="80" t="s">
        <v>266</v>
      </c>
      <c r="B51" s="362" t="n">
        <v>0</v>
      </c>
      <c r="J51" s="349" t="n">
        <f aca="false">$B51+D51</f>
        <v>0</v>
      </c>
      <c r="L51" s="349" t="n">
        <f aca="false">$B51+F51</f>
        <v>0</v>
      </c>
      <c r="N51" s="349" t="n">
        <f aca="false">$B51+H51</f>
        <v>0</v>
      </c>
    </row>
    <row r="52" customFormat="false" ht="12" hidden="false" customHeight="false" outlineLevel="0" collapsed="false">
      <c r="A52" s="80" t="s">
        <v>267</v>
      </c>
      <c r="B52" s="362" t="n">
        <v>0</v>
      </c>
      <c r="J52" s="349" t="n">
        <f aca="false">$B52+D52</f>
        <v>0</v>
      </c>
      <c r="L52" s="349" t="n">
        <f aca="false">$B52+F52</f>
        <v>0</v>
      </c>
      <c r="N52" s="349" t="n">
        <f aca="false">$B52+H52</f>
        <v>0</v>
      </c>
    </row>
    <row r="53" customFormat="false" ht="12" hidden="false" customHeight="false" outlineLevel="0" collapsed="false">
      <c r="A53" s="80" t="s">
        <v>268</v>
      </c>
      <c r="B53" s="362" t="n">
        <v>0</v>
      </c>
      <c r="J53" s="349" t="n">
        <f aca="false">$B53+D53</f>
        <v>0</v>
      </c>
      <c r="L53" s="349" t="n">
        <f aca="false">$B53+F53</f>
        <v>0</v>
      </c>
      <c r="N53" s="349" t="n">
        <f aca="false">$B53+H53</f>
        <v>0</v>
      </c>
    </row>
    <row r="54" customFormat="false" ht="12" hidden="false" customHeight="false" outlineLevel="0" collapsed="false">
      <c r="A54" s="80" t="s">
        <v>269</v>
      </c>
      <c r="B54" s="362" t="n">
        <v>0</v>
      </c>
      <c r="J54" s="349" t="n">
        <f aca="false">$B54+D54</f>
        <v>0</v>
      </c>
      <c r="L54" s="349" t="n">
        <f aca="false">$B54+F54</f>
        <v>0</v>
      </c>
      <c r="N54" s="349" t="n">
        <f aca="false">$B54+H54</f>
        <v>0</v>
      </c>
    </row>
    <row r="55" customFormat="false" ht="12" hidden="false" customHeight="false" outlineLevel="0" collapsed="false">
      <c r="A55" s="80" t="s">
        <v>270</v>
      </c>
      <c r="B55" s="362" t="n">
        <v>0</v>
      </c>
      <c r="J55" s="349" t="n">
        <f aca="false">$B55+D55</f>
        <v>0</v>
      </c>
      <c r="L55" s="349" t="n">
        <f aca="false">$B55+F55</f>
        <v>0</v>
      </c>
      <c r="N55" s="349" t="n">
        <f aca="false">$B55+H55</f>
        <v>0</v>
      </c>
    </row>
    <row r="56" customFormat="false" ht="12" hidden="false" customHeight="false" outlineLevel="0" collapsed="false">
      <c r="A56" s="80" t="s">
        <v>271</v>
      </c>
      <c r="B56" s="362" t="n">
        <v>0</v>
      </c>
      <c r="J56" s="349" t="n">
        <f aca="false">$B56+D56</f>
        <v>0</v>
      </c>
      <c r="L56" s="349" t="n">
        <f aca="false">$B56+F56</f>
        <v>0</v>
      </c>
      <c r="N56" s="349" t="n">
        <f aca="false">$B56+H56</f>
        <v>0</v>
      </c>
    </row>
    <row r="57" customFormat="false" ht="12" hidden="false" customHeight="false" outlineLevel="0" collapsed="false">
      <c r="A57" s="80" t="s">
        <v>272</v>
      </c>
      <c r="B57" s="362" t="n">
        <v>0</v>
      </c>
      <c r="J57" s="349" t="n">
        <f aca="false">$B57+D57</f>
        <v>0</v>
      </c>
      <c r="L57" s="349" t="n">
        <f aca="false">$B57+F57</f>
        <v>0</v>
      </c>
      <c r="N57" s="349" t="n">
        <f aca="false">$B57+H57</f>
        <v>0</v>
      </c>
    </row>
    <row r="58" customFormat="false" ht="12" hidden="false" customHeight="false" outlineLevel="0" collapsed="false">
      <c r="A58" s="80" t="s">
        <v>273</v>
      </c>
      <c r="B58" s="362" t="n">
        <v>0</v>
      </c>
      <c r="J58" s="349" t="n">
        <f aca="false">$B58+D58</f>
        <v>0</v>
      </c>
      <c r="L58" s="349" t="n">
        <f aca="false">$B58+F58</f>
        <v>0</v>
      </c>
      <c r="N58" s="349" t="n">
        <f aca="false">$B58+H58</f>
        <v>0</v>
      </c>
    </row>
    <row r="59" customFormat="false" ht="12" hidden="false" customHeight="false" outlineLevel="0" collapsed="false">
      <c r="A59" s="80" t="s">
        <v>274</v>
      </c>
      <c r="B59" s="362" t="n">
        <v>0</v>
      </c>
      <c r="J59" s="349" t="n">
        <f aca="false">$B59+D59</f>
        <v>0</v>
      </c>
      <c r="L59" s="349" t="n">
        <f aca="false">$B59+F59</f>
        <v>0</v>
      </c>
      <c r="N59" s="349" t="n">
        <f aca="false">$B59+H59</f>
        <v>0</v>
      </c>
    </row>
    <row r="60" customFormat="false" ht="12" hidden="false" customHeight="false" outlineLevel="0" collapsed="false">
      <c r="A60" s="80" t="s">
        <v>275</v>
      </c>
      <c r="B60" s="362" t="n">
        <v>0</v>
      </c>
      <c r="J60" s="349" t="n">
        <f aca="false">$B60+D60</f>
        <v>0</v>
      </c>
      <c r="L60" s="349" t="n">
        <f aca="false">$B60+F60</f>
        <v>0</v>
      </c>
      <c r="N60" s="349" t="n">
        <f aca="false">$B60+H60</f>
        <v>0</v>
      </c>
    </row>
    <row r="61" customFormat="false" ht="12" hidden="false" customHeight="false" outlineLevel="0" collapsed="false">
      <c r="A61" s="80" t="s">
        <v>276</v>
      </c>
      <c r="B61" s="362" t="n">
        <v>0</v>
      </c>
      <c r="J61" s="349" t="n">
        <f aca="false">$B61+D61</f>
        <v>0</v>
      </c>
      <c r="L61" s="349" t="n">
        <f aca="false">$B61+F61</f>
        <v>0</v>
      </c>
      <c r="N61" s="349" t="n">
        <f aca="false">$B61+H61</f>
        <v>0</v>
      </c>
    </row>
    <row r="62" customFormat="false" ht="12" hidden="false" customHeight="false" outlineLevel="0" collapsed="false">
      <c r="A62" s="80" t="s">
        <v>277</v>
      </c>
      <c r="B62" s="362" t="n">
        <v>0</v>
      </c>
      <c r="J62" s="349" t="n">
        <f aca="false">$B62+D62</f>
        <v>0</v>
      </c>
      <c r="L62" s="349" t="n">
        <f aca="false">$B62+F62</f>
        <v>0</v>
      </c>
      <c r="N62" s="349" t="n">
        <f aca="false">$B62+H62</f>
        <v>0</v>
      </c>
    </row>
    <row r="63" customFormat="false" ht="12" hidden="false" customHeight="false" outlineLevel="0" collapsed="false">
      <c r="A63" s="80" t="s">
        <v>278</v>
      </c>
      <c r="B63" s="362" t="n">
        <v>0</v>
      </c>
      <c r="J63" s="349" t="n">
        <f aca="false">$B63+D63</f>
        <v>0</v>
      </c>
      <c r="L63" s="349" t="n">
        <f aca="false">$B63+F63</f>
        <v>0</v>
      </c>
      <c r="N63" s="349" t="n">
        <f aca="false">$B63+H63</f>
        <v>0</v>
      </c>
    </row>
    <row r="64" customFormat="false" ht="12" hidden="false" customHeight="false" outlineLevel="0" collapsed="false">
      <c r="A64" s="80" t="s">
        <v>279</v>
      </c>
      <c r="B64" s="374" t="n">
        <v>0</v>
      </c>
      <c r="D64" s="372"/>
      <c r="F64" s="373"/>
      <c r="H64" s="373"/>
      <c r="J64" s="373" t="n">
        <f aca="false">$B64+D64</f>
        <v>0</v>
      </c>
      <c r="L64" s="373" t="n">
        <f aca="false">$B64+F64</f>
        <v>0</v>
      </c>
      <c r="N64" s="373" t="n">
        <f aca="false">$B64+H64</f>
        <v>0</v>
      </c>
    </row>
    <row r="65" customFormat="false" ht="12" hidden="false" customHeight="false" outlineLevel="0" collapsed="false">
      <c r="B65" s="349"/>
    </row>
    <row r="66" customFormat="false" ht="12" hidden="false" customHeight="false" outlineLevel="0" collapsed="false">
      <c r="A66" s="80" t="s">
        <v>280</v>
      </c>
      <c r="B66" s="349" t="n">
        <v>0</v>
      </c>
      <c r="D66" s="347" t="n">
        <f aca="false">SUM(D50:D65)</f>
        <v>0</v>
      </c>
      <c r="F66" s="349" t="n">
        <f aca="false">SUM(F50:F65)</f>
        <v>0</v>
      </c>
      <c r="H66" s="349" t="n">
        <f aca="false">SUM(H50:H65)</f>
        <v>0</v>
      </c>
      <c r="J66" s="349" t="n">
        <f aca="false">SUM(J50:J65)</f>
        <v>0</v>
      </c>
      <c r="L66" s="349" t="n">
        <f aca="false">SUM(L50:L65)</f>
        <v>0</v>
      </c>
      <c r="N66" s="349" t="n">
        <f aca="false">SUM(N50:N65)</f>
        <v>0</v>
      </c>
    </row>
    <row r="67" customFormat="false" ht="12" hidden="false" customHeight="false" outlineLevel="0" collapsed="false">
      <c r="B67" s="349"/>
    </row>
    <row r="68" customFormat="false" ht="12" hidden="false" customHeight="false" outlineLevel="0" collapsed="false">
      <c r="A68" s="80" t="s">
        <v>281</v>
      </c>
      <c r="B68" s="362" t="n">
        <v>0</v>
      </c>
      <c r="J68" s="349" t="n">
        <f aca="false">$B68+D68</f>
        <v>0</v>
      </c>
      <c r="L68" s="349" t="n">
        <f aca="false">$B68+F68</f>
        <v>0</v>
      </c>
      <c r="N68" s="349" t="n">
        <f aca="false">$B68+H68</f>
        <v>0</v>
      </c>
    </row>
    <row r="69" customFormat="false" ht="12" hidden="false" customHeight="false" outlineLevel="0" collapsed="false">
      <c r="A69" s="80" t="s">
        <v>282</v>
      </c>
      <c r="B69" s="362" t="n">
        <v>0</v>
      </c>
      <c r="J69" s="349" t="n">
        <f aca="false">$B69+D69</f>
        <v>0</v>
      </c>
      <c r="L69" s="349" t="n">
        <f aca="false">$B69+F69</f>
        <v>0</v>
      </c>
      <c r="N69" s="349" t="n">
        <f aca="false">$B69+H69</f>
        <v>0</v>
      </c>
    </row>
    <row r="70" customFormat="false" ht="14.25" hidden="false" customHeight="false" outlineLevel="0" collapsed="false">
      <c r="A70" s="80" t="s">
        <v>283</v>
      </c>
      <c r="B70" s="371" t="n">
        <v>278000000</v>
      </c>
      <c r="D70" s="372"/>
      <c r="F70" s="373"/>
      <c r="H70" s="373"/>
      <c r="J70" s="373" t="n">
        <f aca="false">$B70+D70</f>
        <v>278000000</v>
      </c>
      <c r="L70" s="373" t="n">
        <f aca="false">$B70+F70</f>
        <v>278000000</v>
      </c>
      <c r="N70" s="373" t="n">
        <f aca="false">$B70+H70</f>
        <v>278000000</v>
      </c>
    </row>
    <row r="71" customFormat="false" ht="12" hidden="false" customHeight="false" outlineLevel="0" collapsed="false">
      <c r="B71" s="349"/>
    </row>
    <row r="72" customFormat="false" ht="15" hidden="false" customHeight="false" outlineLevel="0" collapsed="false">
      <c r="A72" s="375" t="s">
        <v>284</v>
      </c>
      <c r="B72" s="376" t="n">
        <f aca="false">B70+B48+B34+B22</f>
        <v>30499000000</v>
      </c>
      <c r="C72" s="377"/>
      <c r="D72" s="378" t="n">
        <f aca="false">D22+D34+D48+D66+D68+D70</f>
        <v>-241666.666666667</v>
      </c>
      <c r="E72" s="379"/>
      <c r="F72" s="379" t="n">
        <f aca="false">F22+F34+F48+F66+F68+F70</f>
        <v>-241666.666666667</v>
      </c>
      <c r="G72" s="379"/>
      <c r="H72" s="379" t="n">
        <f aca="false">H22+H34+H48+H66+H68+H70</f>
        <v>-241666.666666667</v>
      </c>
      <c r="I72" s="379"/>
      <c r="J72" s="379" t="n">
        <f aca="false">J22+J34+J48+J66+J68+J70</f>
        <v>30498758333.3333</v>
      </c>
      <c r="K72" s="379"/>
      <c r="L72" s="379" t="n">
        <f aca="false">L22+L34+L48+L66+L68+L70</f>
        <v>30498758333.3333</v>
      </c>
      <c r="M72" s="379"/>
      <c r="N72" s="379" t="n">
        <f aca="false">N22+N34+N48+N66+N68+N70</f>
        <v>30498758333.3333</v>
      </c>
    </row>
    <row r="73" customFormat="false" ht="12.75" hidden="false" customHeight="false" outlineLevel="0" collapsed="false">
      <c r="B73" s="349"/>
    </row>
    <row r="74" customFormat="false" ht="12" hidden="false" customHeight="false" outlineLevel="0" collapsed="false">
      <c r="B74" s="349"/>
    </row>
    <row r="75" customFormat="false" ht="12" hidden="false" customHeight="false" outlineLevel="0" collapsed="false">
      <c r="A75" s="380"/>
      <c r="B75" s="355"/>
    </row>
    <row r="76" customFormat="false" ht="12" hidden="false" customHeight="false" outlineLevel="0" collapsed="false">
      <c r="A76" s="380"/>
      <c r="B76" s="355" t="s">
        <v>230</v>
      </c>
    </row>
    <row r="77" customFormat="false" ht="12" hidden="false" customHeight="false" outlineLevel="0" collapsed="false">
      <c r="B77" s="358" t="s">
        <v>285</v>
      </c>
    </row>
    <row r="78" customFormat="false" ht="12" hidden="false" customHeight="false" outlineLevel="0" collapsed="false">
      <c r="A78" s="357" t="s">
        <v>286</v>
      </c>
      <c r="B78" s="358"/>
    </row>
    <row r="79" customFormat="false" ht="12" hidden="false" customHeight="false" outlineLevel="0" collapsed="false">
      <c r="A79" s="80" t="s">
        <v>287</v>
      </c>
      <c r="B79" s="362" t="n">
        <v>0</v>
      </c>
      <c r="J79" s="349" t="n">
        <f aca="false">$B79+D79</f>
        <v>0</v>
      </c>
      <c r="L79" s="349" t="n">
        <f aca="false">$B79+F79</f>
        <v>0</v>
      </c>
      <c r="N79" s="349" t="n">
        <f aca="false">$B79+H79</f>
        <v>0</v>
      </c>
    </row>
    <row r="80" customFormat="false" ht="12" hidden="false" customHeight="false" outlineLevel="0" collapsed="false">
      <c r="A80" s="80" t="s">
        <v>288</v>
      </c>
      <c r="B80" s="362" t="n">
        <v>0</v>
      </c>
      <c r="J80" s="349" t="n">
        <f aca="false">$B80+D80</f>
        <v>0</v>
      </c>
      <c r="L80" s="349" t="n">
        <f aca="false">$B80+F80</f>
        <v>0</v>
      </c>
      <c r="N80" s="349" t="n">
        <f aca="false">$B80+H80</f>
        <v>0</v>
      </c>
    </row>
    <row r="81" customFormat="false" ht="12" hidden="false" customHeight="false" outlineLevel="0" collapsed="false">
      <c r="A81" s="80" t="s">
        <v>289</v>
      </c>
      <c r="B81" s="362" t="n">
        <v>658000000</v>
      </c>
      <c r="D81" s="368" t="n">
        <f aca="false">D17</f>
        <v>-7200000</v>
      </c>
      <c r="E81" s="369"/>
      <c r="F81" s="370" t="n">
        <f aca="false">F17</f>
        <v>-18000000</v>
      </c>
      <c r="G81" s="369"/>
      <c r="H81" s="370" t="n">
        <f aca="false">H17</f>
        <v>-36000000</v>
      </c>
      <c r="J81" s="349" t="n">
        <f aca="false">$B81+D81</f>
        <v>650800000</v>
      </c>
      <c r="L81" s="349" t="n">
        <f aca="false">$B81+F81</f>
        <v>640000000</v>
      </c>
      <c r="N81" s="349" t="n">
        <f aca="false">$B81+H81</f>
        <v>622000000</v>
      </c>
    </row>
    <row r="82" customFormat="false" ht="12" hidden="false" customHeight="false" outlineLevel="0" collapsed="false">
      <c r="A82" s="80" t="s">
        <v>290</v>
      </c>
      <c r="B82" s="362" t="n">
        <v>0</v>
      </c>
      <c r="J82" s="349" t="n">
        <f aca="false">$B82+D82</f>
        <v>0</v>
      </c>
      <c r="L82" s="349" t="n">
        <f aca="false">$B82+F82</f>
        <v>0</v>
      </c>
      <c r="N82" s="349" t="n">
        <f aca="false">$B82+H82</f>
        <v>0</v>
      </c>
    </row>
    <row r="83" customFormat="false" ht="12" hidden="false" customHeight="false" outlineLevel="0" collapsed="false">
      <c r="A83" s="80" t="s">
        <v>291</v>
      </c>
      <c r="B83" s="362" t="n">
        <v>0</v>
      </c>
      <c r="J83" s="349" t="n">
        <f aca="false">$B83+D83</f>
        <v>0</v>
      </c>
      <c r="L83" s="349" t="n">
        <f aca="false">$B83+F83</f>
        <v>0</v>
      </c>
      <c r="N83" s="349" t="n">
        <f aca="false">$B83+H83</f>
        <v>0</v>
      </c>
    </row>
    <row r="84" customFormat="false" ht="12" hidden="false" customHeight="false" outlineLevel="0" collapsed="false">
      <c r="A84" s="80" t="s">
        <v>292</v>
      </c>
      <c r="B84" s="362" t="n">
        <v>0</v>
      </c>
      <c r="J84" s="349" t="n">
        <f aca="false">$B84+D84</f>
        <v>0</v>
      </c>
      <c r="L84" s="349" t="n">
        <f aca="false">$B84+F84</f>
        <v>0</v>
      </c>
      <c r="N84" s="349" t="n">
        <f aca="false">$B84+H84</f>
        <v>0</v>
      </c>
    </row>
    <row r="85" customFormat="false" ht="12" hidden="false" customHeight="false" outlineLevel="0" collapsed="false">
      <c r="A85" s="80" t="s">
        <v>293</v>
      </c>
      <c r="B85" s="362" t="n">
        <v>0</v>
      </c>
      <c r="J85" s="349" t="n">
        <f aca="false">$B85+D85</f>
        <v>0</v>
      </c>
      <c r="L85" s="349" t="n">
        <f aca="false">$B85+F85</f>
        <v>0</v>
      </c>
      <c r="N85" s="349" t="n">
        <f aca="false">$B85+H85</f>
        <v>0</v>
      </c>
    </row>
    <row r="86" customFormat="false" ht="12" hidden="false" customHeight="false" outlineLevel="0" collapsed="false">
      <c r="A86" s="80" t="s">
        <v>294</v>
      </c>
      <c r="B86" s="362" t="n">
        <v>0</v>
      </c>
      <c r="J86" s="349" t="n">
        <f aca="false">$B86+D86</f>
        <v>0</v>
      </c>
      <c r="L86" s="349" t="n">
        <f aca="false">$B86+F86</f>
        <v>0</v>
      </c>
      <c r="N86" s="349" t="n">
        <f aca="false">$B86+H86</f>
        <v>0</v>
      </c>
    </row>
    <row r="87" customFormat="false" ht="12" hidden="false" customHeight="false" outlineLevel="0" collapsed="false">
      <c r="A87" s="80" t="s">
        <v>295</v>
      </c>
      <c r="B87" s="362" t="n">
        <v>0</v>
      </c>
      <c r="J87" s="349" t="n">
        <f aca="false">$B87+D87</f>
        <v>0</v>
      </c>
      <c r="L87" s="349" t="n">
        <f aca="false">$B87+F87</f>
        <v>0</v>
      </c>
      <c r="N87" s="349" t="n">
        <f aca="false">$B87+H87</f>
        <v>0</v>
      </c>
    </row>
    <row r="88" customFormat="false" ht="12" hidden="false" customHeight="false" outlineLevel="0" collapsed="false">
      <c r="A88" s="80" t="s">
        <v>296</v>
      </c>
      <c r="B88" s="362" t="n">
        <v>0</v>
      </c>
      <c r="J88" s="349" t="n">
        <f aca="false">$B88+D88</f>
        <v>0</v>
      </c>
      <c r="L88" s="349" t="n">
        <f aca="false">$B88+F88</f>
        <v>0</v>
      </c>
      <c r="N88" s="349" t="n">
        <f aca="false">$B88+H88</f>
        <v>0</v>
      </c>
    </row>
    <row r="89" customFormat="false" ht="12" hidden="false" customHeight="false" outlineLevel="0" collapsed="false">
      <c r="A89" s="80" t="s">
        <v>297</v>
      </c>
      <c r="B89" s="362" t="n">
        <v>207000000</v>
      </c>
      <c r="J89" s="349" t="n">
        <f aca="false">$B89+D89</f>
        <v>207000000</v>
      </c>
      <c r="L89" s="349" t="n">
        <f aca="false">$B89+F89</f>
        <v>207000000</v>
      </c>
      <c r="N89" s="349" t="n">
        <f aca="false">$B89+H89</f>
        <v>207000000</v>
      </c>
    </row>
    <row r="90" customFormat="false" ht="14.25" hidden="false" customHeight="false" outlineLevel="0" collapsed="false">
      <c r="A90" s="80" t="s">
        <v>298</v>
      </c>
      <c r="B90" s="371" t="n">
        <v>2097000000</v>
      </c>
      <c r="D90" s="372"/>
      <c r="F90" s="373"/>
      <c r="H90" s="373"/>
      <c r="J90" s="373" t="n">
        <f aca="false">$B90+D90</f>
        <v>2097000000</v>
      </c>
      <c r="L90" s="373" t="n">
        <f aca="false">$B90+F90</f>
        <v>2097000000</v>
      </c>
      <c r="N90" s="373" t="n">
        <f aca="false">$B90+H90</f>
        <v>2097000000</v>
      </c>
    </row>
    <row r="91" customFormat="false" ht="12" hidden="false" customHeight="false" outlineLevel="0" collapsed="false">
      <c r="B91" s="349"/>
    </row>
    <row r="92" customFormat="false" ht="12" hidden="false" customHeight="false" outlineLevel="0" collapsed="false">
      <c r="A92" s="80" t="s">
        <v>299</v>
      </c>
      <c r="B92" s="349" t="n">
        <f aca="false">SUM(B79:B90)</f>
        <v>2962000000</v>
      </c>
      <c r="D92" s="347" t="n">
        <f aca="false">SUM(D79:D91)</f>
        <v>-7200000</v>
      </c>
      <c r="F92" s="349" t="n">
        <f aca="false">SUM(F79:F91)</f>
        <v>-18000000</v>
      </c>
      <c r="H92" s="349" t="n">
        <f aca="false">SUM(H79:H91)</f>
        <v>-36000000</v>
      </c>
      <c r="J92" s="349" t="n">
        <f aca="false">SUM(J79:J91)</f>
        <v>2954800000</v>
      </c>
      <c r="L92" s="349" t="n">
        <f aca="false">SUM(L79:L91)</f>
        <v>2944000000</v>
      </c>
      <c r="N92" s="349" t="n">
        <f aca="false">SUM(N79:N91)</f>
        <v>2926000000</v>
      </c>
    </row>
    <row r="93" customFormat="false" ht="12" hidden="false" customHeight="false" outlineLevel="0" collapsed="false">
      <c r="B93" s="349"/>
    </row>
    <row r="94" customFormat="false" ht="12" hidden="false" customHeight="false" outlineLevel="0" collapsed="false">
      <c r="B94" s="349"/>
    </row>
    <row r="95" customFormat="false" ht="12" hidden="false" customHeight="false" outlineLevel="0" collapsed="false">
      <c r="A95" s="80" t="s">
        <v>300</v>
      </c>
      <c r="B95" s="362" t="n">
        <v>0</v>
      </c>
      <c r="J95" s="349" t="n">
        <f aca="false">$B95+D95</f>
        <v>0</v>
      </c>
      <c r="L95" s="349" t="n">
        <f aca="false">$B95+F95</f>
        <v>0</v>
      </c>
      <c r="N95" s="349" t="n">
        <f aca="false">$B95+H95</f>
        <v>0</v>
      </c>
    </row>
    <row r="96" customFormat="false" ht="12" hidden="false" customHeight="false" outlineLevel="0" collapsed="false">
      <c r="A96" s="80" t="s">
        <v>301</v>
      </c>
      <c r="B96" s="362" t="n">
        <v>0</v>
      </c>
      <c r="J96" s="349" t="n">
        <f aca="false">$B96+D96</f>
        <v>0</v>
      </c>
      <c r="L96" s="349" t="n">
        <f aca="false">$B96+F96</f>
        <v>0</v>
      </c>
      <c r="N96" s="349" t="n">
        <f aca="false">$B96+H96</f>
        <v>0</v>
      </c>
    </row>
    <row r="97" customFormat="false" ht="12" hidden="false" customHeight="false" outlineLevel="0" collapsed="false">
      <c r="A97" s="80" t="s">
        <v>302</v>
      </c>
      <c r="B97" s="362" t="n">
        <v>0</v>
      </c>
      <c r="J97" s="349" t="n">
        <f aca="false">$B97+D97</f>
        <v>0</v>
      </c>
      <c r="L97" s="349" t="n">
        <f aca="false">$B97+F97</f>
        <v>0</v>
      </c>
      <c r="N97" s="349" t="n">
        <f aca="false">$B97+H97</f>
        <v>0</v>
      </c>
    </row>
    <row r="98" customFormat="false" ht="12" hidden="false" customHeight="false" outlineLevel="0" collapsed="false">
      <c r="A98" s="80" t="s">
        <v>303</v>
      </c>
      <c r="B98" s="362" t="n">
        <v>0</v>
      </c>
      <c r="J98" s="349" t="n">
        <f aca="false">$B98+D98</f>
        <v>0</v>
      </c>
      <c r="L98" s="349" t="n">
        <f aca="false">$B98+F98</f>
        <v>0</v>
      </c>
      <c r="N98" s="349" t="n">
        <f aca="false">$B98+H98</f>
        <v>0</v>
      </c>
    </row>
    <row r="99" customFormat="false" ht="12" hidden="false" customHeight="false" outlineLevel="0" collapsed="false">
      <c r="A99" s="80" t="s">
        <v>304</v>
      </c>
      <c r="B99" s="362" t="n">
        <v>0</v>
      </c>
      <c r="J99" s="349" t="n">
        <f aca="false">$B99+D99</f>
        <v>0</v>
      </c>
      <c r="L99" s="349" t="n">
        <f aca="false">$B99+F99</f>
        <v>0</v>
      </c>
      <c r="N99" s="349" t="n">
        <f aca="false">$B99+H99</f>
        <v>0</v>
      </c>
    </row>
    <row r="100" customFormat="false" ht="12" hidden="false" customHeight="false" outlineLevel="0" collapsed="false">
      <c r="A100" s="80" t="s">
        <v>305</v>
      </c>
      <c r="B100" s="362" t="n">
        <v>8144000000</v>
      </c>
      <c r="J100" s="349" t="n">
        <f aca="false">$B100+D100</f>
        <v>8144000000</v>
      </c>
      <c r="L100" s="349" t="n">
        <f aca="false">$B100+F100</f>
        <v>8144000000</v>
      </c>
      <c r="N100" s="349" t="n">
        <f aca="false">$B100+H100</f>
        <v>8144000000</v>
      </c>
    </row>
    <row r="101" customFormat="false" ht="12" hidden="false" customHeight="false" outlineLevel="0" collapsed="false">
      <c r="A101" s="80" t="s">
        <v>306</v>
      </c>
      <c r="B101" s="362" t="n">
        <v>7143000000</v>
      </c>
      <c r="J101" s="349" t="n">
        <f aca="false">$B101+D101</f>
        <v>7143000000</v>
      </c>
      <c r="L101" s="349" t="n">
        <f aca="false">$B101+F101</f>
        <v>7143000000</v>
      </c>
      <c r="N101" s="349" t="n">
        <f aca="false">$B101+H101</f>
        <v>7143000000</v>
      </c>
    </row>
    <row r="102" customFormat="false" ht="12" hidden="false" customHeight="false" outlineLevel="0" collapsed="false">
      <c r="A102" s="80" t="s">
        <v>307</v>
      </c>
      <c r="B102" s="362" t="n">
        <v>2088000000</v>
      </c>
      <c r="J102" s="349" t="n">
        <f aca="false">$B102+D102</f>
        <v>2088000000</v>
      </c>
      <c r="L102" s="349" t="n">
        <f aca="false">$B102+F102</f>
        <v>2088000000</v>
      </c>
      <c r="N102" s="349" t="n">
        <f aca="false">$B102+H102</f>
        <v>2088000000</v>
      </c>
    </row>
    <row r="103" customFormat="false" ht="12" hidden="false" customHeight="false" outlineLevel="0" collapsed="false">
      <c r="B103" s="349"/>
    </row>
    <row r="104" customFormat="false" ht="12" hidden="false" customHeight="false" outlineLevel="0" collapsed="false">
      <c r="B104" s="381"/>
      <c r="C104" s="381"/>
    </row>
    <row r="105" customFormat="false" ht="12" hidden="false" customHeight="false" outlineLevel="0" collapsed="false">
      <c r="A105" s="357" t="s">
        <v>308</v>
      </c>
      <c r="B105" s="349"/>
    </row>
    <row r="106" customFormat="false" ht="12" hidden="false" customHeight="false" outlineLevel="0" collapsed="false">
      <c r="A106" s="80" t="s">
        <v>309</v>
      </c>
      <c r="B106" s="362" t="n">
        <v>1500000000</v>
      </c>
      <c r="J106" s="349" t="n">
        <f aca="false">$B106+D106</f>
        <v>1500000000</v>
      </c>
      <c r="L106" s="349" t="n">
        <f aca="false">$B106+F106</f>
        <v>1500000000</v>
      </c>
      <c r="N106" s="349" t="n">
        <f aca="false">$B106+H106</f>
        <v>1500000000</v>
      </c>
    </row>
    <row r="107" customFormat="false" ht="12" hidden="false" customHeight="false" outlineLevel="0" collapsed="false">
      <c r="A107" s="80" t="s">
        <v>310</v>
      </c>
      <c r="B107" s="362" t="n">
        <v>693000000</v>
      </c>
      <c r="J107" s="349" t="n">
        <f aca="false">$B107+D107</f>
        <v>693000000</v>
      </c>
      <c r="L107" s="349" t="n">
        <f aca="false">$B107+F107</f>
        <v>693000000</v>
      </c>
      <c r="N107" s="349" t="n">
        <f aca="false">$B107+H107</f>
        <v>693000000</v>
      </c>
    </row>
    <row r="108" customFormat="false" ht="12" hidden="false" customHeight="false" outlineLevel="0" collapsed="false">
      <c r="A108" s="80" t="s">
        <v>311</v>
      </c>
      <c r="B108" s="362" t="n">
        <v>4527000000</v>
      </c>
      <c r="J108" s="349" t="n">
        <f aca="false">$B108+D108</f>
        <v>4527000000</v>
      </c>
      <c r="L108" s="349" t="n">
        <f aca="false">$B108+F108</f>
        <v>4527000000</v>
      </c>
      <c r="N108" s="349" t="n">
        <f aca="false">$B108+H108</f>
        <v>4527000000</v>
      </c>
    </row>
    <row r="109" customFormat="false" ht="12" hidden="false" customHeight="false" outlineLevel="0" collapsed="false">
      <c r="A109" s="80" t="s">
        <v>312</v>
      </c>
      <c r="B109" s="362" t="n">
        <v>0</v>
      </c>
      <c r="C109" s="349"/>
      <c r="J109" s="349" t="n">
        <f aca="false">$B109+D109</f>
        <v>0</v>
      </c>
      <c r="L109" s="349" t="n">
        <f aca="false">$B109+F109</f>
        <v>0</v>
      </c>
      <c r="N109" s="349" t="n">
        <f aca="false">$B109+H109</f>
        <v>0</v>
      </c>
    </row>
    <row r="110" customFormat="false" ht="12" hidden="false" customHeight="false" outlineLevel="0" collapsed="false">
      <c r="A110" s="80" t="s">
        <v>313</v>
      </c>
      <c r="B110" s="362" t="n">
        <v>5234000000</v>
      </c>
      <c r="J110" s="349" t="n">
        <f aca="false">$B110+D110</f>
        <v>5234000000</v>
      </c>
      <c r="L110" s="349" t="n">
        <f aca="false">$B110+F110</f>
        <v>5234000000</v>
      </c>
      <c r="N110" s="349" t="n">
        <f aca="false">$B110+H110</f>
        <v>5234000000</v>
      </c>
    </row>
    <row r="111" customFormat="false" ht="12" hidden="false" customHeight="false" outlineLevel="0" collapsed="false">
      <c r="A111" s="382" t="s">
        <v>314</v>
      </c>
      <c r="B111" s="362" t="n">
        <v>0</v>
      </c>
      <c r="J111" s="349" t="n">
        <f aca="false">$B111+D111</f>
        <v>0</v>
      </c>
      <c r="L111" s="349" t="n">
        <f aca="false">$B111+F111</f>
        <v>0</v>
      </c>
      <c r="N111" s="349" t="n">
        <f aca="false">$B111+H111</f>
        <v>0</v>
      </c>
    </row>
    <row r="112" customFormat="false" ht="12" hidden="false" customHeight="false" outlineLevel="0" collapsed="false">
      <c r="A112" s="80" t="s">
        <v>315</v>
      </c>
      <c r="B112" s="362" t="n">
        <v>0</v>
      </c>
      <c r="J112" s="349" t="n">
        <f aca="false">$B112+D112</f>
        <v>0</v>
      </c>
      <c r="L112" s="349" t="n">
        <f aca="false">$B112+F112</f>
        <v>0</v>
      </c>
      <c r="N112" s="349" t="n">
        <f aca="false">$B112+H112</f>
        <v>0</v>
      </c>
    </row>
    <row r="113" customFormat="false" ht="12" hidden="false" customHeight="false" outlineLevel="0" collapsed="false">
      <c r="A113" s="113" t="s">
        <v>316</v>
      </c>
      <c r="B113" s="362" t="n">
        <v>0</v>
      </c>
      <c r="D113" s="368" t="n">
        <f aca="false">+D31-D81</f>
        <v>6958333.33333333</v>
      </c>
      <c r="E113" s="369"/>
      <c r="F113" s="370" t="n">
        <f aca="false">+F31-F81</f>
        <v>17758333.3333333</v>
      </c>
      <c r="G113" s="369"/>
      <c r="H113" s="370" t="n">
        <f aca="false">+H31-H81</f>
        <v>35758333.3333333</v>
      </c>
      <c r="J113" s="349" t="n">
        <f aca="false">$B113+D113</f>
        <v>6958333.33333333</v>
      </c>
      <c r="L113" s="349" t="n">
        <f aca="false">$B113+F113</f>
        <v>17758333.3333333</v>
      </c>
      <c r="N113" s="349" t="n">
        <f aca="false">$B113+H113</f>
        <v>35758333.3333333</v>
      </c>
    </row>
    <row r="114" customFormat="false" ht="12" hidden="false" customHeight="false" outlineLevel="0" collapsed="false">
      <c r="A114" s="80" t="s">
        <v>317</v>
      </c>
      <c r="B114" s="362" t="n">
        <v>-1792000000</v>
      </c>
      <c r="J114" s="349" t="n">
        <f aca="false">$B114+D114</f>
        <v>-1792000000</v>
      </c>
      <c r="L114" s="349" t="n">
        <f aca="false">$B114+F114</f>
        <v>-1792000000</v>
      </c>
      <c r="N114" s="349" t="n">
        <f aca="false">$B114+H114</f>
        <v>-1792000000</v>
      </c>
    </row>
    <row r="115" customFormat="false" ht="14.25" hidden="false" customHeight="false" outlineLevel="0" collapsed="false">
      <c r="A115" s="80" t="s">
        <v>318</v>
      </c>
      <c r="B115" s="371" t="n">
        <v>0</v>
      </c>
      <c r="D115" s="372"/>
      <c r="F115" s="373"/>
      <c r="H115" s="373"/>
      <c r="J115" s="349" t="n">
        <f aca="false">$B115+D115</f>
        <v>0</v>
      </c>
      <c r="L115" s="349" t="n">
        <f aca="false">$B115+F115</f>
        <v>0</v>
      </c>
      <c r="N115" s="349" t="n">
        <f aca="false">$B115+H115</f>
        <v>0</v>
      </c>
    </row>
    <row r="116" customFormat="false" ht="12" hidden="false" customHeight="false" outlineLevel="0" collapsed="false">
      <c r="B116" s="349"/>
    </row>
    <row r="117" customFormat="false" ht="12" hidden="false" customHeight="false" outlineLevel="0" collapsed="false">
      <c r="A117" s="80" t="s">
        <v>319</v>
      </c>
      <c r="B117" s="349" t="n">
        <f aca="false">SUM(B106:B115)</f>
        <v>10162000000</v>
      </c>
      <c r="D117" s="347" t="n">
        <f aca="false">SUM(D106:D116)</f>
        <v>6958333.33333333</v>
      </c>
      <c r="F117" s="349" t="n">
        <f aca="false">SUM(F106:F116)</f>
        <v>17758333.3333333</v>
      </c>
      <c r="H117" s="349" t="n">
        <f aca="false">SUM(H106:H116)</f>
        <v>35758333.3333333</v>
      </c>
      <c r="J117" s="349" t="n">
        <f aca="false">SUM(J106:J116)</f>
        <v>10168958333.3333</v>
      </c>
      <c r="L117" s="349" t="n">
        <f aca="false">SUM(L106:L116)</f>
        <v>10179758333.3333</v>
      </c>
      <c r="N117" s="349" t="n">
        <f aca="false">SUM(N106:N116)</f>
        <v>10197758333.3333</v>
      </c>
    </row>
    <row r="118" customFormat="false" ht="12" hidden="false" customHeight="false" outlineLevel="0" collapsed="false">
      <c r="B118" s="349"/>
    </row>
    <row r="119" customFormat="false" ht="12" hidden="false" customHeight="false" outlineLevel="0" collapsed="false">
      <c r="B119" s="349"/>
    </row>
    <row r="120" customFormat="false" ht="12.75" hidden="false" customHeight="false" outlineLevel="0" collapsed="false">
      <c r="A120" s="375" t="s">
        <v>320</v>
      </c>
      <c r="B120" s="379" t="n">
        <f aca="false">B92+B117+SUM(B95:B102)</f>
        <v>30499000000</v>
      </c>
      <c r="C120" s="379"/>
      <c r="D120" s="378" t="n">
        <f aca="false">D92+D117+SUM(D95:D102)</f>
        <v>-241666.666666667</v>
      </c>
      <c r="E120" s="379"/>
      <c r="F120" s="379" t="n">
        <f aca="false">F92+F117+SUM(F95:F102)</f>
        <v>-241666.666666668</v>
      </c>
      <c r="G120" s="379"/>
      <c r="H120" s="379" t="n">
        <f aca="false">H92+H117+SUM(H95:H102)</f>
        <v>-241666.666666664</v>
      </c>
      <c r="I120" s="379"/>
      <c r="J120" s="379" t="n">
        <f aca="false">J92+J117+SUM(J95:J102)</f>
        <v>30498758333.3333</v>
      </c>
      <c r="K120" s="379"/>
      <c r="L120" s="379" t="n">
        <f aca="false">L92+L117+SUM(L95:L102)</f>
        <v>30498758333.3333</v>
      </c>
      <c r="M120" s="379"/>
      <c r="N120" s="379" t="n">
        <f aca="false">N92+N117+SUM(N95:N102)</f>
        <v>30498758333.3333</v>
      </c>
    </row>
    <row r="121" customFormat="false" ht="12.75" hidden="false" customHeight="false" outlineLevel="0" collapsed="false">
      <c r="A121" s="383" t="s">
        <v>114</v>
      </c>
      <c r="B121" s="349" t="n">
        <f aca="false">B72-B120</f>
        <v>0</v>
      </c>
      <c r="D121" s="347" t="n">
        <f aca="false">D72-D120</f>
        <v>0</v>
      </c>
      <c r="F121" s="349" t="n">
        <f aca="false">F72-F120</f>
        <v>1.28056854009628E-009</v>
      </c>
      <c r="H121" s="349" t="n">
        <f aca="false">H72-H120</f>
        <v>-2.44472175836563E-009</v>
      </c>
      <c r="J121" s="349" t="n">
        <f aca="false">J72-J120</f>
        <v>0</v>
      </c>
      <c r="L121" s="349" t="n">
        <f aca="false">L72-L120</f>
        <v>0</v>
      </c>
      <c r="N121" s="349" t="n">
        <f aca="false">N72-N120</f>
        <v>0</v>
      </c>
    </row>
    <row r="123" customFormat="false" ht="12" hidden="false" customHeight="false" outlineLevel="0" collapsed="false">
      <c r="A123" s="384" t="s">
        <v>321</v>
      </c>
      <c r="B123" s="385" t="n">
        <f aca="false">Inc!B58</f>
        <v>253185595.567867</v>
      </c>
    </row>
  </sheetData>
  <mergeCells count="2">
    <mergeCell ref="D4:H4"/>
    <mergeCell ref="J4:N4"/>
  </mergeCells>
  <printOptions headings="false" gridLines="false" gridLinesSet="true" horizontalCentered="false" verticalCentered="false"/>
  <pageMargins left="1" right="1" top="0.5" bottom="0.5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2000-10-20T11:10:23Z</dcterms:created>
  <dc:creator>SGAMSTER</dc:creator>
  <dc:description/>
  <dc:language>en-US</dc:language>
  <cp:lastModifiedBy>Cameron Sellers</cp:lastModifiedBy>
  <cp:lastPrinted>2001-03-08T14:26:30Z</cp:lastPrinted>
  <dcterms:modified xsi:type="dcterms:W3CDTF">2001-03-16T15:56:57Z</dcterms:modified>
  <cp:revision>0</cp:revision>
  <dc:subject/>
  <dc:title/>
</cp:coreProperties>
</file>