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 1" sheetId="1" state="visible" r:id="rId3"/>
  </sheets>
  <definedNames>
    <definedName function="false" hidden="false" localSheetId="0" name="_xlnm.Print_Area" vbProcedure="false">'Sheet 1'!$A$1:$E$44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<sst xmlns="http://schemas.openxmlformats.org/spreadsheetml/2006/main" count="71" uniqueCount="48">
  <si>
    <t xml:space="preserve">City of Pasadena</t>
  </si>
  <si>
    <t xml:space="preserve">Jan 2001 Invoice</t>
  </si>
  <si>
    <t xml:space="preserve">Gas Daily</t>
  </si>
  <si>
    <t xml:space="preserve">SoCal</t>
  </si>
  <si>
    <t xml:space="preserve">Pasadena</t>
  </si>
  <si>
    <t xml:space="preserve">Pasadena </t>
  </si>
  <si>
    <t xml:space="preserve">Purchases</t>
  </si>
  <si>
    <t xml:space="preserve">Sales</t>
  </si>
  <si>
    <t xml:space="preserve">NGI SoCal</t>
  </si>
  <si>
    <t xml:space="preserve">Date</t>
  </si>
  <si>
    <t xml:space="preserve">Mid</t>
  </si>
  <si>
    <t xml:space="preserve">Usage</t>
  </si>
  <si>
    <t xml:space="preserve">Net Nom</t>
  </si>
  <si>
    <t xml:space="preserve">APEA</t>
  </si>
  <si>
    <t xml:space="preserve">Imbalance</t>
  </si>
  <si>
    <t xml:space="preserve">from EPMI</t>
  </si>
  <si>
    <t xml:space="preserve">to EPMI</t>
  </si>
  <si>
    <t xml:space="preserve">IFGMR EP San Juan</t>
  </si>
  <si>
    <t xml:space="preserve">$/MMBtu</t>
  </si>
  <si>
    <t xml:space="preserve">MMBtu</t>
  </si>
  <si>
    <t xml:space="preserve">$</t>
  </si>
  <si>
    <t xml:space="preserve">Amount</t>
  </si>
  <si>
    <t xml:space="preserve">Border</t>
  </si>
  <si>
    <t xml:space="preserve">Basin</t>
  </si>
  <si>
    <t xml:space="preserve">Due</t>
  </si>
  <si>
    <t xml:space="preserve">Nomination</t>
  </si>
  <si>
    <t xml:space="preserve">Fixed Price Nomination</t>
  </si>
  <si>
    <t xml:space="preserve">APEA Nomination</t>
  </si>
  <si>
    <t xml:space="preserve">Net Nomination</t>
  </si>
  <si>
    <t xml:space="preserve">Less APEA Usage</t>
  </si>
  <si>
    <t xml:space="preserve">Net Usage</t>
  </si>
  <si>
    <t xml:space="preserve">Gas Supply</t>
  </si>
  <si>
    <t xml:space="preserve">NGI Purchases</t>
  </si>
  <si>
    <t xml:space="preserve">Fixed Price Purchases</t>
  </si>
  <si>
    <t xml:space="preserve">Gas Daily Purchases from Enron</t>
  </si>
  <si>
    <t xml:space="preserve">Gas Daily Sales to Enron</t>
  </si>
  <si>
    <t xml:space="preserve">Kern River Station Purchases </t>
  </si>
  <si>
    <t xml:space="preserve">Total Purchases</t>
  </si>
  <si>
    <t xml:space="preserve">El Paso Capacity Reimbursement</t>
  </si>
  <si>
    <t xml:space="preserve">Fixed</t>
  </si>
  <si>
    <t xml:space="preserve">Variable</t>
  </si>
  <si>
    <t xml:space="preserve">Net Due</t>
  </si>
  <si>
    <t xml:space="preserve">Totals</t>
  </si>
  <si>
    <t xml:space="preserve">IFGMR San Juan</t>
  </si>
  <si>
    <t xml:space="preserve">Spread</t>
  </si>
  <si>
    <t xml:space="preserve">Less Fuel</t>
  </si>
  <si>
    <t xml:space="preserve">Less Variable</t>
  </si>
  <si>
    <t xml:space="preserve">Net Reservation Value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</si>
</sst>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_(* #,##0.00_);_(* \(#,##0.00\);_(* \-??_);_(@_)"/>
    <numFmt numFmtId="166" formatCode="_(* #,##0.0_);_(* \(#,##0.0\);_(* \-??_);_(@_)"/>
    <numFmt numFmtId="167" formatCode="0.0000"/>
    <numFmt numFmtId="168" formatCode="_(* #,##0.0000_);_(* \(#,##0.0000\);_(* \-??_);_(@_)"/>
    <numFmt numFmtId="169" formatCode="[$-409]d\-mmm"/>
    <numFmt numFmtId="170" formatCode="0.000"/>
    <numFmt numFmtId="171" formatCode="[$-409]#,##0_);[RED]\(#,##0\)"/>
    <numFmt numFmtId="172" formatCode="_(* #,##0_);_(* \(#,##0\);_(* \-??_);_(@_)"/>
    <numFmt numFmtId="173" formatCode="#,##0.0_);[RED]\(#,##0.0\)"/>
    <numFmt numFmtId="174" formatCode="_(* #,##0.0_);_(* \(#,##0.0\);_(* \-?_);_(@_)"/>
    <numFmt numFmtId="175" formatCode="#,##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0"/>
    </font>
    <font>
      <b val="true"/>
      <sz val="10"/>
      <name val="Arial"/>
      <family val="2"/>
    </font>
    <font>
      <sz val="10"/>
      <color rgb="FF000000"/>
      <name val="Arial"/>
      <family val="2"/>
    </font>
    <font>
      <sz val="10"/>
      <color rgb="FF003366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7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2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6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0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3" fontId="6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7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P6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36.7"/>
    <col collapsed="false" customWidth="true" hidden="false" outlineLevel="0" max="2" min="2" style="0" width="11.85"/>
    <col collapsed="false" customWidth="true" hidden="false" outlineLevel="0" max="3" min="3" style="0" width="12.7"/>
    <col collapsed="false" customWidth="true" hidden="false" outlineLevel="0" max="4" min="4" style="0" width="11.13"/>
    <col collapsed="false" customWidth="true" hidden="false" outlineLevel="0" max="5" min="5" style="1" width="13.85"/>
    <col collapsed="false" customWidth="true" hidden="false" outlineLevel="0" max="8" min="8" style="0" width="9.28"/>
    <col collapsed="false" customWidth="true" hidden="false" outlineLevel="0" max="9" min="9" style="0" width="11.56"/>
    <col collapsed="false" customWidth="true" hidden="false" outlineLevel="0" max="11" min="10" style="0" width="10.56"/>
    <col collapsed="false" customWidth="true" hidden="false" outlineLevel="0" max="12" min="12" style="0" width="10.99"/>
    <col collapsed="false" customWidth="true" hidden="false" outlineLevel="0" max="13" min="13" style="0" width="11.28"/>
    <col collapsed="false" customWidth="true" hidden="false" outlineLevel="0" max="14" min="14" style="0" width="12.85"/>
    <col collapsed="false" customWidth="true" hidden="false" outlineLevel="0" max="15" min="15" style="0" width="12.14"/>
    <col collapsed="false" customWidth="true" hidden="false" outlineLevel="0" max="16" min="16" style="0" width="13.28"/>
  </cols>
  <sheetData>
    <row r="1" customFormat="false" ht="12.75" hidden="false" customHeight="false" outlineLevel="0" collapsed="false">
      <c r="A1" s="2" t="s">
        <v>0</v>
      </c>
      <c r="C1" s="3"/>
      <c r="D1" s="4"/>
      <c r="F1" s="5"/>
      <c r="G1" s="6"/>
    </row>
    <row r="2" customFormat="false" ht="12.75" hidden="false" customHeight="false" outlineLevel="0" collapsed="false">
      <c r="A2" s="2" t="s">
        <v>1</v>
      </c>
      <c r="G2" s="6"/>
      <c r="O2" s="7"/>
      <c r="P2" s="7"/>
    </row>
    <row r="3" customFormat="false" ht="12.75" hidden="false" customHeight="false" outlineLevel="0" collapsed="false">
      <c r="A3" s="2"/>
      <c r="G3" s="6"/>
      <c r="M3" s="7" t="s">
        <v>2</v>
      </c>
      <c r="N3" s="7" t="s">
        <v>2</v>
      </c>
      <c r="O3" s="7" t="s">
        <v>2</v>
      </c>
      <c r="P3" s="7" t="s">
        <v>2</v>
      </c>
    </row>
    <row r="4" customFormat="false" ht="12.75" hidden="false" customHeight="false" outlineLevel="0" collapsed="false">
      <c r="A4" s="2"/>
      <c r="G4" s="6"/>
      <c r="H4" s="6" t="s">
        <v>2</v>
      </c>
      <c r="I4" s="7" t="s">
        <v>3</v>
      </c>
      <c r="J4" s="7" t="s">
        <v>4</v>
      </c>
      <c r="L4" s="7" t="s">
        <v>5</v>
      </c>
      <c r="M4" s="7" t="s">
        <v>6</v>
      </c>
      <c r="N4" s="7" t="s">
        <v>6</v>
      </c>
      <c r="O4" s="7" t="s">
        <v>7</v>
      </c>
      <c r="P4" s="7" t="s">
        <v>7</v>
      </c>
    </row>
    <row r="5" customFormat="false" ht="12.75" hidden="false" customHeight="false" outlineLevel="0" collapsed="false">
      <c r="A5" s="2" t="s">
        <v>8</v>
      </c>
      <c r="B5" s="8" t="n">
        <v>16.32</v>
      </c>
      <c r="G5" s="6" t="s">
        <v>9</v>
      </c>
      <c r="H5" s="7" t="s">
        <v>10</v>
      </c>
      <c r="I5" s="7" t="s">
        <v>11</v>
      </c>
      <c r="J5" s="7" t="s">
        <v>12</v>
      </c>
      <c r="K5" s="7" t="s">
        <v>13</v>
      </c>
      <c r="L5" s="7" t="s">
        <v>14</v>
      </c>
      <c r="M5" s="7" t="s">
        <v>15</v>
      </c>
      <c r="N5" s="7" t="s">
        <v>15</v>
      </c>
      <c r="O5" s="7" t="s">
        <v>16</v>
      </c>
      <c r="P5" s="7" t="s">
        <v>16</v>
      </c>
    </row>
    <row r="6" customFormat="false" ht="12.75" hidden="false" customHeight="false" outlineLevel="0" collapsed="false">
      <c r="A6" s="2" t="s">
        <v>17</v>
      </c>
      <c r="B6" s="8" t="n">
        <v>8.8</v>
      </c>
      <c r="C6" s="3"/>
      <c r="H6" s="6" t="s">
        <v>18</v>
      </c>
      <c r="I6" s="7" t="s">
        <v>19</v>
      </c>
      <c r="J6" s="7" t="s">
        <v>19</v>
      </c>
      <c r="K6" s="7" t="s">
        <v>19</v>
      </c>
      <c r="L6" s="7" t="s">
        <v>19</v>
      </c>
      <c r="M6" s="7" t="s">
        <v>19</v>
      </c>
      <c r="N6" s="7" t="s">
        <v>20</v>
      </c>
      <c r="O6" s="7" t="s">
        <v>19</v>
      </c>
      <c r="P6" s="7" t="s">
        <v>20</v>
      </c>
    </row>
    <row r="7" customFormat="false" ht="12.75" hidden="false" customHeight="false" outlineLevel="0" collapsed="false">
      <c r="A7" s="2"/>
      <c r="B7" s="8"/>
      <c r="C7" s="3"/>
      <c r="G7" s="9" t="n">
        <v>36892</v>
      </c>
      <c r="H7" s="10" t="n">
        <v>14.33</v>
      </c>
      <c r="I7" s="11" t="n">
        <v>3955</v>
      </c>
      <c r="J7" s="12" t="n">
        <f aca="false">$B$14/31</f>
        <v>6967.74193548387</v>
      </c>
      <c r="K7" s="13" t="n">
        <v>3000</v>
      </c>
      <c r="L7" s="14" t="n">
        <f aca="false">I7-K7-J7</f>
        <v>-6012.74193548387</v>
      </c>
      <c r="M7" s="15" t="n">
        <f aca="false">IF(L7&gt;0,L7,0)</f>
        <v>0</v>
      </c>
      <c r="N7" s="16" t="n">
        <f aca="false">M7*H7</f>
        <v>0</v>
      </c>
      <c r="O7" s="15" t="n">
        <f aca="false">IF(L7&gt;0,0,L7)</f>
        <v>-6012.74193548387</v>
      </c>
      <c r="P7" s="1" t="n">
        <f aca="false">O7*H7</f>
        <v>-86162.5919354839</v>
      </c>
    </row>
    <row r="8" customFormat="false" ht="12.75" hidden="false" customHeight="false" outlineLevel="0" collapsed="false">
      <c r="B8" s="3"/>
      <c r="C8" s="3"/>
      <c r="E8" s="17" t="s">
        <v>21</v>
      </c>
      <c r="G8" s="9" t="n">
        <v>36893</v>
      </c>
      <c r="H8" s="10" t="n">
        <v>14.33</v>
      </c>
      <c r="I8" s="11" t="n">
        <v>8484</v>
      </c>
      <c r="J8" s="12" t="n">
        <f aca="false">$B$14/31</f>
        <v>6967.74193548387</v>
      </c>
      <c r="K8" s="13" t="n">
        <v>3000</v>
      </c>
      <c r="L8" s="14" t="n">
        <f aca="false">I8-K8-J8</f>
        <v>-1483.74193548387</v>
      </c>
      <c r="M8" s="15" t="n">
        <f aca="false">IF(L8&gt;0,L8,0)</f>
        <v>0</v>
      </c>
      <c r="N8" s="16" t="n">
        <f aca="false">M8*H8</f>
        <v>0</v>
      </c>
      <c r="O8" s="15" t="n">
        <f aca="false">IF(L8&gt;0,0,L8)</f>
        <v>-1483.74193548387</v>
      </c>
      <c r="P8" s="1" t="n">
        <f aca="false">O8*H8</f>
        <v>-21262.0219354839</v>
      </c>
    </row>
    <row r="9" customFormat="false" ht="12.75" hidden="false" customHeight="false" outlineLevel="0" collapsed="false">
      <c r="B9" s="18" t="s">
        <v>22</v>
      </c>
      <c r="C9" s="18" t="s">
        <v>23</v>
      </c>
      <c r="E9" s="17" t="s">
        <v>24</v>
      </c>
      <c r="G9" s="9" t="n">
        <v>36894</v>
      </c>
      <c r="H9" s="10" t="n">
        <v>12.44</v>
      </c>
      <c r="I9" s="11" t="n">
        <v>10407</v>
      </c>
      <c r="J9" s="12" t="n">
        <f aca="false">$B$14/31</f>
        <v>6967.74193548387</v>
      </c>
      <c r="K9" s="13" t="n">
        <v>3000</v>
      </c>
      <c r="L9" s="14" t="n">
        <f aca="false">I9-K9-J9</f>
        <v>439.258064516129</v>
      </c>
      <c r="M9" s="15" t="n">
        <f aca="false">IF(L9&gt;0,L9,0)</f>
        <v>439.258064516129</v>
      </c>
      <c r="N9" s="16" t="n">
        <f aca="false">M9*H9</f>
        <v>5464.37032258064</v>
      </c>
      <c r="O9" s="15" t="n">
        <f aca="false">IF(L9&gt;0,0,L9)</f>
        <v>0</v>
      </c>
      <c r="P9" s="1" t="n">
        <f aca="false">O9*H9</f>
        <v>0</v>
      </c>
    </row>
    <row r="10" customFormat="false" ht="12.75" hidden="false" customHeight="false" outlineLevel="0" collapsed="false">
      <c r="A10" s="2" t="s">
        <v>4</v>
      </c>
      <c r="B10" s="18" t="s">
        <v>19</v>
      </c>
      <c r="C10" s="18" t="s">
        <v>19</v>
      </c>
      <c r="D10" s="18" t="s">
        <v>18</v>
      </c>
      <c r="E10" s="17" t="s">
        <v>20</v>
      </c>
      <c r="G10" s="9" t="n">
        <v>36895</v>
      </c>
      <c r="H10" s="10" t="n">
        <v>11.74</v>
      </c>
      <c r="I10" s="11" t="n">
        <v>10990</v>
      </c>
      <c r="J10" s="12" t="n">
        <f aca="false">$B$14/31</f>
        <v>6967.74193548387</v>
      </c>
      <c r="K10" s="13" t="n">
        <v>3000</v>
      </c>
      <c r="L10" s="14" t="n">
        <f aca="false">I10-K10-J10</f>
        <v>1022.25806451613</v>
      </c>
      <c r="M10" s="15" t="n">
        <f aca="false">IF(L10&gt;0,L10,0)</f>
        <v>1022.25806451613</v>
      </c>
      <c r="N10" s="16" t="n">
        <f aca="false">M10*H10</f>
        <v>12001.3096774194</v>
      </c>
      <c r="O10" s="15" t="n">
        <f aca="false">IF(L10&gt;0,0,L10)</f>
        <v>0</v>
      </c>
      <c r="P10" s="1" t="n">
        <f aca="false">O10*H10</f>
        <v>0</v>
      </c>
    </row>
    <row r="11" customFormat="false" ht="12.75" hidden="false" customHeight="false" outlineLevel="0" collapsed="false">
      <c r="A11" s="0" t="s">
        <v>25</v>
      </c>
      <c r="B11" s="19" t="n">
        <f aca="false">9000*31</f>
        <v>279000</v>
      </c>
      <c r="C11" s="3"/>
      <c r="D11" s="3"/>
      <c r="E11" s="3"/>
      <c r="F11" s="3"/>
      <c r="G11" s="9" t="n">
        <v>36896</v>
      </c>
      <c r="H11" s="10" t="n">
        <v>11.38</v>
      </c>
      <c r="I11" s="11" t="n">
        <v>10195</v>
      </c>
      <c r="J11" s="12" t="n">
        <f aca="false">$B$14/31</f>
        <v>6967.74193548387</v>
      </c>
      <c r="K11" s="13" t="n">
        <v>3000</v>
      </c>
      <c r="L11" s="14" t="n">
        <f aca="false">I11-K11-J11</f>
        <v>227.258064516129</v>
      </c>
      <c r="M11" s="15" t="n">
        <f aca="false">IF(L11&gt;0,L11,0)</f>
        <v>227.258064516129</v>
      </c>
      <c r="N11" s="16" t="n">
        <f aca="false">M11*H11</f>
        <v>2586.19677419355</v>
      </c>
      <c r="O11" s="15" t="n">
        <f aca="false">IF(L11&gt;0,0,L11)</f>
        <v>0</v>
      </c>
      <c r="P11" s="1" t="n">
        <f aca="false">O11*H11</f>
        <v>0</v>
      </c>
    </row>
    <row r="12" customFormat="false" ht="12.75" hidden="false" customHeight="false" outlineLevel="0" collapsed="false">
      <c r="A12" s="0" t="s">
        <v>26</v>
      </c>
      <c r="B12" s="20" t="n">
        <v>30000</v>
      </c>
      <c r="C12" s="3"/>
      <c r="D12" s="3"/>
      <c r="E12" s="3"/>
      <c r="F12" s="3"/>
      <c r="G12" s="9" t="n">
        <v>36897</v>
      </c>
      <c r="H12" s="10" t="n">
        <v>10.6</v>
      </c>
      <c r="I12" s="11" t="n">
        <v>7992</v>
      </c>
      <c r="J12" s="12" t="n">
        <f aca="false">$B$14/31</f>
        <v>6967.74193548387</v>
      </c>
      <c r="K12" s="13" t="n">
        <v>3000</v>
      </c>
      <c r="L12" s="14" t="n">
        <f aca="false">I12-K12-J12</f>
        <v>-1975.74193548387</v>
      </c>
      <c r="M12" s="15" t="n">
        <f aca="false">IF(L12&gt;0,L12,0)</f>
        <v>0</v>
      </c>
      <c r="N12" s="16" t="n">
        <f aca="false">M12*H12</f>
        <v>0</v>
      </c>
      <c r="O12" s="15" t="n">
        <f aca="false">IF(L12&gt;0,0,L12)</f>
        <v>-1975.74193548387</v>
      </c>
      <c r="P12" s="1" t="n">
        <f aca="false">O12*H12</f>
        <v>-20942.864516129</v>
      </c>
    </row>
    <row r="13" customFormat="false" ht="12.75" hidden="false" customHeight="false" outlineLevel="0" collapsed="false">
      <c r="A13" s="0" t="s">
        <v>27</v>
      </c>
      <c r="B13" s="21" t="n">
        <f aca="false">3000*31</f>
        <v>93000</v>
      </c>
      <c r="C13" s="3"/>
      <c r="D13" s="3"/>
      <c r="E13" s="3"/>
      <c r="F13" s="3"/>
      <c r="G13" s="9" t="n">
        <v>36898</v>
      </c>
      <c r="H13" s="10" t="n">
        <v>10.6</v>
      </c>
      <c r="I13" s="11" t="n">
        <v>8103</v>
      </c>
      <c r="J13" s="12" t="n">
        <f aca="false">$B$14/31</f>
        <v>6967.74193548387</v>
      </c>
      <c r="K13" s="13" t="n">
        <v>3000</v>
      </c>
      <c r="L13" s="14" t="n">
        <f aca="false">I13-K13-J13</f>
        <v>-1864.74193548387</v>
      </c>
      <c r="M13" s="15" t="n">
        <f aca="false">IF(L13&gt;0,L13,0)</f>
        <v>0</v>
      </c>
      <c r="N13" s="16" t="n">
        <f aca="false">M13*H13</f>
        <v>0</v>
      </c>
      <c r="O13" s="15" t="n">
        <f aca="false">IF(L13&gt;0,0,L13)</f>
        <v>-1864.74193548387</v>
      </c>
      <c r="P13" s="1" t="n">
        <f aca="false">O13*H13</f>
        <v>-19766.264516129</v>
      </c>
    </row>
    <row r="14" customFormat="false" ht="12.75" hidden="false" customHeight="false" outlineLevel="0" collapsed="false">
      <c r="A14" s="0" t="s">
        <v>28</v>
      </c>
      <c r="B14" s="20" t="n">
        <f aca="false">+B11+B12-B13</f>
        <v>216000</v>
      </c>
      <c r="C14" s="3"/>
      <c r="D14" s="3"/>
      <c r="E14" s="3"/>
      <c r="F14" s="3"/>
      <c r="G14" s="9" t="n">
        <v>36899</v>
      </c>
      <c r="H14" s="10" t="n">
        <v>10.6</v>
      </c>
      <c r="I14" s="11" t="n">
        <v>13665</v>
      </c>
      <c r="J14" s="12" t="n">
        <f aca="false">$B$14/31</f>
        <v>6967.74193548387</v>
      </c>
      <c r="K14" s="13" t="n">
        <v>3000</v>
      </c>
      <c r="L14" s="14" t="n">
        <f aca="false">I14-K14-J14</f>
        <v>3697.25806451613</v>
      </c>
      <c r="M14" s="15" t="n">
        <f aca="false">IF(L14&gt;0,L14,0)</f>
        <v>3697.25806451613</v>
      </c>
      <c r="N14" s="16" t="n">
        <f aca="false">M14*H14</f>
        <v>39190.935483871</v>
      </c>
      <c r="O14" s="15" t="n">
        <f aca="false">IF(L14&gt;0,0,L14)</f>
        <v>0</v>
      </c>
      <c r="P14" s="1" t="n">
        <f aca="false">O14*H14</f>
        <v>0</v>
      </c>
    </row>
    <row r="15" customFormat="false" ht="12.75" hidden="false" customHeight="false" outlineLevel="0" collapsed="false">
      <c r="B15" s="20"/>
      <c r="C15" s="3"/>
      <c r="D15" s="3"/>
      <c r="E15" s="3"/>
      <c r="F15" s="3"/>
      <c r="G15" s="9" t="n">
        <v>36900</v>
      </c>
      <c r="H15" s="10" t="n">
        <v>10.97</v>
      </c>
      <c r="I15" s="11" t="n">
        <v>15600</v>
      </c>
      <c r="J15" s="12" t="n">
        <f aca="false">$B$14/31</f>
        <v>6967.74193548387</v>
      </c>
      <c r="K15" s="13" t="n">
        <v>3000</v>
      </c>
      <c r="L15" s="14" t="n">
        <f aca="false">I15-K15-J15</f>
        <v>5632.25806451613</v>
      </c>
      <c r="M15" s="15" t="n">
        <f aca="false">IF(L15&gt;0,L15,0)</f>
        <v>5632.25806451613</v>
      </c>
      <c r="N15" s="16" t="n">
        <f aca="false">M15*H15</f>
        <v>61785.8709677419</v>
      </c>
      <c r="O15" s="15" t="n">
        <f aca="false">IF(L15&gt;0,0,L15)</f>
        <v>0</v>
      </c>
      <c r="P15" s="1" t="n">
        <f aca="false">O15*H15</f>
        <v>0</v>
      </c>
    </row>
    <row r="16" customFormat="false" ht="12.75" hidden="false" customHeight="false" outlineLevel="0" collapsed="false">
      <c r="A16" s="0" t="s">
        <v>11</v>
      </c>
      <c r="B16" s="19" t="n">
        <f aca="false">I38</f>
        <v>426553</v>
      </c>
      <c r="C16" s="3"/>
      <c r="D16" s="3"/>
      <c r="E16" s="3"/>
      <c r="F16" s="3"/>
      <c r="G16" s="9" t="n">
        <v>36901</v>
      </c>
      <c r="H16" s="10" t="n">
        <v>9.995</v>
      </c>
      <c r="I16" s="11" t="n">
        <v>19852</v>
      </c>
      <c r="J16" s="12" t="n">
        <f aca="false">$B$14/31</f>
        <v>6967.74193548387</v>
      </c>
      <c r="K16" s="13" t="n">
        <v>3000</v>
      </c>
      <c r="L16" s="14" t="n">
        <f aca="false">I16-K16-J16</f>
        <v>9884.25806451613</v>
      </c>
      <c r="M16" s="15" t="n">
        <f aca="false">IF(L16&gt;0,L16,0)</f>
        <v>9884.25806451613</v>
      </c>
      <c r="N16" s="16" t="n">
        <f aca="false">M16*H16</f>
        <v>98793.1593548387</v>
      </c>
      <c r="O16" s="15" t="n">
        <f aca="false">IF(L16&gt;0,0,L16)</f>
        <v>0</v>
      </c>
      <c r="P16" s="1" t="n">
        <f aca="false">O16*H16</f>
        <v>0</v>
      </c>
    </row>
    <row r="17" customFormat="false" ht="12.75" hidden="false" customHeight="false" outlineLevel="0" collapsed="false">
      <c r="A17" s="0" t="s">
        <v>29</v>
      </c>
      <c r="B17" s="21" t="n">
        <f aca="false">B13</f>
        <v>93000</v>
      </c>
      <c r="C17" s="3"/>
      <c r="D17" s="3"/>
      <c r="E17" s="3"/>
      <c r="F17" s="3"/>
      <c r="G17" s="9" t="n">
        <v>36902</v>
      </c>
      <c r="H17" s="10" t="n">
        <v>11.25</v>
      </c>
      <c r="I17" s="11" t="n">
        <v>22578</v>
      </c>
      <c r="J17" s="12" t="n">
        <f aca="false">$B$14/31</f>
        <v>6967.74193548387</v>
      </c>
      <c r="K17" s="13" t="n">
        <v>3000</v>
      </c>
      <c r="L17" s="14" t="n">
        <f aca="false">I17-K17-J17</f>
        <v>12610.2580645161</v>
      </c>
      <c r="M17" s="15" t="n">
        <f aca="false">IF(L17&gt;0,L17,0)</f>
        <v>12610.2580645161</v>
      </c>
      <c r="N17" s="16" t="n">
        <f aca="false">M17*H17</f>
        <v>141865.403225806</v>
      </c>
      <c r="O17" s="15" t="n">
        <f aca="false">IF(L17&gt;0,0,L17)</f>
        <v>0</v>
      </c>
      <c r="P17" s="1" t="n">
        <f aca="false">O17*H17</f>
        <v>0</v>
      </c>
    </row>
    <row r="18" customFormat="false" ht="12.75" hidden="false" customHeight="false" outlineLevel="0" collapsed="false">
      <c r="A18" s="0" t="s">
        <v>30</v>
      </c>
      <c r="B18" s="20" t="n">
        <f aca="false">B16-B17</f>
        <v>333553</v>
      </c>
      <c r="C18" s="3"/>
      <c r="D18" s="3"/>
      <c r="E18" s="3"/>
      <c r="F18" s="3"/>
      <c r="G18" s="9" t="n">
        <v>36903</v>
      </c>
      <c r="H18" s="10" t="n">
        <v>11.392</v>
      </c>
      <c r="I18" s="11" t="n">
        <v>16212</v>
      </c>
      <c r="J18" s="12" t="n">
        <f aca="false">$B$14/31</f>
        <v>6967.74193548387</v>
      </c>
      <c r="K18" s="13" t="n">
        <v>3000</v>
      </c>
      <c r="L18" s="14" t="n">
        <f aca="false">I18-K18-J18</f>
        <v>6244.25806451613</v>
      </c>
      <c r="M18" s="15" t="n">
        <f aca="false">IF(L18&gt;0,L18,0)</f>
        <v>6244.25806451613</v>
      </c>
      <c r="N18" s="16" t="n">
        <f aca="false">M18*H18</f>
        <v>71134.5878709677</v>
      </c>
      <c r="O18" s="15" t="n">
        <f aca="false">IF(L18&gt;0,0,L18)</f>
        <v>0</v>
      </c>
      <c r="P18" s="1" t="n">
        <f aca="false">O18*H18</f>
        <v>0</v>
      </c>
    </row>
    <row r="19" customFormat="false" ht="12.75" hidden="false" customHeight="false" outlineLevel="0" collapsed="false">
      <c r="B19" s="20"/>
      <c r="C19" s="3"/>
      <c r="D19" s="3"/>
      <c r="E19" s="3"/>
      <c r="F19" s="3"/>
      <c r="G19" s="9" t="n">
        <v>36904</v>
      </c>
      <c r="H19" s="10" t="n">
        <v>11.45</v>
      </c>
      <c r="I19" s="11" t="n">
        <v>16271</v>
      </c>
      <c r="J19" s="12" t="n">
        <f aca="false">$B$14/31</f>
        <v>6967.74193548387</v>
      </c>
      <c r="K19" s="13" t="n">
        <v>3000</v>
      </c>
      <c r="L19" s="14" t="n">
        <f aca="false">I19-K19-J19</f>
        <v>6303.25806451613</v>
      </c>
      <c r="M19" s="15" t="n">
        <f aca="false">IF(L19&gt;0,L19,0)</f>
        <v>6303.25806451613</v>
      </c>
      <c r="N19" s="16" t="n">
        <f aca="false">M19*H19</f>
        <v>72172.3048387097</v>
      </c>
      <c r="O19" s="15" t="n">
        <f aca="false">IF(L19&gt;0,0,L19)</f>
        <v>0</v>
      </c>
      <c r="P19" s="1" t="n">
        <f aca="false">O19*H19</f>
        <v>0</v>
      </c>
    </row>
    <row r="20" customFormat="false" ht="12.75" hidden="false" customHeight="false" outlineLevel="0" collapsed="false">
      <c r="A20" s="6" t="s">
        <v>31</v>
      </c>
      <c r="B20" s="22"/>
      <c r="C20" s="3"/>
      <c r="D20" s="3"/>
      <c r="E20" s="3"/>
      <c r="F20" s="3"/>
      <c r="G20" s="9" t="n">
        <v>36905</v>
      </c>
      <c r="H20" s="10" t="n">
        <v>11.45</v>
      </c>
      <c r="I20" s="11" t="n">
        <v>14401</v>
      </c>
      <c r="J20" s="12" t="n">
        <f aca="false">$B$14/31</f>
        <v>6967.74193548387</v>
      </c>
      <c r="K20" s="13" t="n">
        <v>3000</v>
      </c>
      <c r="L20" s="14" t="n">
        <f aca="false">I20-K20-J20</f>
        <v>4433.25806451613</v>
      </c>
      <c r="M20" s="15" t="n">
        <f aca="false">IF(L20&gt;0,L20,0)</f>
        <v>4433.25806451613</v>
      </c>
      <c r="N20" s="16" t="n">
        <f aca="false">M20*H20</f>
        <v>50760.8048387097</v>
      </c>
      <c r="O20" s="15" t="n">
        <f aca="false">IF(L20&gt;0,0,L20)</f>
        <v>0</v>
      </c>
      <c r="P20" s="1" t="n">
        <f aca="false">O20*H20</f>
        <v>0</v>
      </c>
    </row>
    <row r="21" customFormat="false" ht="12.75" hidden="false" customHeight="false" outlineLevel="0" collapsed="false">
      <c r="A21" s="0" t="s">
        <v>32</v>
      </c>
      <c r="B21" s="3" t="n">
        <f aca="false">B14-B22</f>
        <v>186000</v>
      </c>
      <c r="D21" s="23" t="n">
        <f aca="false">B5-0.015</f>
        <v>16.305</v>
      </c>
      <c r="E21" s="1" t="n">
        <f aca="false">D21*B21</f>
        <v>3032730</v>
      </c>
      <c r="G21" s="9" t="n">
        <v>36906</v>
      </c>
      <c r="H21" s="10" t="n">
        <v>11.45</v>
      </c>
      <c r="I21" s="11" t="n">
        <v>19350</v>
      </c>
      <c r="J21" s="12" t="n">
        <f aca="false">$B$14/31</f>
        <v>6967.74193548387</v>
      </c>
      <c r="K21" s="13" t="n">
        <v>3000</v>
      </c>
      <c r="L21" s="14" t="n">
        <f aca="false">I21-K21-J21</f>
        <v>9382.25806451613</v>
      </c>
      <c r="M21" s="15" t="n">
        <f aca="false">IF(L21&gt;0,L21,0)</f>
        <v>9382.25806451613</v>
      </c>
      <c r="N21" s="16" t="n">
        <f aca="false">M21*H21</f>
        <v>107426.85483871</v>
      </c>
      <c r="O21" s="15" t="n">
        <f aca="false">IF(L21&gt;0,0,L21)</f>
        <v>0</v>
      </c>
      <c r="P21" s="1" t="n">
        <f aca="false">O21*H21</f>
        <v>0</v>
      </c>
    </row>
    <row r="22" customFormat="false" ht="12.75" hidden="false" customHeight="false" outlineLevel="0" collapsed="false">
      <c r="A22" s="0" t="s">
        <v>33</v>
      </c>
      <c r="B22" s="3" t="n">
        <v>30000</v>
      </c>
      <c r="D22" s="24" t="n">
        <v>21.5</v>
      </c>
      <c r="E22" s="1" t="n">
        <f aca="false">B22*D22</f>
        <v>645000</v>
      </c>
      <c r="G22" s="9" t="n">
        <v>36907</v>
      </c>
      <c r="H22" s="10" t="n">
        <v>11.45</v>
      </c>
      <c r="I22" s="11" t="n">
        <v>24037</v>
      </c>
      <c r="J22" s="12" t="n">
        <f aca="false">$B$14/31</f>
        <v>6967.74193548387</v>
      </c>
      <c r="K22" s="13" t="n">
        <v>3000</v>
      </c>
      <c r="L22" s="14" t="n">
        <f aca="false">I22-K22-J22</f>
        <v>14069.2580645161</v>
      </c>
      <c r="M22" s="15" t="n">
        <f aca="false">IF(L22&gt;0,L22,0)</f>
        <v>14069.2580645161</v>
      </c>
      <c r="N22" s="16" t="n">
        <f aca="false">M22*H22</f>
        <v>161093.00483871</v>
      </c>
      <c r="O22" s="15" t="n">
        <f aca="false">IF(L22&gt;0,0,L22)</f>
        <v>0</v>
      </c>
      <c r="P22" s="1" t="n">
        <f aca="false">O22*H22</f>
        <v>0</v>
      </c>
    </row>
    <row r="23" customFormat="false" ht="12.75" hidden="false" customHeight="false" outlineLevel="0" collapsed="false">
      <c r="B23" s="3"/>
      <c r="D23" s="24"/>
      <c r="G23" s="9" t="n">
        <v>36908</v>
      </c>
      <c r="H23" s="10" t="n">
        <v>11.14</v>
      </c>
      <c r="I23" s="11" t="n">
        <v>25090</v>
      </c>
      <c r="J23" s="12" t="n">
        <f aca="false">$B$14/31</f>
        <v>6967.74193548387</v>
      </c>
      <c r="K23" s="13" t="n">
        <v>3000</v>
      </c>
      <c r="L23" s="14" t="n">
        <f aca="false">I23-K23-J23</f>
        <v>15122.2580645161</v>
      </c>
      <c r="M23" s="15" t="n">
        <f aca="false">IF(L23&gt;0,L23,0)</f>
        <v>15122.2580645161</v>
      </c>
      <c r="N23" s="16" t="n">
        <f aca="false">M23*H23</f>
        <v>168461.95483871</v>
      </c>
      <c r="O23" s="15" t="n">
        <f aca="false">IF(L23&gt;0,0,L23)</f>
        <v>0</v>
      </c>
      <c r="P23" s="1" t="n">
        <f aca="false">O23*H23</f>
        <v>0</v>
      </c>
    </row>
    <row r="24" customFormat="false" ht="12.75" hidden="false" customHeight="false" outlineLevel="0" collapsed="false">
      <c r="A24" s="0" t="s">
        <v>34</v>
      </c>
      <c r="B24" s="25" t="n">
        <f aca="false">M38</f>
        <v>136548.193548387</v>
      </c>
      <c r="D24" s="23" t="n">
        <f aca="false">E24/B24</f>
        <v>11.7865750291638</v>
      </c>
      <c r="E24" s="1" t="n">
        <f aca="false">N38</f>
        <v>1609435.52835484</v>
      </c>
      <c r="G24" s="9" t="n">
        <v>36909</v>
      </c>
      <c r="H24" s="10" t="n">
        <v>11.71</v>
      </c>
      <c r="I24" s="11" t="n">
        <v>22997</v>
      </c>
      <c r="J24" s="12" t="n">
        <f aca="false">$B$14/31</f>
        <v>6967.74193548387</v>
      </c>
      <c r="K24" s="13" t="n">
        <v>3000</v>
      </c>
      <c r="L24" s="14" t="n">
        <f aca="false">I24-K24-J24</f>
        <v>13029.2580645161</v>
      </c>
      <c r="M24" s="15" t="n">
        <f aca="false">IF(L24&gt;0,L24,0)</f>
        <v>13029.2580645161</v>
      </c>
      <c r="N24" s="16" t="n">
        <f aca="false">M24*H24</f>
        <v>152572.611935484</v>
      </c>
      <c r="O24" s="15" t="n">
        <f aca="false">IF(L24&gt;0,0,L24)</f>
        <v>0</v>
      </c>
      <c r="P24" s="1" t="n">
        <f aca="false">O24*H24</f>
        <v>0</v>
      </c>
    </row>
    <row r="25" customFormat="false" ht="12.75" hidden="false" customHeight="false" outlineLevel="0" collapsed="false">
      <c r="A25" s="0" t="s">
        <v>35</v>
      </c>
      <c r="B25" s="26" t="n">
        <f aca="false">O38</f>
        <v>-18995.1935483871</v>
      </c>
      <c r="D25" s="23" t="n">
        <f aca="false">E25/B25</f>
        <v>13.3335358690059</v>
      </c>
      <c r="E25" s="1" t="n">
        <f aca="false">P38</f>
        <v>-253273.094516129</v>
      </c>
      <c r="G25" s="9" t="n">
        <v>36910</v>
      </c>
      <c r="H25" s="10" t="n">
        <v>11.375</v>
      </c>
      <c r="I25" s="11" t="n">
        <v>20836</v>
      </c>
      <c r="J25" s="12" t="n">
        <f aca="false">$B$14/31</f>
        <v>6967.74193548387</v>
      </c>
      <c r="K25" s="13" t="n">
        <v>3000</v>
      </c>
      <c r="L25" s="14" t="n">
        <f aca="false">I25-K25-J25</f>
        <v>10868.2580645161</v>
      </c>
      <c r="M25" s="15" t="n">
        <f aca="false">IF(L25&gt;0,L25,0)</f>
        <v>10868.2580645161</v>
      </c>
      <c r="N25" s="16" t="n">
        <f aca="false">M25*H25</f>
        <v>123626.435483871</v>
      </c>
      <c r="O25" s="15" t="n">
        <f aca="false">IF(L25&gt;0,0,L25)</f>
        <v>0</v>
      </c>
      <c r="P25" s="1" t="n">
        <f aca="false">O25*H25</f>
        <v>0</v>
      </c>
    </row>
    <row r="26" customFormat="false" ht="12.75" hidden="false" customHeight="false" outlineLevel="0" collapsed="false">
      <c r="B26" s="25" t="n">
        <f aca="false">SUM(B21:B25)</f>
        <v>333553</v>
      </c>
      <c r="C26" s="3"/>
      <c r="F26" s="3"/>
      <c r="G26" s="9" t="n">
        <v>36911</v>
      </c>
      <c r="H26" s="10" t="n">
        <v>15.12</v>
      </c>
      <c r="I26" s="11" t="n">
        <v>12413</v>
      </c>
      <c r="J26" s="12" t="n">
        <f aca="false">$B$14/31</f>
        <v>6967.74193548387</v>
      </c>
      <c r="K26" s="13" t="n">
        <v>3000</v>
      </c>
      <c r="L26" s="14" t="n">
        <f aca="false">I26-K26-J26</f>
        <v>2445.25806451613</v>
      </c>
      <c r="M26" s="15" t="n">
        <f aca="false">IF(L26&gt;0,L26,0)</f>
        <v>2445.25806451613</v>
      </c>
      <c r="N26" s="16" t="n">
        <f aca="false">M26*H26</f>
        <v>36972.3019354839</v>
      </c>
      <c r="O26" s="15" t="n">
        <f aca="false">IF(L26&gt;0,0,L26)</f>
        <v>0</v>
      </c>
      <c r="P26" s="1" t="n">
        <f aca="false">O26*H26</f>
        <v>0</v>
      </c>
    </row>
    <row r="27" customFormat="false" ht="12.75" hidden="false" customHeight="false" outlineLevel="0" collapsed="false">
      <c r="B27" s="19"/>
      <c r="C27" s="3"/>
      <c r="D27" s="27"/>
      <c r="G27" s="9" t="n">
        <v>36912</v>
      </c>
      <c r="H27" s="10" t="n">
        <v>15.12</v>
      </c>
      <c r="I27" s="11" t="n">
        <v>8576</v>
      </c>
      <c r="J27" s="12" t="n">
        <f aca="false">$B$14/31</f>
        <v>6967.74193548387</v>
      </c>
      <c r="K27" s="13" t="n">
        <v>3000</v>
      </c>
      <c r="L27" s="14" t="n">
        <f aca="false">I27-K27-J27</f>
        <v>-1391.74193548387</v>
      </c>
      <c r="M27" s="15" t="n">
        <f aca="false">IF(L27&gt;0,L27,0)</f>
        <v>0</v>
      </c>
      <c r="N27" s="16" t="n">
        <f aca="false">M27*H27</f>
        <v>0</v>
      </c>
      <c r="O27" s="15" t="n">
        <f aca="false">IF(L27&gt;0,0,L27)</f>
        <v>-1391.74193548387</v>
      </c>
      <c r="P27" s="1" t="n">
        <f aca="false">O27*H27</f>
        <v>-21043.1380645161</v>
      </c>
    </row>
    <row r="28" customFormat="false" ht="12.75" hidden="false" customHeight="false" outlineLevel="0" collapsed="false">
      <c r="A28" s="0" t="s">
        <v>36</v>
      </c>
      <c r="B28" s="21" t="n">
        <v>124129</v>
      </c>
      <c r="C28" s="3"/>
      <c r="D28" s="27" t="n">
        <f aca="false">B5-0.015</f>
        <v>16.305</v>
      </c>
      <c r="E28" s="1" t="n">
        <f aca="false">-D28*B28</f>
        <v>-2023923.345</v>
      </c>
      <c r="G28" s="9" t="n">
        <v>36913</v>
      </c>
      <c r="H28" s="10" t="n">
        <v>15.12</v>
      </c>
      <c r="I28" s="11" t="n">
        <v>11135</v>
      </c>
      <c r="J28" s="12" t="n">
        <f aca="false">$B$14/31</f>
        <v>6967.74193548387</v>
      </c>
      <c r="K28" s="13" t="n">
        <v>3000</v>
      </c>
      <c r="L28" s="14" t="n">
        <f aca="false">I28-K28-J28</f>
        <v>1167.25806451613</v>
      </c>
      <c r="M28" s="15" t="n">
        <f aca="false">IF(L28&gt;0,L28,0)</f>
        <v>1167.25806451613</v>
      </c>
      <c r="N28" s="16" t="n">
        <f aca="false">M28*H28</f>
        <v>17648.9419354839</v>
      </c>
      <c r="O28" s="15" t="n">
        <f aca="false">IF(L28&gt;0,0,L28)</f>
        <v>0</v>
      </c>
      <c r="P28" s="1" t="n">
        <f aca="false">O28*H28</f>
        <v>0</v>
      </c>
    </row>
    <row r="29" customFormat="false" ht="12.75" hidden="false" customHeight="false" outlineLevel="0" collapsed="false">
      <c r="A29" s="0" t="s">
        <v>37</v>
      </c>
      <c r="B29" s="3" t="n">
        <f aca="false">B28</f>
        <v>124129</v>
      </c>
      <c r="G29" s="9" t="n">
        <v>36914</v>
      </c>
      <c r="H29" s="10" t="n">
        <v>16.585</v>
      </c>
      <c r="I29" s="11" t="n">
        <v>12581</v>
      </c>
      <c r="J29" s="12" t="n">
        <f aca="false">$B$14/31</f>
        <v>6967.74193548387</v>
      </c>
      <c r="K29" s="13" t="n">
        <v>3000</v>
      </c>
      <c r="L29" s="14" t="n">
        <f aca="false">I29-K29-J29</f>
        <v>2613.25806451613</v>
      </c>
      <c r="M29" s="15" t="n">
        <f aca="false">IF(L29&gt;0,L29,0)</f>
        <v>2613.25806451613</v>
      </c>
      <c r="N29" s="16" t="n">
        <f aca="false">M29*H29</f>
        <v>43340.885</v>
      </c>
      <c r="O29" s="15" t="n">
        <f aca="false">IF(L29&gt;0,0,L29)</f>
        <v>0</v>
      </c>
      <c r="P29" s="1" t="n">
        <f aca="false">O29*H29</f>
        <v>0</v>
      </c>
    </row>
    <row r="30" customFormat="false" ht="12.75" hidden="false" customHeight="false" outlineLevel="0" collapsed="false">
      <c r="A30" s="0" t="s">
        <v>38</v>
      </c>
      <c r="B30" s="19"/>
      <c r="C30" s="3"/>
      <c r="D30" s="27"/>
      <c r="E30" s="28"/>
      <c r="G30" s="9" t="n">
        <v>36915</v>
      </c>
      <c r="H30" s="10" t="n">
        <v>15.96</v>
      </c>
      <c r="I30" s="11" t="n">
        <v>12742</v>
      </c>
      <c r="J30" s="12" t="n">
        <f aca="false">$B$14/31</f>
        <v>6967.74193548387</v>
      </c>
      <c r="K30" s="13" t="n">
        <v>3000</v>
      </c>
      <c r="L30" s="14" t="n">
        <f aca="false">I30-K30-J30</f>
        <v>2774.25806451613</v>
      </c>
      <c r="M30" s="15" t="n">
        <f aca="false">IF(L30&gt;0,L30,0)</f>
        <v>2774.25806451613</v>
      </c>
      <c r="N30" s="16" t="n">
        <f aca="false">M30*H30</f>
        <v>44277.1587096774</v>
      </c>
      <c r="O30" s="15" t="n">
        <f aca="false">IF(L30&gt;0,0,L30)</f>
        <v>0</v>
      </c>
      <c r="P30" s="1" t="n">
        <f aca="false">O30*H30</f>
        <v>0</v>
      </c>
    </row>
    <row r="31" customFormat="false" ht="12.75" hidden="false" customHeight="false" outlineLevel="0" collapsed="false">
      <c r="A31" s="0" t="s">
        <v>39</v>
      </c>
      <c r="B31" s="19" t="n">
        <v>121363</v>
      </c>
      <c r="C31" s="3"/>
      <c r="D31" s="27" t="n">
        <f aca="false">B44</f>
        <v>7.1376</v>
      </c>
      <c r="E31" s="28" t="n">
        <f aca="false">-B31*D31</f>
        <v>-866240.5488</v>
      </c>
      <c r="G31" s="9" t="n">
        <v>36916</v>
      </c>
      <c r="H31" s="10" t="n">
        <v>15.97</v>
      </c>
      <c r="I31" s="11" t="n">
        <v>12297</v>
      </c>
      <c r="J31" s="12" t="n">
        <f aca="false">$B$14/31</f>
        <v>6967.74193548387</v>
      </c>
      <c r="K31" s="13" t="n">
        <v>3000</v>
      </c>
      <c r="L31" s="14" t="n">
        <f aca="false">I31-K31-J31</f>
        <v>2329.25806451613</v>
      </c>
      <c r="M31" s="15" t="n">
        <f aca="false">IF(L31&gt;0,L31,0)</f>
        <v>2329.25806451613</v>
      </c>
      <c r="N31" s="16" t="n">
        <f aca="false">M31*H31</f>
        <v>37198.2512903226</v>
      </c>
      <c r="O31" s="15" t="n">
        <f aca="false">IF(L31&gt;0,0,L31)</f>
        <v>0</v>
      </c>
      <c r="P31" s="1" t="n">
        <f aca="false">O31*H31</f>
        <v>0</v>
      </c>
    </row>
    <row r="32" customFormat="false" ht="12.75" hidden="false" customHeight="false" outlineLevel="0" collapsed="false">
      <c r="A32" s="0" t="s">
        <v>40</v>
      </c>
      <c r="B32" s="19" t="n">
        <f aca="false">B31</f>
        <v>121363</v>
      </c>
      <c r="C32" s="3"/>
      <c r="D32" s="27" t="n">
        <f aca="false">-B43</f>
        <v>0.026</v>
      </c>
      <c r="E32" s="28" t="n">
        <f aca="false">-B32*D32</f>
        <v>-3155.438</v>
      </c>
      <c r="G32" s="9" t="n">
        <v>36917</v>
      </c>
      <c r="H32" s="10" t="n">
        <v>15.185</v>
      </c>
      <c r="I32" s="11" t="n">
        <v>12704</v>
      </c>
      <c r="J32" s="12" t="n">
        <f aca="false">$B$14/31</f>
        <v>6967.74193548387</v>
      </c>
      <c r="K32" s="13" t="n">
        <v>3000</v>
      </c>
      <c r="L32" s="14" t="n">
        <f aca="false">I32-K32-J32</f>
        <v>2736.25806451613</v>
      </c>
      <c r="M32" s="15" t="n">
        <f aca="false">IF(L32&gt;0,L32,0)</f>
        <v>2736.25806451613</v>
      </c>
      <c r="N32" s="16" t="n">
        <f aca="false">M32*H32</f>
        <v>41550.0787096774</v>
      </c>
      <c r="O32" s="15" t="n">
        <f aca="false">IF(L32&gt;0,0,L32)</f>
        <v>0</v>
      </c>
      <c r="P32" s="1" t="n">
        <f aca="false">O32*H32</f>
        <v>0</v>
      </c>
    </row>
    <row r="33" customFormat="false" ht="12.75" hidden="false" customHeight="false" outlineLevel="0" collapsed="false">
      <c r="B33" s="3"/>
      <c r="C33" s="3"/>
      <c r="D33" s="23"/>
      <c r="E33" s="29"/>
      <c r="G33" s="9" t="n">
        <v>36918</v>
      </c>
      <c r="H33" s="10" t="n">
        <v>13.42</v>
      </c>
      <c r="I33" s="11" t="n">
        <v>4291</v>
      </c>
      <c r="J33" s="12" t="n">
        <f aca="false">$B$14/31</f>
        <v>6967.74193548387</v>
      </c>
      <c r="K33" s="13" t="n">
        <v>3000</v>
      </c>
      <c r="L33" s="14" t="n">
        <f aca="false">I33-K33-J33</f>
        <v>-5676.74193548387</v>
      </c>
      <c r="M33" s="15" t="n">
        <f aca="false">IF(L33&gt;0,L33,0)</f>
        <v>0</v>
      </c>
      <c r="N33" s="16" t="n">
        <f aca="false">M33*H33</f>
        <v>0</v>
      </c>
      <c r="O33" s="15" t="n">
        <f aca="false">IF(L33&gt;0,0,L33)</f>
        <v>-5676.74193548387</v>
      </c>
      <c r="P33" s="1" t="n">
        <f aca="false">O33*H33</f>
        <v>-76181.8767741935</v>
      </c>
    </row>
    <row r="34" customFormat="false" ht="12.75" hidden="false" customHeight="false" outlineLevel="0" collapsed="false">
      <c r="A34" s="6" t="s">
        <v>41</v>
      </c>
      <c r="B34" s="3"/>
      <c r="C34" s="3"/>
      <c r="D34" s="23"/>
      <c r="E34" s="30" t="n">
        <f aca="false">SUM(E21:E32)</f>
        <v>2140573.10203871</v>
      </c>
      <c r="G34" s="9" t="n">
        <v>36919</v>
      </c>
      <c r="H34" s="10" t="n">
        <v>13.42</v>
      </c>
      <c r="I34" s="11" t="n">
        <v>9378</v>
      </c>
      <c r="J34" s="12" t="n">
        <f aca="false">$B$14/31</f>
        <v>6967.74193548387</v>
      </c>
      <c r="K34" s="13" t="n">
        <v>3000</v>
      </c>
      <c r="L34" s="14" t="n">
        <f aca="false">I34-K34-J34</f>
        <v>-589.741935483871</v>
      </c>
      <c r="M34" s="15" t="n">
        <f aca="false">IF(L34&gt;0,L34,0)</f>
        <v>0</v>
      </c>
      <c r="N34" s="16" t="n">
        <f aca="false">M34*H34</f>
        <v>0</v>
      </c>
      <c r="O34" s="15" t="n">
        <f aca="false">IF(L34&gt;0,0,L34)</f>
        <v>-589.741935483871</v>
      </c>
      <c r="P34" s="1" t="n">
        <f aca="false">O34*H34</f>
        <v>-7914.33677419355</v>
      </c>
    </row>
    <row r="35" customFormat="false" ht="12.75" hidden="false" customHeight="false" outlineLevel="0" collapsed="false">
      <c r="B35" s="3"/>
      <c r="C35" s="3"/>
      <c r="E35" s="28"/>
      <c r="G35" s="9" t="n">
        <v>36920</v>
      </c>
      <c r="H35" s="10" t="n">
        <v>13.42</v>
      </c>
      <c r="I35" s="11" t="n">
        <v>13342</v>
      </c>
      <c r="J35" s="12" t="n">
        <f aca="false">$B$14/31</f>
        <v>6967.74193548387</v>
      </c>
      <c r="K35" s="13" t="n">
        <v>3000</v>
      </c>
      <c r="L35" s="14" t="n">
        <f aca="false">I35-K35-J35</f>
        <v>3374.25806451613</v>
      </c>
      <c r="M35" s="15" t="n">
        <f aca="false">IF(L35&gt;0,L35,0)</f>
        <v>3374.25806451613</v>
      </c>
      <c r="N35" s="16" t="n">
        <f aca="false">M35*H35</f>
        <v>45282.5432258065</v>
      </c>
      <c r="O35" s="15" t="n">
        <f aca="false">IF(L35&gt;0,0,L35)</f>
        <v>0</v>
      </c>
      <c r="P35" s="1" t="n">
        <f aca="false">O35*H35</f>
        <v>0</v>
      </c>
    </row>
    <row r="36" customFormat="false" ht="12.75" hidden="false" customHeight="false" outlineLevel="0" collapsed="false">
      <c r="A36" s="6" t="s">
        <v>38</v>
      </c>
      <c r="B36" s="31" t="s">
        <v>18</v>
      </c>
      <c r="E36" s="28"/>
      <c r="G36" s="9" t="n">
        <v>36921</v>
      </c>
      <c r="H36" s="10" t="n">
        <v>13.27</v>
      </c>
      <c r="I36" s="11" t="n">
        <v>13059</v>
      </c>
      <c r="J36" s="12" t="n">
        <f aca="false">$B$14/31</f>
        <v>6967.74193548387</v>
      </c>
      <c r="K36" s="13" t="n">
        <v>3000</v>
      </c>
      <c r="L36" s="14" t="n">
        <f aca="false">I36-K36-J36</f>
        <v>3091.25806451613</v>
      </c>
      <c r="M36" s="15" t="n">
        <f aca="false">IF(L36&gt;0,L36,0)</f>
        <v>3091.25806451613</v>
      </c>
      <c r="N36" s="16" t="n">
        <f aca="false">M36*H36</f>
        <v>41020.994516129</v>
      </c>
      <c r="O36" s="15" t="n">
        <f aca="false">IF(L36&gt;0,0,L36)</f>
        <v>0</v>
      </c>
      <c r="P36" s="1" t="n">
        <f aca="false">O36*H36</f>
        <v>0</v>
      </c>
    </row>
    <row r="37" customFormat="false" ht="12.75" hidden="false" customHeight="false" outlineLevel="0" collapsed="false">
      <c r="B37" s="3"/>
      <c r="E37" s="28"/>
      <c r="G37" s="9" t="n">
        <v>36922</v>
      </c>
      <c r="H37" s="32" t="n">
        <v>10.88</v>
      </c>
      <c r="I37" s="33" t="n">
        <v>13020</v>
      </c>
      <c r="J37" s="34" t="n">
        <f aca="false">$B$14/31</f>
        <v>6967.74193548387</v>
      </c>
      <c r="K37" s="35" t="n">
        <v>3000</v>
      </c>
      <c r="L37" s="36" t="n">
        <f aca="false">I37-K37-J37</f>
        <v>3052.25806451613</v>
      </c>
      <c r="M37" s="37" t="n">
        <f aca="false">IF(L37&gt;0,L37,0)</f>
        <v>3052.25806451613</v>
      </c>
      <c r="N37" s="38" t="n">
        <f aca="false">M37*H37</f>
        <v>33208.5677419355</v>
      </c>
      <c r="O37" s="37" t="n">
        <f aca="false">IF(L37&gt;0,0,L37)</f>
        <v>0</v>
      </c>
      <c r="P37" s="39" t="n">
        <f aca="false">O37*H37</f>
        <v>0</v>
      </c>
    </row>
    <row r="38" customFormat="false" ht="12.75" hidden="false" customHeight="false" outlineLevel="0" collapsed="false">
      <c r="A38" s="0" t="s">
        <v>8</v>
      </c>
      <c r="B38" s="24" t="n">
        <f aca="false">B5</f>
        <v>16.32</v>
      </c>
      <c r="E38" s="28"/>
      <c r="G38" s="0" t="s">
        <v>42</v>
      </c>
      <c r="H38" s="27" t="n">
        <f aca="false">AVERAGE(H7:H35)</f>
        <v>12.7231724137931</v>
      </c>
      <c r="I38" s="40" t="n">
        <f aca="false">SUM(I7:I37)</f>
        <v>426553</v>
      </c>
      <c r="J38" s="41" t="n">
        <f aca="false">SUM(J7:J37)</f>
        <v>216000</v>
      </c>
      <c r="K38" s="3" t="n">
        <f aca="false">SUM(K7:K37)</f>
        <v>93000</v>
      </c>
      <c r="L38" s="3" t="n">
        <f aca="false">SUM(L7:L37)</f>
        <v>117553</v>
      </c>
      <c r="M38" s="3" t="n">
        <f aca="false">SUM(M7:M37)</f>
        <v>136548.193548387</v>
      </c>
      <c r="N38" s="42" t="n">
        <f aca="false">SUM(N7:N37)</f>
        <v>1609435.52835484</v>
      </c>
      <c r="O38" s="25" t="n">
        <f aca="false">SUM(O7:O37)</f>
        <v>-18995.1935483871</v>
      </c>
      <c r="P38" s="42" t="n">
        <f aca="false">SUM(P7:P37)</f>
        <v>-253273.094516129</v>
      </c>
    </row>
    <row r="39" customFormat="false" ht="12.75" hidden="false" customHeight="false" outlineLevel="0" collapsed="false">
      <c r="A39" s="0" t="s">
        <v>43</v>
      </c>
      <c r="B39" s="43" t="n">
        <f aca="false">B6</f>
        <v>8.8</v>
      </c>
      <c r="E39" s="28"/>
    </row>
    <row r="40" customFormat="false" ht="12.75" hidden="false" customHeight="false" outlineLevel="0" collapsed="false">
      <c r="A40" s="0" t="s">
        <v>44</v>
      </c>
      <c r="B40" s="24" t="n">
        <f aca="false">B38-B39</f>
        <v>7.52</v>
      </c>
      <c r="E40" s="28"/>
    </row>
    <row r="41" customFormat="false" ht="12.75" hidden="false" customHeight="false" outlineLevel="0" collapsed="false">
      <c r="B41" s="24" t="n">
        <v>-0.015</v>
      </c>
      <c r="E41" s="28"/>
      <c r="I41" s="42"/>
      <c r="M41" s="5"/>
      <c r="N41" s="5"/>
      <c r="O41" s="44"/>
      <c r="P41" s="45"/>
    </row>
    <row r="42" customFormat="false" ht="12.75" hidden="false" customHeight="false" outlineLevel="0" collapsed="false">
      <c r="A42" s="0" t="s">
        <v>45</v>
      </c>
      <c r="B42" s="24" t="n">
        <f aca="false">-0.0388*B6</f>
        <v>-0.34144</v>
      </c>
      <c r="E42" s="28"/>
      <c r="M42" s="3"/>
      <c r="N42" s="3"/>
    </row>
    <row r="43" customFormat="false" ht="12.75" hidden="false" customHeight="false" outlineLevel="0" collapsed="false">
      <c r="A43" s="0" t="s">
        <v>46</v>
      </c>
      <c r="B43" s="43" t="n">
        <v>-0.026</v>
      </c>
      <c r="E43" s="28"/>
      <c r="M43" s="42"/>
      <c r="N43" s="42"/>
    </row>
    <row r="44" customFormat="false" ht="12.75" hidden="false" customHeight="false" outlineLevel="0" collapsed="false">
      <c r="A44" s="0" t="s">
        <v>47</v>
      </c>
      <c r="B44" s="24" t="n">
        <f aca="false">ROUND(SUM(B40:B43),4)</f>
        <v>7.1376</v>
      </c>
      <c r="C44" s="24"/>
      <c r="E44" s="28"/>
    </row>
    <row r="49" customFormat="false" ht="12.75" hidden="false" customHeight="false" outlineLevel="0" collapsed="false">
      <c r="A49" s="46"/>
      <c r="B49" s="45"/>
      <c r="C49" s="45"/>
      <c r="D49" s="45"/>
    </row>
    <row r="50" customFormat="false" ht="12.75" hidden="false" customHeight="false" outlineLevel="0" collapsed="false">
      <c r="A50" s="45"/>
      <c r="B50" s="45"/>
      <c r="C50" s="45"/>
      <c r="D50" s="47"/>
    </row>
    <row r="51" customFormat="false" ht="12.75" hidden="false" customHeight="false" outlineLevel="0" collapsed="false">
      <c r="A51" s="45"/>
      <c r="B51" s="3"/>
      <c r="C51" s="45"/>
      <c r="D51" s="47"/>
    </row>
    <row r="52" customFormat="false" ht="12.75" hidden="false" customHeight="false" outlineLevel="0" collapsed="false">
      <c r="A52" s="45"/>
      <c r="B52" s="5"/>
      <c r="C52" s="45"/>
      <c r="D52" s="48"/>
    </row>
    <row r="53" customFormat="false" ht="12.75" hidden="false" customHeight="false" outlineLevel="0" collapsed="false">
      <c r="A53" s="49"/>
      <c r="B53" s="20"/>
      <c r="C53" s="45"/>
      <c r="D53" s="47"/>
      <c r="F53" s="45"/>
    </row>
    <row r="54" customFormat="false" ht="12.75" hidden="false" customHeight="false" outlineLevel="0" collapsed="false">
      <c r="B54" s="3"/>
      <c r="C54" s="3"/>
      <c r="D54" s="47"/>
      <c r="F54" s="45"/>
    </row>
    <row r="55" customFormat="false" ht="12.75" hidden="false" customHeight="false" outlineLevel="0" collapsed="false">
      <c r="A55" s="45"/>
      <c r="B55" s="3"/>
      <c r="C55" s="3"/>
      <c r="D55" s="47"/>
      <c r="F55" s="45"/>
    </row>
    <row r="56" customFormat="false" ht="12.75" hidden="false" customHeight="false" outlineLevel="0" collapsed="false">
      <c r="A56" s="45"/>
      <c r="B56" s="3"/>
      <c r="C56" s="3"/>
      <c r="D56" s="47"/>
      <c r="F56" s="45"/>
    </row>
    <row r="57" customFormat="false" ht="12.75" hidden="false" customHeight="false" outlineLevel="0" collapsed="false">
      <c r="A57" s="45"/>
      <c r="B57" s="45"/>
      <c r="C57" s="50"/>
      <c r="D57" s="51"/>
      <c r="E57" s="52"/>
      <c r="F57" s="53"/>
      <c r="G57" s="54"/>
    </row>
    <row r="58" customFormat="false" ht="12.75" hidden="false" customHeight="false" outlineLevel="0" collapsed="false">
      <c r="A58" s="45"/>
      <c r="B58" s="3"/>
      <c r="C58" s="55"/>
      <c r="D58" s="24"/>
      <c r="F58" s="45"/>
    </row>
    <row r="59" customFormat="false" ht="12.75" hidden="false" customHeight="false" outlineLevel="0" collapsed="false">
      <c r="A59" s="45"/>
      <c r="B59" s="45"/>
      <c r="C59" s="55"/>
      <c r="D59" s="24"/>
      <c r="F59" s="45"/>
    </row>
    <row r="60" customFormat="false" ht="12.75" hidden="false" customHeight="false" outlineLevel="0" collapsed="false">
      <c r="A60" s="45"/>
      <c r="B60" s="3"/>
      <c r="C60" s="3"/>
      <c r="D60" s="4"/>
      <c r="F60" s="45"/>
    </row>
    <row r="61" customFormat="false" ht="12.75" hidden="false" customHeight="false" outlineLevel="0" collapsed="false">
      <c r="A61" s="45"/>
      <c r="B61" s="3"/>
      <c r="C61" s="3"/>
      <c r="D61" s="4"/>
      <c r="F61" s="45"/>
    </row>
    <row r="62" customFormat="false" ht="12.75" hidden="false" customHeight="false" outlineLevel="0" collapsed="false">
      <c r="A62" s="45"/>
      <c r="F62" s="45"/>
    </row>
    <row r="63" customFormat="false" ht="12.75" hidden="false" customHeight="false" outlineLevel="0" collapsed="false">
      <c r="A63" s="45"/>
      <c r="F63" s="45"/>
    </row>
    <row r="66" customFormat="false" ht="12.75" hidden="false" customHeight="false" outlineLevel="0" collapsed="false">
      <c r="B66" s="56"/>
      <c r="C66" s="56"/>
    </row>
    <row r="67" customFormat="false" ht="12.75" hidden="false" customHeight="false" outlineLevel="0" collapsed="false">
      <c r="C67" s="56"/>
    </row>
  </sheetData>
  <printOptions headings="false" gridLines="tru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1999-07-01T13:28:30Z</dcterms:created>
  <dc:creator>Eric R Klinkner</dc:creator>
  <dc:description/>
  <dc:language>en-US</dc:language>
  <cp:lastModifiedBy>tkuyken</cp:lastModifiedBy>
  <cp:lastPrinted>2000-11-15T16:11:18Z</cp:lastPrinted>
  <cp:revision>0</cp:revision>
  <dc:subject/>
  <dc:title/>
</cp:coreProperties>
</file>