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 Prices" sheetId="1" state="visible" r:id="rId3"/>
    <sheet name="Oct Data" sheetId="2" state="visible" r:id="rId4"/>
    <sheet name="Nov Data" sheetId="3" state="visible" r:id="rId5"/>
    <sheet name="Dec Data" sheetId="4" state="visible" r:id="rId6"/>
    <sheet name="Oct DA" sheetId="5" state="visible" r:id="rId7"/>
    <sheet name="Nov DA" sheetId="6" state="visible" r:id="rId8"/>
    <sheet name="Dec DA" sheetId="7" state="visible" r:id="rId9"/>
  </sheets>
  <definedNames>
    <definedName function="false" hidden="false" localSheetId="6" name="_xlnm.Print_Area" vbProcedure="false">'Dec DA'!$A$1:$Y$49</definedName>
    <definedName function="false" hidden="false" localSheetId="3" name="_xlnm.Print_Area" vbProcedure="false">'Dec Data'!$A$1:$X$49</definedName>
    <definedName function="false" hidden="false" localSheetId="5" name="_xlnm.Print_Area" vbProcedure="false">'Nov DA'!$A$1:$Y$49</definedName>
    <definedName function="false" hidden="false" localSheetId="2" name="_xlnm.Print_Area" vbProcedure="false">'Nov Data'!$A$1:$X$49</definedName>
    <definedName function="false" hidden="false" localSheetId="4" name="_xlnm.Print_Area" vbProcedure="false">'Oct DA'!$A$1:$Y$47</definedName>
    <definedName function="false" hidden="false" localSheetId="1" name="_xlnm.Print_Area" vbProcedure="false">'Oct Data'!$A$1:$X$47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<sst xmlns="http://schemas.openxmlformats.org/spreadsheetml/2006/main" count="338" uniqueCount="100">
  <si>
    <t xml:space="preserve">HB</t>
  </si>
  <si>
    <t xml:space="preserve">Sunday</t>
  </si>
  <si>
    <t xml:space="preserve">Avg</t>
  </si>
  <si>
    <t xml:space="preserve">Zone A</t>
  </si>
  <si>
    <t xml:space="preserve">Zone G</t>
  </si>
  <si>
    <t xml:space="preserve">Zone J</t>
  </si>
  <si>
    <t xml:space="preserve">Monday</t>
  </si>
  <si>
    <t xml:space="preserve">Forecast for</t>
  </si>
  <si>
    <t xml:space="preserve">Gen</t>
  </si>
  <si>
    <t xml:space="preserve">Day Ahead Prices</t>
  </si>
  <si>
    <t xml:space="preserve">NYISO</t>
  </si>
  <si>
    <t xml:space="preserve">Avg.</t>
  </si>
  <si>
    <t xml:space="preserve">Bids</t>
  </si>
  <si>
    <t xml:space="preserve">MW's</t>
  </si>
  <si>
    <t xml:space="preserve">Generation</t>
  </si>
  <si>
    <t xml:space="preserve">Temps (NYC)</t>
  </si>
  <si>
    <t xml:space="preserve">Date</t>
  </si>
  <si>
    <t xml:space="preserve">%</t>
  </si>
  <si>
    <t xml:space="preserve">PJM</t>
  </si>
  <si>
    <t xml:space="preserve"> Load</t>
  </si>
  <si>
    <t xml:space="preserve">Net Imports</t>
  </si>
  <si>
    <t xml:space="preserve">(Offered)</t>
  </si>
  <si>
    <t xml:space="preserve">Change</t>
  </si>
  <si>
    <t xml:space="preserve">Bids %</t>
  </si>
  <si>
    <t xml:space="preserve">Hi/Lo</t>
  </si>
  <si>
    <t xml:space="preserve">Outages</t>
  </si>
  <si>
    <t xml:space="preserve">64/54</t>
  </si>
  <si>
    <t xml:space="preserve">56/52</t>
  </si>
  <si>
    <t xml:space="preserve">60/49</t>
  </si>
  <si>
    <t xml:space="preserve">75/52</t>
  </si>
  <si>
    <t xml:space="preserve">82/61</t>
  </si>
  <si>
    <t xml:space="preserve">82/65</t>
  </si>
  <si>
    <t xml:space="preserve">80/64</t>
  </si>
  <si>
    <t xml:space="preserve">69/52</t>
  </si>
  <si>
    <t xml:space="preserve">57/47</t>
  </si>
  <si>
    <t xml:space="preserve">58/45</t>
  </si>
  <si>
    <t xml:space="preserve">64/49</t>
  </si>
  <si>
    <t xml:space="preserve">70/51</t>
  </si>
  <si>
    <t xml:space="preserve">73/56</t>
  </si>
  <si>
    <t xml:space="preserve">74/58</t>
  </si>
  <si>
    <t xml:space="preserve">73/60</t>
  </si>
  <si>
    <t xml:space="preserve">76/62</t>
  </si>
  <si>
    <t xml:space="preserve">68/56</t>
  </si>
  <si>
    <t xml:space="preserve">63/50</t>
  </si>
  <si>
    <t xml:space="preserve">62/48</t>
  </si>
  <si>
    <t xml:space="preserve">64/52</t>
  </si>
  <si>
    <t xml:space="preserve">66/54</t>
  </si>
  <si>
    <t xml:space="preserve">67/52</t>
  </si>
  <si>
    <t xml:space="preserve">67/51</t>
  </si>
  <si>
    <t xml:space="preserve">69/54</t>
  </si>
  <si>
    <t xml:space="preserve">65/52</t>
  </si>
  <si>
    <t xml:space="preserve">70/55</t>
  </si>
  <si>
    <t xml:space="preserve">68/55</t>
  </si>
  <si>
    <t xml:space="preserve">58/46</t>
  </si>
  <si>
    <t xml:space="preserve">56/42</t>
  </si>
  <si>
    <t xml:space="preserve">59/41</t>
  </si>
  <si>
    <t xml:space="preserve">60/47</t>
  </si>
  <si>
    <t xml:space="preserve">54/41</t>
  </si>
  <si>
    <t xml:space="preserve">1st Week Avg</t>
  </si>
  <si>
    <t xml:space="preserve">2nd Week Avg</t>
  </si>
  <si>
    <t xml:space="preserve">3rd Week Avg</t>
  </si>
  <si>
    <t xml:space="preserve">4th Week Avg</t>
  </si>
  <si>
    <t xml:space="preserve">5th Week Avg</t>
  </si>
  <si>
    <t xml:space="preserve">Monthly Avg</t>
  </si>
  <si>
    <t xml:space="preserve">16 Hr Avg</t>
  </si>
  <si>
    <t xml:space="preserve">Net</t>
  </si>
  <si>
    <t xml:space="preserve"> Imports</t>
  </si>
  <si>
    <t xml:space="preserve">68/49</t>
  </si>
  <si>
    <t xml:space="preserve">71/57</t>
  </si>
  <si>
    <t xml:space="preserve">65/55</t>
  </si>
  <si>
    <t xml:space="preserve">60/51</t>
  </si>
  <si>
    <t xml:space="preserve">54/44</t>
  </si>
  <si>
    <t xml:space="preserve">56/45</t>
  </si>
  <si>
    <t xml:space="preserve">60/48</t>
  </si>
  <si>
    <t xml:space="preserve">63/51</t>
  </si>
  <si>
    <t xml:space="preserve">54/43</t>
  </si>
  <si>
    <t xml:space="preserve">57/42</t>
  </si>
  <si>
    <t xml:space="preserve">60/45</t>
  </si>
  <si>
    <t xml:space="preserve">62/47</t>
  </si>
  <si>
    <t xml:space="preserve">59/48</t>
  </si>
  <si>
    <t xml:space="preserve">56/46</t>
  </si>
  <si>
    <t xml:space="preserve">55/45</t>
  </si>
  <si>
    <t xml:space="preserve">52/41</t>
  </si>
  <si>
    <t xml:space="preserve">50/39</t>
  </si>
  <si>
    <t xml:space="preserve">48/42</t>
  </si>
  <si>
    <t xml:space="preserve">49/42</t>
  </si>
  <si>
    <t xml:space="preserve">51/40</t>
  </si>
  <si>
    <t xml:space="preserve">47/36</t>
  </si>
  <si>
    <t xml:space="preserve">49/38</t>
  </si>
  <si>
    <t xml:space="preserve">46/37</t>
  </si>
  <si>
    <t xml:space="preserve">44/34</t>
  </si>
  <si>
    <t xml:space="preserve">47/32</t>
  </si>
  <si>
    <t xml:space="preserve">44/33</t>
  </si>
  <si>
    <t xml:space="preserve">42/34</t>
  </si>
  <si>
    <t xml:space="preserve">Price</t>
  </si>
  <si>
    <t xml:space="preserve">Forecast</t>
  </si>
  <si>
    <t xml:space="preserve">Average</t>
  </si>
  <si>
    <t xml:space="preserve">A-G</t>
  </si>
  <si>
    <t xml:space="preserve">G-J</t>
  </si>
  <si>
    <t xml:space="preserve">A-J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</si>
</sst>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#,##0"/>
    <numFmt numFmtId="168" formatCode="0%"/>
    <numFmt numFmtId="169" formatCode="0.0%"/>
    <numFmt numFmtId="170" formatCode="0"/>
    <numFmt numFmtId="171" formatCode="_(* #,##0.00_);_(* \(#,##0.00\);_(* \-??_);_(@_)"/>
    <numFmt numFmtId="172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7.5"/>
      <name val="Arial"/>
      <family val="0"/>
    </font>
    <font>
      <i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C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9" min="29" style="0" width="10.71"/>
  </cols>
  <sheetData>
    <row r="2" customFormat="false" ht="12.75" hidden="false" customHeight="false" outlineLevel="0" collapsed="false"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  <c r="M2" s="1" t="s">
        <v>0</v>
      </c>
      <c r="N2" s="1" t="s">
        <v>0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</row>
    <row r="3" customFormat="false" ht="12.75" hidden="false" customHeight="false" outlineLevel="0" collapsed="false">
      <c r="A3" s="0" t="s">
        <v>1</v>
      </c>
    </row>
    <row r="4" customFormat="false" ht="15.75" hidden="false" customHeight="false" outlineLevel="0" collapsed="false">
      <c r="A4" s="2" t="n">
        <v>37150</v>
      </c>
      <c r="B4" s="0" t="n">
        <v>1</v>
      </c>
      <c r="C4" s="0" t="n">
        <v>2</v>
      </c>
      <c r="D4" s="0" t="n">
        <v>3</v>
      </c>
      <c r="E4" s="0" t="n">
        <v>4</v>
      </c>
      <c r="F4" s="0" t="n">
        <v>5</v>
      </c>
      <c r="G4" s="0" t="n">
        <v>6</v>
      </c>
      <c r="H4" s="0" t="n">
        <v>7</v>
      </c>
      <c r="I4" s="0" t="n">
        <v>8</v>
      </c>
      <c r="J4" s="0" t="n">
        <v>9</v>
      </c>
      <c r="K4" s="0" t="n">
        <v>10</v>
      </c>
      <c r="L4" s="0" t="n">
        <v>11</v>
      </c>
      <c r="M4" s="0" t="n">
        <v>12</v>
      </c>
      <c r="N4" s="0" t="n">
        <v>13</v>
      </c>
      <c r="O4" s="0" t="n">
        <v>14</v>
      </c>
      <c r="P4" s="0" t="n">
        <v>15</v>
      </c>
      <c r="Q4" s="0" t="n">
        <v>16</v>
      </c>
      <c r="R4" s="0" t="n">
        <v>17</v>
      </c>
      <c r="S4" s="0" t="n">
        <v>18</v>
      </c>
      <c r="T4" s="0" t="n">
        <v>19</v>
      </c>
      <c r="U4" s="0" t="n">
        <v>20</v>
      </c>
      <c r="V4" s="0" t="n">
        <v>21</v>
      </c>
      <c r="W4" s="0" t="n">
        <v>22</v>
      </c>
      <c r="X4" s="0" t="n">
        <v>23</v>
      </c>
      <c r="Y4" s="0" t="n">
        <v>24</v>
      </c>
      <c r="AA4" s="3" t="s">
        <v>2</v>
      </c>
    </row>
    <row r="5" customFormat="false" ht="15.75" hidden="false" customHeight="false" outlineLevel="0" collapsed="false">
      <c r="A5" s="0" t="s">
        <v>3</v>
      </c>
      <c r="B5" s="4" t="n">
        <v>26.64</v>
      </c>
      <c r="C5" s="4" t="n">
        <v>19.94</v>
      </c>
      <c r="D5" s="4" t="n">
        <v>18.91</v>
      </c>
      <c r="E5" s="4" t="n">
        <v>18.84</v>
      </c>
      <c r="F5" s="4" t="n">
        <v>18.49</v>
      </c>
      <c r="G5" s="4" t="n">
        <v>18.86</v>
      </c>
      <c r="H5" s="4" t="n">
        <v>18.07</v>
      </c>
      <c r="I5" s="4" t="n">
        <v>19.98</v>
      </c>
      <c r="J5" s="4" t="n">
        <v>24.31</v>
      </c>
      <c r="K5" s="4" t="n">
        <v>25.08</v>
      </c>
      <c r="L5" s="4" t="n">
        <v>27.01</v>
      </c>
      <c r="M5" s="4" t="n">
        <v>27.75</v>
      </c>
      <c r="N5" s="4" t="n">
        <v>28.04</v>
      </c>
      <c r="O5" s="4" t="n">
        <v>28.03</v>
      </c>
      <c r="P5" s="4" t="n">
        <v>27.72</v>
      </c>
      <c r="Q5" s="4" t="n">
        <v>27.65</v>
      </c>
      <c r="R5" s="4" t="n">
        <v>27.71</v>
      </c>
      <c r="S5" s="4" t="n">
        <v>28.6</v>
      </c>
      <c r="T5" s="4" t="n">
        <v>28.08</v>
      </c>
      <c r="U5" s="4" t="n">
        <v>28.95</v>
      </c>
      <c r="V5" s="4" t="n">
        <v>29.55</v>
      </c>
      <c r="W5" s="4" t="n">
        <v>28.96</v>
      </c>
      <c r="X5" s="4" t="n">
        <v>24.64</v>
      </c>
      <c r="Y5" s="4" t="n">
        <v>25.15</v>
      </c>
      <c r="AA5" s="5" t="n">
        <v>26.59</v>
      </c>
    </row>
    <row r="6" customFormat="false" ht="15.75" hidden="false" customHeight="false" outlineLevel="0" collapsed="false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AA6" s="6"/>
    </row>
    <row r="7" customFormat="false" ht="15.75" hidden="false" customHeight="false" outlineLevel="0" collapsed="false">
      <c r="A7" s="0" t="s">
        <v>4</v>
      </c>
      <c r="B7" s="4" t="n">
        <v>28.16</v>
      </c>
      <c r="C7" s="4" t="n">
        <v>20.93</v>
      </c>
      <c r="D7" s="4" t="n">
        <v>19.89</v>
      </c>
      <c r="E7" s="4" t="n">
        <v>19.81</v>
      </c>
      <c r="F7" s="4" t="n">
        <v>19.41</v>
      </c>
      <c r="G7" s="4" t="n">
        <v>19.84</v>
      </c>
      <c r="H7" s="4" t="n">
        <v>19.24</v>
      </c>
      <c r="I7" s="4" t="n">
        <v>22.07</v>
      </c>
      <c r="J7" s="4" t="n">
        <v>28.07</v>
      </c>
      <c r="K7" s="4" t="n">
        <v>29.02</v>
      </c>
      <c r="L7" s="4" t="n">
        <v>30.9</v>
      </c>
      <c r="M7" s="4" t="n">
        <v>31.61</v>
      </c>
      <c r="N7" s="4" t="n">
        <v>32.06</v>
      </c>
      <c r="O7" s="4" t="n">
        <v>32.01</v>
      </c>
      <c r="P7" s="4" t="n">
        <v>31.7</v>
      </c>
      <c r="Q7" s="4" t="n">
        <v>31.68</v>
      </c>
      <c r="R7" s="4" t="n">
        <v>31.7</v>
      </c>
      <c r="S7" s="4" t="n">
        <v>32.68</v>
      </c>
      <c r="T7" s="4" t="n">
        <v>31.93</v>
      </c>
      <c r="U7" s="4" t="n">
        <v>33.33</v>
      </c>
      <c r="V7" s="4" t="n">
        <v>33.99</v>
      </c>
      <c r="W7" s="4" t="n">
        <v>32.9</v>
      </c>
      <c r="X7" s="4" t="n">
        <v>27.71</v>
      </c>
      <c r="Y7" s="4" t="n">
        <v>27.22</v>
      </c>
      <c r="AA7" s="6" t="n">
        <v>30.3</v>
      </c>
    </row>
    <row r="8" customFormat="false" ht="15.75" hidden="false" customHeight="false" outlineLevel="0" collapsed="false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AA8" s="6"/>
    </row>
    <row r="9" customFormat="false" ht="15.75" hidden="false" customHeight="false" outlineLevel="0" collapsed="false">
      <c r="A9" s="0" t="s">
        <v>5</v>
      </c>
      <c r="B9" s="4" t="n">
        <v>28.6</v>
      </c>
      <c r="C9" s="4" t="n">
        <v>21.27</v>
      </c>
      <c r="D9" s="4" t="n">
        <v>20.18</v>
      </c>
      <c r="E9" s="4" t="n">
        <v>20.1</v>
      </c>
      <c r="F9" s="4" t="n">
        <v>19.69</v>
      </c>
      <c r="G9" s="4" t="n">
        <v>20.17</v>
      </c>
      <c r="H9" s="4" t="n">
        <v>19.51</v>
      </c>
      <c r="I9" s="4" t="n">
        <v>22.36</v>
      </c>
      <c r="J9" s="4" t="n">
        <v>28.45</v>
      </c>
      <c r="K9" s="4" t="n">
        <v>29.43</v>
      </c>
      <c r="L9" s="4" t="n">
        <v>31.44</v>
      </c>
      <c r="M9" s="4" t="n">
        <v>32.13</v>
      </c>
      <c r="N9" s="4" t="n">
        <v>32.52</v>
      </c>
      <c r="O9" s="4" t="n">
        <v>32.47</v>
      </c>
      <c r="P9" s="4" t="n">
        <v>32.15</v>
      </c>
      <c r="Q9" s="4" t="n">
        <v>32.15</v>
      </c>
      <c r="R9" s="4" t="n">
        <v>32.15</v>
      </c>
      <c r="S9" s="4" t="n">
        <v>33.13</v>
      </c>
      <c r="T9" s="4" t="n">
        <v>32.41</v>
      </c>
      <c r="U9" s="4" t="n">
        <v>33.76</v>
      </c>
      <c r="V9" s="4" t="n">
        <v>34.36</v>
      </c>
      <c r="W9" s="4" t="n">
        <v>33.34</v>
      </c>
      <c r="X9" s="4" t="n">
        <v>29.55</v>
      </c>
      <c r="Y9" s="4" t="n">
        <v>27.75</v>
      </c>
      <c r="AA9" s="6" t="n">
        <v>30.735</v>
      </c>
    </row>
    <row r="10" customFormat="false" ht="12.75" hidden="false" customHeight="false" outlineLevel="0" collapsed="false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customFormat="false" ht="12.75" hidden="false" customHeight="false" outlineLevel="0" collapsed="false">
      <c r="A11" s="0" t="s">
        <v>6</v>
      </c>
    </row>
    <row r="12" customFormat="false" ht="15.75" hidden="false" customHeight="false" outlineLevel="0" collapsed="false">
      <c r="A12" s="2" t="n">
        <v>37151</v>
      </c>
      <c r="AA12" s="7" t="s">
        <v>2</v>
      </c>
    </row>
    <row r="13" customFormat="false" ht="15.75" hidden="false" customHeight="false" outlineLevel="0" collapsed="false">
      <c r="A13" s="0" t="s">
        <v>3</v>
      </c>
      <c r="B13" s="4" t="n">
        <v>24.61</v>
      </c>
      <c r="C13" s="4" t="n">
        <v>21.36</v>
      </c>
      <c r="D13" s="4" t="n">
        <v>20.21</v>
      </c>
      <c r="E13" s="4" t="n">
        <v>20.14</v>
      </c>
      <c r="F13" s="4" t="n">
        <v>20.25</v>
      </c>
      <c r="G13" s="4" t="n">
        <v>25.26</v>
      </c>
      <c r="H13" s="4" t="n">
        <v>30.11</v>
      </c>
      <c r="I13" s="4" t="n">
        <v>32</v>
      </c>
      <c r="J13" s="4" t="n">
        <v>32.44</v>
      </c>
      <c r="K13" s="4" t="n">
        <v>32.13</v>
      </c>
      <c r="L13" s="4" t="n">
        <v>31.94</v>
      </c>
      <c r="M13" s="4" t="n">
        <v>34.28</v>
      </c>
      <c r="N13" s="4" t="n">
        <v>33.02</v>
      </c>
      <c r="O13" s="4" t="n">
        <v>32.97</v>
      </c>
      <c r="P13" s="4" t="n">
        <v>32.55</v>
      </c>
      <c r="Q13" s="4" t="n">
        <v>31.88</v>
      </c>
      <c r="R13" s="4" t="n">
        <v>34.27</v>
      </c>
      <c r="S13" s="4" t="n">
        <v>32.46</v>
      </c>
      <c r="T13" s="4" t="n">
        <v>30.6</v>
      </c>
      <c r="U13" s="4" t="n">
        <v>32.69</v>
      </c>
      <c r="V13" s="4" t="n">
        <v>31.85</v>
      </c>
      <c r="W13" s="4" t="n">
        <v>30.58</v>
      </c>
      <c r="X13" s="4" t="n">
        <v>27.65</v>
      </c>
      <c r="Y13" s="4" t="n">
        <v>26.54</v>
      </c>
      <c r="AA13" s="8" t="n">
        <v>32.23</v>
      </c>
      <c r="AB13" s="9" t="n">
        <f aca="false">AA13-AA5</f>
        <v>5.64</v>
      </c>
    </row>
    <row r="14" customFormat="false" ht="15.75" hidden="false" customHeight="false" outlineLevel="0" collapsed="false">
      <c r="AA14" s="3"/>
    </row>
    <row r="15" customFormat="false" ht="15.75" hidden="false" customHeight="false" outlineLevel="0" collapsed="false">
      <c r="A15" s="0" t="s">
        <v>4</v>
      </c>
      <c r="B15" s="4" t="n">
        <v>25.72</v>
      </c>
      <c r="C15" s="4" t="n">
        <v>22.17</v>
      </c>
      <c r="D15" s="4" t="n">
        <v>20.95</v>
      </c>
      <c r="E15" s="4" t="n">
        <v>20.87</v>
      </c>
      <c r="F15" s="4" t="n">
        <v>20.91</v>
      </c>
      <c r="G15" s="4" t="n">
        <v>25.88</v>
      </c>
      <c r="H15" s="4" t="n">
        <v>30.68</v>
      </c>
      <c r="I15" s="4" t="n">
        <v>33.89</v>
      </c>
      <c r="J15" s="4" t="n">
        <v>35.33</v>
      </c>
      <c r="K15" s="4" t="n">
        <v>36.06</v>
      </c>
      <c r="L15" s="4" t="n">
        <v>35.88</v>
      </c>
      <c r="M15" s="4" t="n">
        <v>38.55</v>
      </c>
      <c r="N15" s="4" t="n">
        <v>37.01</v>
      </c>
      <c r="O15" s="4" t="n">
        <v>37.32</v>
      </c>
      <c r="P15" s="4" t="n">
        <v>36.99</v>
      </c>
      <c r="Q15" s="4" t="n">
        <v>36.19</v>
      </c>
      <c r="R15" s="4" t="n">
        <v>39.12</v>
      </c>
      <c r="S15" s="4" t="n">
        <v>37.15</v>
      </c>
      <c r="T15" s="4" t="n">
        <v>35.16</v>
      </c>
      <c r="U15" s="4" t="n">
        <v>37.47</v>
      </c>
      <c r="V15" s="4" t="n">
        <v>36.3</v>
      </c>
      <c r="W15" s="4" t="n">
        <v>34.16</v>
      </c>
      <c r="X15" s="4" t="n">
        <v>30.47</v>
      </c>
      <c r="Y15" s="4" t="n">
        <v>28.36</v>
      </c>
      <c r="AA15" s="8" t="n">
        <v>36.07</v>
      </c>
      <c r="AB15" s="9" t="n">
        <f aca="false">AA15-AA7</f>
        <v>5.77</v>
      </c>
    </row>
    <row r="16" customFormat="false" ht="15.75" hidden="false" customHeight="false" outlineLevel="0" collapsed="false">
      <c r="AA16" s="3"/>
    </row>
    <row r="17" customFormat="false" ht="15.75" hidden="false" customHeight="false" outlineLevel="0" collapsed="false">
      <c r="A17" s="0" t="s">
        <v>5</v>
      </c>
      <c r="B17" s="4" t="n">
        <v>26.14</v>
      </c>
      <c r="C17" s="4" t="n">
        <v>22.52</v>
      </c>
      <c r="D17" s="4" t="n">
        <v>21.27</v>
      </c>
      <c r="E17" s="4" t="n">
        <v>21.19</v>
      </c>
      <c r="F17" s="4" t="n">
        <v>21.23</v>
      </c>
      <c r="G17" s="4" t="n">
        <v>26.25</v>
      </c>
      <c r="H17" s="4" t="n">
        <v>31.1</v>
      </c>
      <c r="I17" s="4" t="n">
        <v>34.36</v>
      </c>
      <c r="J17" s="4" t="n">
        <v>36.69</v>
      </c>
      <c r="K17" s="4" t="n">
        <v>37.96</v>
      </c>
      <c r="L17" s="4" t="n">
        <v>39.67</v>
      </c>
      <c r="M17" s="4" t="n">
        <v>39.82</v>
      </c>
      <c r="N17" s="4" t="n">
        <v>39.78</v>
      </c>
      <c r="O17" s="4" t="n">
        <v>39.79</v>
      </c>
      <c r="P17" s="4" t="n">
        <v>39.78</v>
      </c>
      <c r="Q17" s="4" t="n">
        <v>39.75</v>
      </c>
      <c r="R17" s="4" t="n">
        <v>39.79</v>
      </c>
      <c r="S17" s="4" t="n">
        <v>38.5</v>
      </c>
      <c r="T17" s="4" t="n">
        <v>35.89</v>
      </c>
      <c r="U17" s="4" t="n">
        <v>38.57</v>
      </c>
      <c r="V17" s="4" t="n">
        <v>36.71</v>
      </c>
      <c r="W17" s="4" t="n">
        <v>34.63</v>
      </c>
      <c r="X17" s="4" t="n">
        <v>32.68</v>
      </c>
      <c r="Y17" s="4" t="n">
        <v>28.8</v>
      </c>
      <c r="AA17" s="8" t="n">
        <v>37.67</v>
      </c>
      <c r="AB17" s="9" t="n">
        <f aca="false">AA17-AA9</f>
        <v>6.935</v>
      </c>
    </row>
    <row r="20" customFormat="false" ht="12.75" hidden="false" customHeight="false" outlineLevel="0" collapsed="false">
      <c r="A20" s="0" t="s">
        <v>1</v>
      </c>
      <c r="AC20" s="1" t="s">
        <v>7</v>
      </c>
    </row>
    <row r="21" customFormat="false" ht="12.75" hidden="false" customHeight="false" outlineLevel="0" collapsed="false">
      <c r="A21" s="2" t="n">
        <v>37157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  <c r="G21" s="10" t="n">
        <v>6</v>
      </c>
      <c r="H21" s="10" t="n">
        <v>7</v>
      </c>
      <c r="I21" s="10" t="n">
        <v>8</v>
      </c>
      <c r="J21" s="10" t="n">
        <v>9</v>
      </c>
      <c r="K21" s="10" t="n">
        <v>10</v>
      </c>
      <c r="L21" s="10" t="n">
        <v>11</v>
      </c>
      <c r="M21" s="10" t="n">
        <v>12</v>
      </c>
      <c r="N21" s="10" t="n">
        <v>13</v>
      </c>
      <c r="O21" s="10" t="n">
        <v>14</v>
      </c>
      <c r="P21" s="10" t="n">
        <v>15</v>
      </c>
      <c r="Q21" s="10" t="n">
        <v>16</v>
      </c>
      <c r="R21" s="10" t="n">
        <v>17</v>
      </c>
      <c r="S21" s="10" t="n">
        <v>18</v>
      </c>
      <c r="T21" s="10" t="n">
        <v>19</v>
      </c>
      <c r="U21" s="10" t="n">
        <v>20</v>
      </c>
      <c r="V21" s="10" t="n">
        <v>21</v>
      </c>
      <c r="W21" s="10" t="n">
        <v>22</v>
      </c>
      <c r="X21" s="10" t="n">
        <v>23</v>
      </c>
      <c r="Y21" s="10" t="n">
        <v>24</v>
      </c>
      <c r="AC21" s="1" t="s">
        <v>6</v>
      </c>
    </row>
    <row r="22" customFormat="false" ht="15.75" hidden="false" customHeight="false" outlineLevel="0" collapsed="false">
      <c r="A22" s="0" t="s">
        <v>3</v>
      </c>
      <c r="B22" s="4" t="n">
        <v>23.6</v>
      </c>
      <c r="C22" s="4" t="n">
        <v>21.09</v>
      </c>
      <c r="D22" s="4" t="n">
        <v>20.8</v>
      </c>
      <c r="E22" s="4" t="n">
        <v>17.35</v>
      </c>
      <c r="F22" s="4" t="n">
        <v>15.76</v>
      </c>
      <c r="G22" s="4" t="n">
        <v>18.91</v>
      </c>
      <c r="H22" s="4" t="n">
        <v>18.76</v>
      </c>
      <c r="I22" s="4" t="n">
        <v>20.91</v>
      </c>
      <c r="J22" s="4" t="n">
        <v>23.91</v>
      </c>
      <c r="K22" s="4" t="n">
        <v>24.53</v>
      </c>
      <c r="L22" s="4" t="n">
        <v>25.98</v>
      </c>
      <c r="M22" s="4" t="n">
        <v>28.69</v>
      </c>
      <c r="N22" s="4" t="n">
        <v>28.9</v>
      </c>
      <c r="O22" s="4" t="n">
        <v>28.94</v>
      </c>
      <c r="P22" s="4" t="n">
        <v>28.93</v>
      </c>
      <c r="Q22" s="4" t="n">
        <v>28.92</v>
      </c>
      <c r="R22" s="4" t="n">
        <v>28.95</v>
      </c>
      <c r="S22" s="4" t="n">
        <v>29.57</v>
      </c>
      <c r="T22" s="4" t="n">
        <v>31.28</v>
      </c>
      <c r="U22" s="4" t="n">
        <v>31.81</v>
      </c>
      <c r="V22" s="4" t="n">
        <v>30.21</v>
      </c>
      <c r="W22" s="4" t="n">
        <v>29</v>
      </c>
      <c r="X22" s="4" t="n">
        <v>24.39</v>
      </c>
      <c r="Y22" s="4" t="n">
        <v>24.51</v>
      </c>
      <c r="AA22" s="5" t="n">
        <v>27.45</v>
      </c>
      <c r="AB22" s="9" t="n">
        <v>5.64</v>
      </c>
      <c r="AC22" s="9" t="n">
        <f aca="false">AA22+AB22</f>
        <v>33.09</v>
      </c>
    </row>
    <row r="23" customFormat="false" ht="15.75" hidden="false" customHeight="false" outlineLevel="0" collapsed="false">
      <c r="AA23" s="6"/>
      <c r="AC23" s="9"/>
    </row>
    <row r="24" customFormat="false" ht="15.75" hidden="false" customHeight="false" outlineLevel="0" collapsed="false">
      <c r="A24" s="0" t="s">
        <v>4</v>
      </c>
      <c r="B24" s="4" t="n">
        <v>25.55</v>
      </c>
      <c r="C24" s="4" t="n">
        <v>22.78</v>
      </c>
      <c r="D24" s="4" t="n">
        <v>22.58</v>
      </c>
      <c r="E24" s="4" t="n">
        <v>18.83</v>
      </c>
      <c r="F24" s="4" t="n">
        <v>17.11</v>
      </c>
      <c r="G24" s="4" t="n">
        <v>20.47</v>
      </c>
      <c r="H24" s="4" t="n">
        <v>20.06</v>
      </c>
      <c r="I24" s="4" t="n">
        <v>22.98</v>
      </c>
      <c r="J24" s="4" t="n">
        <v>27.77</v>
      </c>
      <c r="K24" s="4" t="n">
        <v>28.22</v>
      </c>
      <c r="L24" s="4" t="n">
        <v>29.77</v>
      </c>
      <c r="M24" s="4" t="n">
        <v>32.13</v>
      </c>
      <c r="N24" s="4" t="n">
        <v>32.47</v>
      </c>
      <c r="O24" s="4" t="n">
        <v>32.4</v>
      </c>
      <c r="P24" s="4" t="n">
        <v>32.25</v>
      </c>
      <c r="Q24" s="4" t="n">
        <v>32.22</v>
      </c>
      <c r="R24" s="4" t="n">
        <v>32.39</v>
      </c>
      <c r="S24" s="4" t="n">
        <v>33.57</v>
      </c>
      <c r="T24" s="4" t="n">
        <v>35.67</v>
      </c>
      <c r="U24" s="4" t="n">
        <v>35.83</v>
      </c>
      <c r="V24" s="4" t="n">
        <v>33.92</v>
      </c>
      <c r="W24" s="4" t="n">
        <v>32.42</v>
      </c>
      <c r="X24" s="4" t="n">
        <v>27.49</v>
      </c>
      <c r="Y24" s="4" t="n">
        <v>26.21</v>
      </c>
      <c r="AA24" s="5" t="n">
        <v>30.87</v>
      </c>
      <c r="AB24" s="9" t="n">
        <v>5.77</v>
      </c>
      <c r="AC24" s="9" t="n">
        <f aca="false">AA24+AB24</f>
        <v>36.64</v>
      </c>
    </row>
    <row r="25" customFormat="false" ht="15.75" hidden="false" customHeight="false" outlineLevel="0" collapsed="false">
      <c r="AA25" s="6"/>
      <c r="AC25" s="9"/>
    </row>
    <row r="26" customFormat="false" ht="15.75" hidden="false" customHeight="false" outlineLevel="0" collapsed="false">
      <c r="A26" s="0" t="s">
        <v>5</v>
      </c>
      <c r="B26" s="4" t="n">
        <v>26.05</v>
      </c>
      <c r="C26" s="4" t="n">
        <v>23.2</v>
      </c>
      <c r="D26" s="4" t="n">
        <v>23.01</v>
      </c>
      <c r="E26" s="4" t="n">
        <v>19.2</v>
      </c>
      <c r="F26" s="4" t="n">
        <v>17.44</v>
      </c>
      <c r="G26" s="4" t="n">
        <v>20.83</v>
      </c>
      <c r="H26" s="4" t="n">
        <v>20.39</v>
      </c>
      <c r="I26" s="4" t="n">
        <v>23.32</v>
      </c>
      <c r="J26" s="4" t="n">
        <v>28.16</v>
      </c>
      <c r="K26" s="4" t="n">
        <v>28.64</v>
      </c>
      <c r="L26" s="4" t="n">
        <v>31.12</v>
      </c>
      <c r="M26" s="4" t="n">
        <v>34.06</v>
      </c>
      <c r="N26" s="4" t="n">
        <v>34.27</v>
      </c>
      <c r="O26" s="4" t="n">
        <v>36.3</v>
      </c>
      <c r="P26" s="4" t="n">
        <v>36.26</v>
      </c>
      <c r="Q26" s="4" t="n">
        <v>36.14</v>
      </c>
      <c r="R26" s="4" t="n">
        <v>36.3</v>
      </c>
      <c r="S26" s="4" t="n">
        <v>36.41</v>
      </c>
      <c r="T26" s="4" t="n">
        <v>36.34</v>
      </c>
      <c r="U26" s="4" t="n">
        <v>36.58</v>
      </c>
      <c r="V26" s="4" t="n">
        <v>36.41</v>
      </c>
      <c r="W26" s="4" t="n">
        <v>34.13</v>
      </c>
      <c r="X26" s="4" t="n">
        <v>28.05</v>
      </c>
      <c r="Y26" s="4" t="n">
        <v>26.66</v>
      </c>
      <c r="AA26" s="5" t="n">
        <v>32.8</v>
      </c>
      <c r="AB26" s="9" t="n">
        <v>6.935</v>
      </c>
      <c r="AC26" s="9" t="n">
        <f aca="false">AA26+AB26</f>
        <v>39.735</v>
      </c>
    </row>
    <row r="29" customFormat="false" ht="12.75" hidden="false" customHeight="false" outlineLevel="0" collapsed="false">
      <c r="A29" s="0" t="s">
        <v>6</v>
      </c>
    </row>
    <row r="30" customFormat="false" ht="12.75" hidden="false" customHeight="false" outlineLevel="0" collapsed="false">
      <c r="A30" s="2" t="n">
        <v>37158</v>
      </c>
    </row>
    <row r="31" customFormat="false" ht="15.75" hidden="false" customHeight="false" outlineLevel="0" collapsed="false">
      <c r="A31" s="0" t="s">
        <v>3</v>
      </c>
      <c r="B31" s="4" t="n">
        <v>23.43</v>
      </c>
      <c r="C31" s="4" t="n">
        <v>22.64</v>
      </c>
      <c r="D31" s="4" t="n">
        <v>21.61</v>
      </c>
      <c r="E31" s="4" t="n">
        <v>20.5</v>
      </c>
      <c r="F31" s="4" t="n">
        <v>21.64</v>
      </c>
      <c r="G31" s="4" t="n">
        <v>23.14</v>
      </c>
      <c r="H31" s="4" t="n">
        <v>27.89</v>
      </c>
      <c r="I31" s="4" t="n">
        <v>31.67</v>
      </c>
      <c r="J31" s="4" t="n">
        <v>36.05</v>
      </c>
      <c r="K31" s="4" t="n">
        <v>35.58</v>
      </c>
      <c r="L31" s="4" t="n">
        <v>37</v>
      </c>
      <c r="M31" s="4" t="n">
        <v>39.31</v>
      </c>
      <c r="N31" s="4" t="n">
        <v>38.31</v>
      </c>
      <c r="O31" s="4" t="n">
        <v>37.3</v>
      </c>
      <c r="P31" s="4" t="n">
        <v>37.08</v>
      </c>
      <c r="Q31" s="4" t="n">
        <v>37.05</v>
      </c>
      <c r="R31" s="4" t="n">
        <v>36.8</v>
      </c>
      <c r="S31" s="4" t="n">
        <v>37.73</v>
      </c>
      <c r="T31" s="4" t="n">
        <v>35.79</v>
      </c>
      <c r="U31" s="4" t="n">
        <v>37.91</v>
      </c>
      <c r="V31" s="4" t="n">
        <v>36.49</v>
      </c>
      <c r="W31" s="4" t="n">
        <v>31.89</v>
      </c>
      <c r="X31" s="4" t="n">
        <v>25.95</v>
      </c>
      <c r="Y31" s="4" t="n">
        <v>24.85</v>
      </c>
      <c r="AA31" s="5" t="n">
        <f aca="false">AVERAGE(H31:W31)</f>
        <v>35.865625</v>
      </c>
    </row>
    <row r="32" customFormat="false" ht="15.75" hidden="false" customHeight="false" outlineLevel="0" collapsed="false">
      <c r="AA32" s="5"/>
    </row>
    <row r="33" customFormat="false" ht="15.75" hidden="false" customHeight="false" outlineLevel="0" collapsed="false">
      <c r="A33" s="0" t="s">
        <v>4</v>
      </c>
      <c r="B33" s="4" t="n">
        <v>25.06</v>
      </c>
      <c r="C33" s="4" t="n">
        <v>24.15</v>
      </c>
      <c r="D33" s="4" t="n">
        <v>22.93</v>
      </c>
      <c r="E33" s="4" t="n">
        <v>21.72</v>
      </c>
      <c r="F33" s="4" t="n">
        <v>22.91</v>
      </c>
      <c r="G33" s="4" t="n">
        <v>24.53</v>
      </c>
      <c r="H33" s="4" t="n">
        <v>29.33</v>
      </c>
      <c r="I33" s="4" t="n">
        <v>33.72</v>
      </c>
      <c r="J33" s="4" t="n">
        <v>39.13</v>
      </c>
      <c r="K33" s="4" t="n">
        <v>39.8</v>
      </c>
      <c r="L33" s="4" t="n">
        <v>41.49</v>
      </c>
      <c r="M33" s="4" t="n">
        <v>44.1</v>
      </c>
      <c r="N33" s="4" t="n">
        <v>42.98</v>
      </c>
      <c r="O33" s="4" t="n">
        <v>42.61</v>
      </c>
      <c r="P33" s="4" t="n">
        <v>42.61</v>
      </c>
      <c r="Q33" s="4" t="n">
        <v>42.64</v>
      </c>
      <c r="R33" s="4" t="n">
        <v>42.63</v>
      </c>
      <c r="S33" s="4" t="n">
        <v>43.48</v>
      </c>
      <c r="T33" s="4" t="n">
        <v>40.83</v>
      </c>
      <c r="U33" s="4" t="n">
        <v>43.04</v>
      </c>
      <c r="V33" s="4" t="n">
        <v>41.31</v>
      </c>
      <c r="W33" s="4" t="n">
        <v>35.41</v>
      </c>
      <c r="X33" s="4" t="n">
        <v>28.2</v>
      </c>
      <c r="Y33" s="4" t="n">
        <v>27.47</v>
      </c>
      <c r="AA33" s="5" t="n">
        <f aca="false">AVERAGE(H33:W33)</f>
        <v>40.319375</v>
      </c>
    </row>
    <row r="34" customFormat="false" ht="15.75" hidden="false" customHeight="false" outlineLevel="0" collapsed="false">
      <c r="AA34" s="5"/>
    </row>
    <row r="35" customFormat="false" ht="15.75" hidden="false" customHeight="false" outlineLevel="0" collapsed="false">
      <c r="A35" s="0" t="s">
        <v>5</v>
      </c>
      <c r="B35" s="4" t="n">
        <v>25.51</v>
      </c>
      <c r="C35" s="4" t="n">
        <v>24.58</v>
      </c>
      <c r="D35" s="4" t="n">
        <v>23.34</v>
      </c>
      <c r="E35" s="4" t="n">
        <v>22.1</v>
      </c>
      <c r="F35" s="4" t="n">
        <v>23.31</v>
      </c>
      <c r="G35" s="4" t="n">
        <v>24.97</v>
      </c>
      <c r="H35" s="4" t="n">
        <v>29.87</v>
      </c>
      <c r="I35" s="4" t="n">
        <v>34.27</v>
      </c>
      <c r="J35" s="4" t="n">
        <v>39.76</v>
      </c>
      <c r="K35" s="4" t="n">
        <v>40.43</v>
      </c>
      <c r="L35" s="4" t="n">
        <v>42.2</v>
      </c>
      <c r="M35" s="4" t="n">
        <v>44.84</v>
      </c>
      <c r="N35" s="4" t="n">
        <v>43.72</v>
      </c>
      <c r="O35" s="4" t="n">
        <v>43.36</v>
      </c>
      <c r="P35" s="4" t="n">
        <v>43.31</v>
      </c>
      <c r="Q35" s="4" t="n">
        <v>43.32</v>
      </c>
      <c r="R35" s="4" t="n">
        <v>43.31</v>
      </c>
      <c r="S35" s="4" t="n">
        <v>44.16</v>
      </c>
      <c r="T35" s="4" t="n">
        <v>41.34</v>
      </c>
      <c r="U35" s="4" t="n">
        <v>43.58</v>
      </c>
      <c r="V35" s="4" t="n">
        <v>41.82</v>
      </c>
      <c r="W35" s="4" t="n">
        <v>36</v>
      </c>
      <c r="X35" s="4" t="n">
        <v>33.37</v>
      </c>
      <c r="Y35" s="4" t="n">
        <v>28</v>
      </c>
      <c r="AA35" s="5" t="n">
        <f aca="false">AVERAGE(H35:W35)</f>
        <v>40.955625</v>
      </c>
    </row>
    <row r="36" customFormat="false" ht="15.75" hidden="false" customHeight="false" outlineLevel="0" collapsed="false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AA36" s="8"/>
    </row>
    <row r="38" customFormat="false" ht="12.75" hidden="false" customHeight="false" outlineLevel="0" collapsed="false">
      <c r="A38" s="0" t="s">
        <v>1</v>
      </c>
      <c r="AC38" s="1" t="s">
        <v>7</v>
      </c>
    </row>
    <row r="39" customFormat="false" ht="12.75" hidden="false" customHeight="false" outlineLevel="0" collapsed="false">
      <c r="A39" s="2" t="n">
        <v>37164</v>
      </c>
      <c r="B39" s="10" t="n">
        <v>1</v>
      </c>
      <c r="C39" s="10" t="n">
        <v>2</v>
      </c>
      <c r="D39" s="10" t="n">
        <v>3</v>
      </c>
      <c r="E39" s="10" t="n">
        <v>4</v>
      </c>
      <c r="F39" s="10" t="n">
        <v>5</v>
      </c>
      <c r="G39" s="10" t="n">
        <v>6</v>
      </c>
      <c r="H39" s="10" t="n">
        <v>7</v>
      </c>
      <c r="I39" s="10" t="n">
        <v>8</v>
      </c>
      <c r="J39" s="10" t="n">
        <v>9</v>
      </c>
      <c r="K39" s="10" t="n">
        <v>10</v>
      </c>
      <c r="L39" s="10" t="n">
        <v>11</v>
      </c>
      <c r="M39" s="10" t="n">
        <v>12</v>
      </c>
      <c r="N39" s="10" t="n">
        <v>13</v>
      </c>
      <c r="O39" s="10" t="n">
        <v>14</v>
      </c>
      <c r="P39" s="10" t="n">
        <v>15</v>
      </c>
      <c r="Q39" s="10" t="n">
        <v>16</v>
      </c>
      <c r="R39" s="10" t="n">
        <v>17</v>
      </c>
      <c r="S39" s="10" t="n">
        <v>18</v>
      </c>
      <c r="T39" s="10" t="n">
        <v>19</v>
      </c>
      <c r="U39" s="10" t="n">
        <v>20</v>
      </c>
      <c r="V39" s="10" t="n">
        <v>21</v>
      </c>
      <c r="W39" s="10" t="n">
        <v>22</v>
      </c>
      <c r="X39" s="10" t="n">
        <v>23</v>
      </c>
      <c r="Y39" s="10" t="n">
        <v>24</v>
      </c>
      <c r="AC39" s="1" t="s">
        <v>6</v>
      </c>
    </row>
    <row r="40" customFormat="false" ht="15.75" hidden="false" customHeight="false" outlineLevel="0" collapsed="false">
      <c r="A40" s="0" t="s">
        <v>3</v>
      </c>
      <c r="B40" s="4" t="n">
        <v>22.04</v>
      </c>
      <c r="C40" s="4" t="n">
        <v>15.99</v>
      </c>
      <c r="D40" s="4" t="n">
        <v>15.15</v>
      </c>
      <c r="E40" s="4" t="n">
        <v>14.65</v>
      </c>
      <c r="F40" s="4" t="n">
        <v>14.61</v>
      </c>
      <c r="G40" s="4" t="n">
        <v>15.59</v>
      </c>
      <c r="H40" s="4" t="n">
        <v>14.97</v>
      </c>
      <c r="I40" s="4" t="n">
        <v>18.25</v>
      </c>
      <c r="J40" s="4" t="n">
        <v>23.86</v>
      </c>
      <c r="K40" s="4" t="n">
        <v>24.19</v>
      </c>
      <c r="L40" s="4" t="n">
        <v>24.37</v>
      </c>
      <c r="M40" s="4" t="n">
        <v>24.38</v>
      </c>
      <c r="N40" s="4" t="n">
        <v>24.38</v>
      </c>
      <c r="O40" s="4" t="n">
        <v>24.6</v>
      </c>
      <c r="P40" s="4" t="n">
        <v>24.61</v>
      </c>
      <c r="Q40" s="4" t="n">
        <v>24.68</v>
      </c>
      <c r="R40" s="4" t="n">
        <v>24.82</v>
      </c>
      <c r="S40" s="4" t="n">
        <v>25.33</v>
      </c>
      <c r="T40" s="4" t="n">
        <v>25.62</v>
      </c>
      <c r="U40" s="4" t="n">
        <v>26.67</v>
      </c>
      <c r="V40" s="4" t="n">
        <v>27.12</v>
      </c>
      <c r="W40" s="4" t="n">
        <v>25.96</v>
      </c>
      <c r="X40" s="4" t="n">
        <v>24.28</v>
      </c>
      <c r="Y40" s="4" t="n">
        <v>23.21</v>
      </c>
      <c r="AA40" s="5" t="n">
        <f aca="false">AVERAGE(H40:W40)</f>
        <v>23.988125</v>
      </c>
      <c r="AB40" s="9" t="n">
        <v>5.64</v>
      </c>
      <c r="AC40" s="9" t="n">
        <f aca="false">AA40+AB40</f>
        <v>29.628125</v>
      </c>
    </row>
    <row r="41" customFormat="false" ht="15.75" hidden="false" customHeight="false" outlineLevel="0" collapsed="false">
      <c r="AA41" s="5"/>
      <c r="AC41" s="9"/>
    </row>
    <row r="42" customFormat="false" ht="15.75" hidden="false" customHeight="false" outlineLevel="0" collapsed="false">
      <c r="A42" s="0" t="s">
        <v>4</v>
      </c>
      <c r="B42" s="4" t="n">
        <v>24.08</v>
      </c>
      <c r="C42" s="4" t="n">
        <v>17.68</v>
      </c>
      <c r="D42" s="4" t="n">
        <v>16.49</v>
      </c>
      <c r="E42" s="4" t="n">
        <v>15.68</v>
      </c>
      <c r="F42" s="4" t="n">
        <v>15.57</v>
      </c>
      <c r="G42" s="4" t="n">
        <v>16.79</v>
      </c>
      <c r="H42" s="4" t="n">
        <v>16.11</v>
      </c>
      <c r="I42" s="4" t="n">
        <v>20.75</v>
      </c>
      <c r="J42" s="4" t="n">
        <v>28.28</v>
      </c>
      <c r="K42" s="4" t="n">
        <v>29.07</v>
      </c>
      <c r="L42" s="4" t="n">
        <v>29.33</v>
      </c>
      <c r="M42" s="4" t="n">
        <v>29.45</v>
      </c>
      <c r="N42" s="4" t="n">
        <v>29.35</v>
      </c>
      <c r="O42" s="4" t="n">
        <v>29.78</v>
      </c>
      <c r="P42" s="4" t="n">
        <v>29.82</v>
      </c>
      <c r="Q42" s="4" t="n">
        <v>29.67</v>
      </c>
      <c r="R42" s="4" t="n">
        <v>29.75</v>
      </c>
      <c r="S42" s="4" t="n">
        <v>30.46</v>
      </c>
      <c r="T42" s="4" t="n">
        <v>30.46</v>
      </c>
      <c r="U42" s="4" t="n">
        <v>32.22</v>
      </c>
      <c r="V42" s="4" t="n">
        <v>32.75</v>
      </c>
      <c r="W42" s="4" t="n">
        <v>30.75</v>
      </c>
      <c r="X42" s="4" t="n">
        <v>28.66</v>
      </c>
      <c r="Y42" s="4" t="n">
        <v>25.59</v>
      </c>
      <c r="AA42" s="5" t="n">
        <f aca="false">AVERAGE(H42:W42)</f>
        <v>28.625</v>
      </c>
      <c r="AB42" s="9" t="n">
        <v>5.77</v>
      </c>
      <c r="AC42" s="9" t="n">
        <f aca="false">AA42+AB42</f>
        <v>34.395</v>
      </c>
    </row>
    <row r="43" customFormat="false" ht="15.75" hidden="false" customHeight="false" outlineLevel="0" collapsed="false">
      <c r="AA43" s="5"/>
      <c r="AC43" s="9"/>
    </row>
    <row r="44" customFormat="false" ht="15.75" hidden="false" customHeight="false" outlineLevel="0" collapsed="false">
      <c r="A44" s="0" t="s">
        <v>5</v>
      </c>
      <c r="B44" s="4" t="n">
        <v>24.03</v>
      </c>
      <c r="C44" s="4" t="n">
        <v>17.62</v>
      </c>
      <c r="D44" s="4" t="n">
        <v>16.41</v>
      </c>
      <c r="E44" s="4" t="n">
        <v>15.59</v>
      </c>
      <c r="F44" s="4" t="n">
        <v>15.48</v>
      </c>
      <c r="G44" s="4" t="n">
        <v>16.67</v>
      </c>
      <c r="H44" s="4" t="n">
        <v>15.97</v>
      </c>
      <c r="I44" s="4" t="n">
        <v>20.6</v>
      </c>
      <c r="J44" s="4" t="n">
        <v>28.09</v>
      </c>
      <c r="K44" s="4" t="n">
        <v>28.93</v>
      </c>
      <c r="L44" s="4" t="n">
        <v>29.2</v>
      </c>
      <c r="M44" s="4" t="n">
        <v>29.33</v>
      </c>
      <c r="N44" s="4" t="n">
        <v>29.31</v>
      </c>
      <c r="O44" s="4" t="n">
        <v>29.67</v>
      </c>
      <c r="P44" s="4" t="n">
        <v>29.73</v>
      </c>
      <c r="Q44" s="4" t="n">
        <v>29.64</v>
      </c>
      <c r="R44" s="4" t="n">
        <v>29.67</v>
      </c>
      <c r="S44" s="4" t="n">
        <v>30.37</v>
      </c>
      <c r="T44" s="4" t="n">
        <v>30.35</v>
      </c>
      <c r="U44" s="4" t="n">
        <v>32.04</v>
      </c>
      <c r="V44" s="4" t="n">
        <v>32.59</v>
      </c>
      <c r="W44" s="4" t="n">
        <v>30.68</v>
      </c>
      <c r="X44" s="4" t="n">
        <v>28.72</v>
      </c>
      <c r="Y44" s="4" t="n">
        <v>25.61</v>
      </c>
      <c r="AA44" s="5" t="n">
        <f aca="false">AVERAGE(H44:W44)</f>
        <v>28.510625</v>
      </c>
      <c r="AB44" s="9" t="n">
        <v>6.935</v>
      </c>
      <c r="AC44" s="9" t="n">
        <f aca="false">AA44+AB44</f>
        <v>35.445625</v>
      </c>
    </row>
    <row r="46" customFormat="false" ht="12.75" hidden="false" customHeight="false" outlineLevel="0" collapsed="false">
      <c r="A46" s="0" t="s">
        <v>1</v>
      </c>
    </row>
    <row r="47" customFormat="false" ht="12.75" hidden="false" customHeight="false" outlineLevel="0" collapsed="false">
      <c r="A47" s="2" t="n">
        <v>37164</v>
      </c>
    </row>
    <row r="48" customFormat="false" ht="15.75" hidden="false" customHeight="false" outlineLevel="0" collapsed="false">
      <c r="A48" s="0" t="s">
        <v>3</v>
      </c>
      <c r="B48" s="4" t="n">
        <v>20.35</v>
      </c>
      <c r="C48" s="4" t="n">
        <v>16.39</v>
      </c>
      <c r="D48" s="4" t="n">
        <v>15.52</v>
      </c>
      <c r="E48" s="4" t="n">
        <v>14.92</v>
      </c>
      <c r="F48" s="4" t="n">
        <v>15.35</v>
      </c>
      <c r="G48" s="4" t="n">
        <v>17.98</v>
      </c>
      <c r="H48" s="4" t="n">
        <v>22.9</v>
      </c>
      <c r="I48" s="4" t="n">
        <v>24.21</v>
      </c>
      <c r="J48" s="4" t="n">
        <v>25.93</v>
      </c>
      <c r="K48" s="4" t="n">
        <v>26.79</v>
      </c>
      <c r="L48" s="4" t="n">
        <v>26.18</v>
      </c>
      <c r="M48" s="4" t="n">
        <v>26.31</v>
      </c>
      <c r="N48" s="4" t="n">
        <v>26.31</v>
      </c>
      <c r="O48" s="4" t="n">
        <v>26.41</v>
      </c>
      <c r="P48" s="4" t="n">
        <v>26.56</v>
      </c>
      <c r="Q48" s="4" t="n">
        <v>25.77</v>
      </c>
      <c r="R48" s="4" t="n">
        <v>26.01</v>
      </c>
      <c r="S48" s="4" t="n">
        <v>25.93</v>
      </c>
      <c r="T48" s="4" t="n">
        <v>26.09</v>
      </c>
      <c r="U48" s="4" t="n">
        <v>27.86</v>
      </c>
      <c r="V48" s="4" t="n">
        <v>26.15</v>
      </c>
      <c r="W48" s="4" t="n">
        <v>25.45</v>
      </c>
      <c r="X48" s="4" t="n">
        <v>24.07</v>
      </c>
      <c r="Y48" s="4" t="n">
        <v>21.08</v>
      </c>
      <c r="AA48" s="5" t="n">
        <f aca="false">AVERAGE(H48:W48)</f>
        <v>25.92875</v>
      </c>
      <c r="AB48" s="9" t="n">
        <f aca="false">AA48-AA40</f>
        <v>1.940625</v>
      </c>
    </row>
    <row r="49" customFormat="false" ht="15.75" hidden="false" customHeight="false" outlineLevel="0" collapsed="false">
      <c r="AA49" s="5"/>
      <c r="AB49" s="9"/>
    </row>
    <row r="50" customFormat="false" ht="15.75" hidden="false" customHeight="false" outlineLevel="0" collapsed="false">
      <c r="A50" s="0" t="s">
        <v>4</v>
      </c>
      <c r="B50" s="4" t="n">
        <v>21.62</v>
      </c>
      <c r="C50" s="4" t="n">
        <v>17.55</v>
      </c>
      <c r="D50" s="4" t="n">
        <v>16.46</v>
      </c>
      <c r="E50" s="4" t="n">
        <v>15.65</v>
      </c>
      <c r="F50" s="4" t="n">
        <v>16.31</v>
      </c>
      <c r="G50" s="4" t="n">
        <v>19.35</v>
      </c>
      <c r="H50" s="4" t="n">
        <v>24.43</v>
      </c>
      <c r="I50" s="4" t="n">
        <v>27.46</v>
      </c>
      <c r="J50" s="4" t="n">
        <v>29.66</v>
      </c>
      <c r="K50" s="4" t="n">
        <v>30.74</v>
      </c>
      <c r="L50" s="4" t="n">
        <v>30.75</v>
      </c>
      <c r="M50" s="4" t="n">
        <v>30.87</v>
      </c>
      <c r="N50" s="4" t="n">
        <v>30.87</v>
      </c>
      <c r="O50" s="4" t="n">
        <v>31.37</v>
      </c>
      <c r="P50" s="4" t="n">
        <v>31.66</v>
      </c>
      <c r="Q50" s="4" t="n">
        <v>30.79</v>
      </c>
      <c r="R50" s="4" t="n">
        <v>31.14</v>
      </c>
      <c r="S50" s="4" t="n">
        <v>30.92</v>
      </c>
      <c r="T50" s="4" t="n">
        <v>30.85</v>
      </c>
      <c r="U50" s="4" t="n">
        <v>32.95</v>
      </c>
      <c r="V50" s="4" t="n">
        <v>30.68</v>
      </c>
      <c r="W50" s="4" t="n">
        <v>29.14</v>
      </c>
      <c r="X50" s="4" t="n">
        <v>27.42</v>
      </c>
      <c r="Y50" s="4" t="n">
        <v>23.19</v>
      </c>
      <c r="AA50" s="5" t="n">
        <f aca="false">AVERAGE(H50:W50)</f>
        <v>30.2675</v>
      </c>
      <c r="AB50" s="9" t="n">
        <f aca="false">AA50-AA42</f>
        <v>1.6425</v>
      </c>
    </row>
    <row r="51" customFormat="false" ht="15.75" hidden="false" customHeight="false" outlineLevel="0" collapsed="false">
      <c r="AA51" s="5"/>
      <c r="AB51" s="9"/>
    </row>
    <row r="52" customFormat="false" ht="15.75" hidden="false" customHeight="false" outlineLevel="0" collapsed="false">
      <c r="A52" s="0" t="s">
        <v>5</v>
      </c>
      <c r="B52" s="4" t="n">
        <v>21.99</v>
      </c>
      <c r="C52" s="4" t="n">
        <v>17.84</v>
      </c>
      <c r="D52" s="4" t="n">
        <v>16.73</v>
      </c>
      <c r="E52" s="4" t="n">
        <v>15.88</v>
      </c>
      <c r="F52" s="4" t="n">
        <v>16.56</v>
      </c>
      <c r="G52" s="4" t="n">
        <v>19.66</v>
      </c>
      <c r="H52" s="4" t="n">
        <v>24.83</v>
      </c>
      <c r="I52" s="4" t="n">
        <v>27.95</v>
      </c>
      <c r="J52" s="4" t="n">
        <v>30.22</v>
      </c>
      <c r="K52" s="4" t="n">
        <v>31.35</v>
      </c>
      <c r="L52" s="4" t="n">
        <v>31.37</v>
      </c>
      <c r="M52" s="4" t="n">
        <v>32.21</v>
      </c>
      <c r="N52" s="4" t="n">
        <v>32.21</v>
      </c>
      <c r="O52" s="4" t="n">
        <v>31.94</v>
      </c>
      <c r="P52" s="4" t="n">
        <v>32.22</v>
      </c>
      <c r="Q52" s="4" t="n">
        <v>31.34</v>
      </c>
      <c r="R52" s="4" t="n">
        <v>31.64</v>
      </c>
      <c r="S52" s="4" t="n">
        <v>31.47</v>
      </c>
      <c r="T52" s="4" t="n">
        <v>31.36</v>
      </c>
      <c r="U52" s="4" t="n">
        <v>33.47</v>
      </c>
      <c r="V52" s="4" t="n">
        <v>31.14</v>
      </c>
      <c r="W52" s="4" t="n">
        <v>29.56</v>
      </c>
      <c r="X52" s="4" t="n">
        <v>27.92</v>
      </c>
      <c r="Y52" s="4" t="n">
        <v>23.6</v>
      </c>
      <c r="AA52" s="5" t="n">
        <f aca="false">AVERAGE(H52:W52)</f>
        <v>30.8925</v>
      </c>
      <c r="AB52" s="9" t="n">
        <f aca="false">AA52-AA44</f>
        <v>2.381875</v>
      </c>
    </row>
    <row r="53" customFormat="false" ht="15.75" hidden="false" customHeight="false" outlineLevel="0" collapsed="false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AA53" s="5"/>
      <c r="AB53" s="9"/>
    </row>
    <row r="55" customFormat="false" ht="12.75" hidden="false" customHeight="false" outlineLevel="0" collapsed="false">
      <c r="A55" s="0" t="s">
        <v>1</v>
      </c>
    </row>
    <row r="56" customFormat="false" ht="12.75" hidden="false" customHeight="false" outlineLevel="0" collapsed="false">
      <c r="A56" s="2" t="n">
        <v>37171</v>
      </c>
      <c r="B56" s="10" t="n">
        <v>1</v>
      </c>
      <c r="C56" s="10" t="n">
        <v>2</v>
      </c>
      <c r="D56" s="10" t="n">
        <v>3</v>
      </c>
      <c r="E56" s="10" t="n">
        <v>4</v>
      </c>
      <c r="F56" s="10" t="n">
        <v>5</v>
      </c>
      <c r="G56" s="10" t="n">
        <v>6</v>
      </c>
      <c r="H56" s="10" t="n">
        <v>7</v>
      </c>
      <c r="I56" s="10" t="n">
        <v>8</v>
      </c>
      <c r="J56" s="10" t="n">
        <v>9</v>
      </c>
      <c r="K56" s="10" t="n">
        <v>10</v>
      </c>
      <c r="L56" s="10" t="n">
        <v>11</v>
      </c>
      <c r="M56" s="10" t="n">
        <v>12</v>
      </c>
      <c r="N56" s="10" t="n">
        <v>13</v>
      </c>
      <c r="O56" s="10" t="n">
        <v>14</v>
      </c>
      <c r="P56" s="10" t="n">
        <v>15</v>
      </c>
      <c r="Q56" s="10" t="n">
        <v>16</v>
      </c>
      <c r="R56" s="10" t="n">
        <v>17</v>
      </c>
      <c r="S56" s="10" t="n">
        <v>18</v>
      </c>
      <c r="T56" s="10" t="n">
        <v>19</v>
      </c>
      <c r="U56" s="10" t="n">
        <v>20</v>
      </c>
      <c r="V56" s="10" t="n">
        <v>21</v>
      </c>
      <c r="W56" s="10" t="n">
        <v>22</v>
      </c>
      <c r="X56" s="10" t="n">
        <v>23</v>
      </c>
      <c r="Y56" s="10" t="n">
        <v>24</v>
      </c>
      <c r="AC56" s="1" t="s">
        <v>6</v>
      </c>
    </row>
    <row r="57" customFormat="false" ht="15.75" hidden="false" customHeight="false" outlineLevel="0" collapsed="false">
      <c r="A57" s="0" t="s">
        <v>3</v>
      </c>
      <c r="B57" s="4" t="n">
        <v>25.83</v>
      </c>
      <c r="C57" s="4" t="n">
        <v>22.52</v>
      </c>
      <c r="D57" s="4" t="n">
        <v>22.18</v>
      </c>
      <c r="E57" s="4" t="n">
        <v>22.21</v>
      </c>
      <c r="F57" s="4" t="n">
        <v>21.94</v>
      </c>
      <c r="G57" s="4" t="n">
        <v>22.39</v>
      </c>
      <c r="H57" s="4" t="n">
        <v>22.93</v>
      </c>
      <c r="I57" s="4" t="n">
        <v>23.15</v>
      </c>
      <c r="J57" s="4" t="n">
        <v>25.5</v>
      </c>
      <c r="K57" s="4" t="n">
        <v>26.52</v>
      </c>
      <c r="L57" s="4" t="n">
        <v>27.46</v>
      </c>
      <c r="M57" s="4" t="n">
        <v>27.84</v>
      </c>
      <c r="N57" s="4" t="n">
        <v>27.68</v>
      </c>
      <c r="O57" s="4" t="n">
        <v>27.55</v>
      </c>
      <c r="P57" s="4" t="n">
        <v>27.62</v>
      </c>
      <c r="Q57" s="4" t="n">
        <v>27.42</v>
      </c>
      <c r="R57" s="4" t="n">
        <v>27.85</v>
      </c>
      <c r="S57" s="4" t="n">
        <v>28.54</v>
      </c>
      <c r="T57" s="4" t="n">
        <v>30.52</v>
      </c>
      <c r="U57" s="4" t="n">
        <v>32.57</v>
      </c>
      <c r="V57" s="4" t="n">
        <v>32.75</v>
      </c>
      <c r="W57" s="4" t="n">
        <v>31.71</v>
      </c>
      <c r="X57" s="4" t="n">
        <v>26.15</v>
      </c>
      <c r="Y57" s="4" t="n">
        <v>26.16</v>
      </c>
      <c r="AA57" s="5" t="n">
        <f aca="false">AVERAGE(H57:W57)</f>
        <v>27.975625</v>
      </c>
      <c r="AB57" s="9" t="n">
        <v>1.94</v>
      </c>
      <c r="AC57" s="9" t="n">
        <f aca="false">AA57+AB57</f>
        <v>29.915625</v>
      </c>
    </row>
    <row r="58" customFormat="false" ht="15.75" hidden="false" customHeight="false" outlineLevel="0" collapsed="false">
      <c r="AA58" s="5"/>
      <c r="AC58" s="9"/>
    </row>
    <row r="59" customFormat="false" ht="15.75" hidden="false" customHeight="false" outlineLevel="0" collapsed="false">
      <c r="A59" s="0" t="s">
        <v>4</v>
      </c>
      <c r="B59" s="4" t="n">
        <v>26.75</v>
      </c>
      <c r="C59" s="4" t="n">
        <v>23.42</v>
      </c>
      <c r="D59" s="4" t="n">
        <v>23.12</v>
      </c>
      <c r="E59" s="4" t="n">
        <v>23.16</v>
      </c>
      <c r="F59" s="4" t="n">
        <v>22.88</v>
      </c>
      <c r="G59" s="4" t="n">
        <v>23.28</v>
      </c>
      <c r="H59" s="4" t="n">
        <v>23.86</v>
      </c>
      <c r="I59" s="4" t="n">
        <v>24.73</v>
      </c>
      <c r="J59" s="4" t="n">
        <v>27.94</v>
      </c>
      <c r="K59" s="4" t="n">
        <v>29.04</v>
      </c>
      <c r="L59" s="4" t="n">
        <v>30.38</v>
      </c>
      <c r="M59" s="4" t="n">
        <v>30.79</v>
      </c>
      <c r="N59" s="4" t="n">
        <v>30.56</v>
      </c>
      <c r="O59" s="4" t="n">
        <v>30.43</v>
      </c>
      <c r="P59" s="4" t="n">
        <v>30.19</v>
      </c>
      <c r="Q59" s="4" t="n">
        <v>30.06</v>
      </c>
      <c r="R59" s="4" t="n">
        <v>30.4</v>
      </c>
      <c r="S59" s="4" t="n">
        <v>31.45</v>
      </c>
      <c r="T59" s="4" t="n">
        <v>33.87</v>
      </c>
      <c r="U59" s="4" t="n">
        <v>35.88</v>
      </c>
      <c r="V59" s="4" t="n">
        <v>35.99</v>
      </c>
      <c r="W59" s="4" t="n">
        <v>34.76</v>
      </c>
      <c r="X59" s="4" t="n">
        <v>28.76</v>
      </c>
      <c r="Y59" s="4" t="n">
        <v>27.72</v>
      </c>
      <c r="AA59" s="5" t="n">
        <f aca="false">AVERAGE(H59:W59)</f>
        <v>30.645625</v>
      </c>
      <c r="AB59" s="9" t="n">
        <v>1.64</v>
      </c>
      <c r="AC59" s="9" t="n">
        <f aca="false">AA59+AB59</f>
        <v>32.285625</v>
      </c>
    </row>
    <row r="60" customFormat="false" ht="15.75" hidden="false" customHeight="false" outlineLevel="0" collapsed="false">
      <c r="AA60" s="5"/>
      <c r="AC60" s="9"/>
    </row>
    <row r="61" customFormat="false" ht="15.75" hidden="false" customHeight="false" outlineLevel="0" collapsed="false">
      <c r="A61" s="0" t="s">
        <v>5</v>
      </c>
      <c r="B61" s="4" t="n">
        <v>26.95</v>
      </c>
      <c r="C61" s="4" t="n">
        <v>23.6</v>
      </c>
      <c r="D61" s="4" t="n">
        <v>23.3</v>
      </c>
      <c r="E61" s="4" t="n">
        <v>23.33</v>
      </c>
      <c r="F61" s="4" t="n">
        <v>23.06</v>
      </c>
      <c r="G61" s="4" t="n">
        <v>23.45</v>
      </c>
      <c r="H61" s="4" t="n">
        <v>24.04</v>
      </c>
      <c r="I61" s="4" t="n">
        <v>24.86</v>
      </c>
      <c r="J61" s="4" t="n">
        <v>28</v>
      </c>
      <c r="K61" s="4" t="n">
        <v>29.02</v>
      </c>
      <c r="L61" s="4" t="n">
        <v>30.39</v>
      </c>
      <c r="M61" s="4" t="n">
        <v>30.83</v>
      </c>
      <c r="N61" s="4" t="n">
        <v>30.62</v>
      </c>
      <c r="O61" s="4" t="n">
        <v>30.49</v>
      </c>
      <c r="P61" s="4" t="n">
        <v>30.25</v>
      </c>
      <c r="Q61" s="4" t="n">
        <v>30.13</v>
      </c>
      <c r="R61" s="4" t="n">
        <v>30.47</v>
      </c>
      <c r="S61" s="4" t="n">
        <v>31.5</v>
      </c>
      <c r="T61" s="4" t="n">
        <v>33.89</v>
      </c>
      <c r="U61" s="4" t="n">
        <v>35.88</v>
      </c>
      <c r="V61" s="4" t="n">
        <v>35.96</v>
      </c>
      <c r="W61" s="4" t="n">
        <v>34.79</v>
      </c>
      <c r="X61" s="4" t="n">
        <v>28.89</v>
      </c>
      <c r="Y61" s="4" t="n">
        <v>27.95</v>
      </c>
      <c r="AA61" s="5" t="n">
        <f aca="false">AVERAGE(H61:W61)</f>
        <v>30.695</v>
      </c>
      <c r="AB61" s="9" t="n">
        <v>2.38</v>
      </c>
      <c r="AC61" s="9" t="n">
        <f aca="false">AA61+AB61</f>
        <v>33.075</v>
      </c>
    </row>
    <row r="63" customFormat="false" ht="12.75" hidden="false" customHeight="false" outlineLevel="0" collapsed="false">
      <c r="A63" s="0" t="s">
        <v>6</v>
      </c>
    </row>
    <row r="64" customFormat="false" ht="12.75" hidden="false" customHeight="false" outlineLevel="0" collapsed="false">
      <c r="A64" s="2" t="n">
        <v>37172</v>
      </c>
    </row>
    <row r="65" customFormat="false" ht="15.75" hidden="false" customHeight="false" outlineLevel="0" collapsed="false">
      <c r="A65" s="0" t="s">
        <v>3</v>
      </c>
      <c r="B65" s="4" t="n">
        <v>27.53</v>
      </c>
      <c r="C65" s="4" t="n">
        <v>25.09</v>
      </c>
      <c r="D65" s="4" t="n">
        <v>22.79</v>
      </c>
      <c r="E65" s="4" t="n">
        <v>23.35</v>
      </c>
      <c r="F65" s="4" t="n">
        <v>24.85</v>
      </c>
      <c r="G65" s="4" t="n">
        <v>26.82</v>
      </c>
      <c r="H65" s="4" t="n">
        <v>31.86</v>
      </c>
      <c r="I65" s="4" t="n">
        <v>29.72</v>
      </c>
      <c r="J65" s="4" t="n">
        <v>31.15</v>
      </c>
      <c r="K65" s="4" t="n">
        <v>31.16</v>
      </c>
      <c r="L65" s="4" t="n">
        <v>30.76</v>
      </c>
      <c r="M65" s="4" t="n">
        <v>30.94</v>
      </c>
      <c r="N65" s="4" t="n">
        <v>30.05</v>
      </c>
      <c r="O65" s="4" t="n">
        <v>28.75</v>
      </c>
      <c r="P65" s="4" t="n">
        <v>28.82</v>
      </c>
      <c r="Q65" s="4" t="n">
        <v>27.82</v>
      </c>
      <c r="R65" s="4" t="n">
        <v>28.35</v>
      </c>
      <c r="S65" s="4" t="n">
        <v>30.58</v>
      </c>
      <c r="T65" s="4" t="n">
        <v>31.3</v>
      </c>
      <c r="U65" s="4" t="n">
        <v>31.98</v>
      </c>
      <c r="V65" s="4" t="n">
        <v>31.32</v>
      </c>
      <c r="W65" s="4" t="n">
        <v>31.04</v>
      </c>
      <c r="X65" s="4" t="n">
        <v>25.35</v>
      </c>
      <c r="Y65" s="4" t="n">
        <v>26.93</v>
      </c>
      <c r="AA65" s="5" t="n">
        <f aca="false">AVERAGE(H65:W65)</f>
        <v>30.35</v>
      </c>
      <c r="AB65" s="9" t="n">
        <f aca="false">AA65-AA57</f>
        <v>2.374375</v>
      </c>
    </row>
    <row r="66" customFormat="false" ht="15.75" hidden="false" customHeight="false" outlineLevel="0" collapsed="false">
      <c r="AA66" s="5"/>
      <c r="AB66" s="9"/>
    </row>
    <row r="67" customFormat="false" ht="15.75" hidden="false" customHeight="false" outlineLevel="0" collapsed="false">
      <c r="A67" s="0" t="s">
        <v>4</v>
      </c>
      <c r="B67" s="4" t="n">
        <v>28.08</v>
      </c>
      <c r="C67" s="4" t="n">
        <v>25.88</v>
      </c>
      <c r="D67" s="4" t="n">
        <v>23.51</v>
      </c>
      <c r="E67" s="4" t="n">
        <v>24.15</v>
      </c>
      <c r="F67" s="4" t="n">
        <v>25.64</v>
      </c>
      <c r="G67" s="4" t="n">
        <v>27.23</v>
      </c>
      <c r="H67" s="4" t="n">
        <v>33.48</v>
      </c>
      <c r="I67" s="4" t="n">
        <v>31.64</v>
      </c>
      <c r="J67" s="4" t="n">
        <v>34.55</v>
      </c>
      <c r="K67" s="4" t="n">
        <v>35</v>
      </c>
      <c r="L67" s="4" t="n">
        <v>35.18</v>
      </c>
      <c r="M67" s="4" t="n">
        <v>35.33</v>
      </c>
      <c r="N67" s="4" t="n">
        <v>34.35</v>
      </c>
      <c r="O67" s="4" t="n">
        <v>33.08</v>
      </c>
      <c r="P67" s="4" t="n">
        <v>32.99</v>
      </c>
      <c r="Q67" s="4" t="n">
        <v>31.67</v>
      </c>
      <c r="R67" s="4" t="n">
        <v>32.31</v>
      </c>
      <c r="S67" s="4" t="n">
        <v>35.14</v>
      </c>
      <c r="T67" s="4" t="n">
        <v>36.15</v>
      </c>
      <c r="U67" s="4" t="n">
        <v>37.12</v>
      </c>
      <c r="V67" s="4" t="n">
        <v>36.45</v>
      </c>
      <c r="W67" s="4" t="n">
        <v>35.07</v>
      </c>
      <c r="X67" s="4" t="n">
        <v>28.42</v>
      </c>
      <c r="Y67" s="4" t="n">
        <v>29.06</v>
      </c>
      <c r="AA67" s="5" t="n">
        <f aca="false">AVERAGE(H67:W67)</f>
        <v>34.344375</v>
      </c>
      <c r="AB67" s="9" t="n">
        <f aca="false">AA67-AA59</f>
        <v>3.69875</v>
      </c>
    </row>
    <row r="68" customFormat="false" ht="15.75" hidden="false" customHeight="false" outlineLevel="0" collapsed="false">
      <c r="AA68" s="5"/>
      <c r="AB68" s="9"/>
    </row>
    <row r="69" customFormat="false" ht="15.75" hidden="false" customHeight="false" outlineLevel="0" collapsed="false">
      <c r="A69" s="0" t="s">
        <v>5</v>
      </c>
      <c r="B69" s="4" t="n">
        <v>28.18</v>
      </c>
      <c r="C69" s="4" t="n">
        <v>26.08</v>
      </c>
      <c r="D69" s="4" t="n">
        <v>23.7</v>
      </c>
      <c r="E69" s="4" t="n">
        <v>24.37</v>
      </c>
      <c r="F69" s="4" t="n">
        <v>25.89</v>
      </c>
      <c r="G69" s="4" t="n">
        <v>27.37</v>
      </c>
      <c r="H69" s="4" t="n">
        <v>33.46</v>
      </c>
      <c r="I69" s="4" t="n">
        <v>31.8</v>
      </c>
      <c r="J69" s="4" t="n">
        <v>34.68</v>
      </c>
      <c r="K69" s="4" t="n">
        <v>35.19</v>
      </c>
      <c r="L69" s="4" t="n">
        <v>35.4</v>
      </c>
      <c r="M69" s="4" t="n">
        <v>35.53</v>
      </c>
      <c r="N69" s="4" t="n">
        <v>34.52</v>
      </c>
      <c r="O69" s="4" t="n">
        <v>33.25</v>
      </c>
      <c r="P69" s="4" t="n">
        <v>33.18</v>
      </c>
      <c r="Q69" s="4" t="n">
        <v>31.83</v>
      </c>
      <c r="R69" s="4" t="n">
        <v>32.43</v>
      </c>
      <c r="S69" s="4" t="n">
        <v>35.22</v>
      </c>
      <c r="T69" s="4" t="n">
        <v>36.22</v>
      </c>
      <c r="U69" s="4" t="n">
        <v>37.16</v>
      </c>
      <c r="V69" s="4" t="n">
        <v>36.43</v>
      </c>
      <c r="W69" s="4" t="n">
        <v>35.13</v>
      </c>
      <c r="X69" s="4" t="n">
        <v>28.64</v>
      </c>
      <c r="Y69" s="4" t="n">
        <v>29.23</v>
      </c>
      <c r="AA69" s="5" t="n">
        <f aca="false">AVERAGE(H69:W69)</f>
        <v>34.464375</v>
      </c>
      <c r="AB69" s="9" t="n">
        <f aca="false">AA69-AA61</f>
        <v>3.769375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47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E36" activeCellId="0" sqref="E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2.28"/>
    <col collapsed="false" customWidth="true" hidden="false" outlineLevel="0" max="3" min="3" style="10" width="9.14"/>
    <col collapsed="false" customWidth="true" hidden="false" outlineLevel="0" max="4" min="4" style="11" width="6.28"/>
    <col collapsed="false" customWidth="true" hidden="false" outlineLevel="0" max="5" min="5" style="10" width="9.14"/>
    <col collapsed="false" customWidth="true" hidden="false" outlineLevel="0" max="6" min="6" style="11" width="5.85"/>
    <col collapsed="false" customWidth="true" hidden="false" outlineLevel="0" max="7" min="7" style="10" width="9.56"/>
    <col collapsed="false" customWidth="true" hidden="false" outlineLevel="0" max="8" min="8" style="11" width="6.7"/>
    <col collapsed="false" customWidth="true" hidden="false" outlineLevel="0" max="9" min="9" style="10" width="8.28"/>
    <col collapsed="false" customWidth="true" hidden="false" outlineLevel="0" max="10" min="10" style="12" width="6.7"/>
    <col collapsed="false" customWidth="true" hidden="false" outlineLevel="0" max="11" min="11" style="11" width="2.13"/>
    <col collapsed="false" customWidth="true" hidden="false" outlineLevel="0" max="12" min="12" style="0" width="10.13"/>
    <col collapsed="false" customWidth="true" hidden="false" outlineLevel="0" max="13" min="13" style="0" width="1.7"/>
    <col collapsed="false" customWidth="true" hidden="false" outlineLevel="0" max="14" min="14" style="0" width="11.28"/>
    <col collapsed="false" customWidth="true" hidden="false" outlineLevel="0" max="15" min="15" style="0" width="1.85"/>
    <col collapsed="false" customWidth="true" hidden="false" outlineLevel="0" max="16" min="16" style="0" width="7.7"/>
    <col collapsed="false" customWidth="true" hidden="false" outlineLevel="0" max="17" min="17" style="0" width="1.56"/>
    <col collapsed="false" customWidth="true" hidden="false" outlineLevel="0" max="18" min="18" style="0" width="9.85"/>
    <col collapsed="false" customWidth="true" hidden="false" outlineLevel="0" max="19" min="19" style="0" width="7.56"/>
    <col collapsed="false" customWidth="true" hidden="false" outlineLevel="0" max="20" min="20" style="0" width="10.99"/>
    <col collapsed="false" customWidth="true" hidden="false" outlineLevel="0" max="21" min="21" style="0" width="1.7"/>
    <col collapsed="false" customWidth="true" hidden="false" outlineLevel="0" max="22" min="22" style="0" width="12.42"/>
    <col collapsed="false" customWidth="true" hidden="false" outlineLevel="0" max="23" min="23" style="0" width="2.13"/>
    <col collapsed="false" customWidth="true" hidden="false" outlineLevel="0" max="24" min="24" style="0" width="9.7"/>
  </cols>
  <sheetData>
    <row r="2" customFormat="false" ht="12.75" hidden="false" customHeight="false" outlineLevel="0" collapsed="false">
      <c r="R2" s="13" t="s">
        <v>8</v>
      </c>
    </row>
    <row r="3" customFormat="false" ht="12.75" hidden="false" customHeight="false" outlineLevel="0" collapsed="false">
      <c r="C3" s="14" t="s">
        <v>9</v>
      </c>
      <c r="D3" s="14"/>
      <c r="E3" s="14"/>
      <c r="F3" s="14"/>
      <c r="G3" s="14"/>
      <c r="H3" s="14"/>
      <c r="I3" s="14"/>
      <c r="J3" s="14"/>
      <c r="K3" s="13"/>
      <c r="L3" s="13" t="s">
        <v>10</v>
      </c>
      <c r="P3" s="13" t="s">
        <v>11</v>
      </c>
      <c r="Q3" s="13"/>
      <c r="R3" s="14" t="s">
        <v>12</v>
      </c>
      <c r="S3" s="13" t="s">
        <v>13</v>
      </c>
      <c r="T3" s="13" t="s">
        <v>14</v>
      </c>
      <c r="V3" s="10" t="s">
        <v>15</v>
      </c>
    </row>
    <row r="4" customFormat="false" ht="13.5" hidden="false" customHeight="false" outlineLevel="0" collapsed="false">
      <c r="A4" s="13" t="s">
        <v>16</v>
      </c>
      <c r="B4" s="13"/>
      <c r="C4" s="15" t="s">
        <v>3</v>
      </c>
      <c r="D4" s="16" t="s">
        <v>17</v>
      </c>
      <c r="E4" s="15" t="s">
        <v>4</v>
      </c>
      <c r="F4" s="16" t="s">
        <v>17</v>
      </c>
      <c r="G4" s="15" t="s">
        <v>5</v>
      </c>
      <c r="H4" s="16" t="s">
        <v>17</v>
      </c>
      <c r="I4" s="15" t="s">
        <v>18</v>
      </c>
      <c r="J4" s="16" t="s">
        <v>17</v>
      </c>
      <c r="K4" s="17"/>
      <c r="L4" s="15" t="s">
        <v>19</v>
      </c>
      <c r="M4" s="13"/>
      <c r="N4" s="15" t="s">
        <v>20</v>
      </c>
      <c r="O4" s="13"/>
      <c r="P4" s="15" t="s">
        <v>13</v>
      </c>
      <c r="Q4" s="14"/>
      <c r="R4" s="15" t="s">
        <v>21</v>
      </c>
      <c r="S4" s="15" t="s">
        <v>22</v>
      </c>
      <c r="T4" s="15" t="s">
        <v>23</v>
      </c>
      <c r="U4" s="13"/>
      <c r="V4" s="15" t="s">
        <v>24</v>
      </c>
      <c r="W4" s="13"/>
      <c r="X4" s="15" t="s">
        <v>25</v>
      </c>
    </row>
    <row r="6" customFormat="false" ht="6" hidden="false" customHeight="true" outlineLevel="0" collapsed="false"/>
    <row r="7" customFormat="false" ht="12.75" hidden="false" customHeight="false" outlineLevel="0" collapsed="false">
      <c r="A7" s="18" t="n">
        <v>37163</v>
      </c>
      <c r="B7" s="19"/>
      <c r="C7" s="20" t="n">
        <v>27.62</v>
      </c>
      <c r="D7" s="21"/>
      <c r="E7" s="20" t="n">
        <v>30.88</v>
      </c>
      <c r="F7" s="21"/>
      <c r="G7" s="20" t="n">
        <v>31.24</v>
      </c>
      <c r="H7" s="21"/>
      <c r="I7" s="20" t="n">
        <v>20.43</v>
      </c>
      <c r="J7" s="22"/>
      <c r="K7" s="21"/>
      <c r="L7" s="23" t="n">
        <v>17413</v>
      </c>
      <c r="M7" s="24"/>
      <c r="N7" s="25" t="n">
        <v>0.566</v>
      </c>
      <c r="O7" s="24"/>
      <c r="P7" s="26" t="n">
        <f aca="false">22485/24</f>
        <v>936.875</v>
      </c>
      <c r="Q7" s="26"/>
      <c r="R7" s="24"/>
      <c r="S7" s="24"/>
      <c r="T7" s="27" t="n">
        <v>0.59</v>
      </c>
      <c r="U7" s="24"/>
      <c r="V7" s="28" t="s">
        <v>26</v>
      </c>
      <c r="W7" s="24"/>
      <c r="X7" s="24" t="n">
        <v>728</v>
      </c>
    </row>
    <row r="8" customFormat="false" ht="12.75" hidden="false" customHeight="true" outlineLevel="0" collapsed="false">
      <c r="A8" s="18" t="n">
        <v>37164</v>
      </c>
      <c r="B8" s="19"/>
      <c r="C8" s="20" t="n">
        <v>24.57</v>
      </c>
      <c r="D8" s="29" t="n">
        <f aca="false">C8-C7</f>
        <v>-3.05</v>
      </c>
      <c r="E8" s="20" t="n">
        <v>29.41</v>
      </c>
      <c r="F8" s="29" t="n">
        <f aca="false">E8-E7</f>
        <v>-1.47</v>
      </c>
      <c r="G8" s="20" t="n">
        <v>29.31</v>
      </c>
      <c r="H8" s="29" t="n">
        <f aca="false">G8-G7</f>
        <v>-1.93</v>
      </c>
      <c r="I8" s="30" t="n">
        <v>18.52</v>
      </c>
      <c r="J8" s="29" t="n">
        <f aca="false">I8-I7</f>
        <v>-1.91</v>
      </c>
      <c r="K8" s="29"/>
      <c r="L8" s="23" t="n">
        <v>17160</v>
      </c>
      <c r="M8" s="24"/>
      <c r="N8" s="25" t="n">
        <v>0.448</v>
      </c>
      <c r="O8" s="24"/>
      <c r="P8" s="26" t="n">
        <f aca="false">19071/24</f>
        <v>794.625</v>
      </c>
      <c r="Q8" s="26"/>
      <c r="R8" s="24"/>
      <c r="S8" s="24"/>
      <c r="T8" s="27" t="n">
        <v>0.565</v>
      </c>
      <c r="U8" s="24"/>
      <c r="V8" s="28" t="s">
        <v>27</v>
      </c>
      <c r="W8" s="24"/>
      <c r="X8" s="24" t="n">
        <v>728</v>
      </c>
    </row>
    <row r="9" customFormat="false" ht="12.75" hidden="false" customHeight="false" outlineLevel="0" collapsed="false">
      <c r="A9" s="31" t="n">
        <v>37165</v>
      </c>
      <c r="B9" s="32"/>
      <c r="C9" s="33" t="n">
        <v>26</v>
      </c>
      <c r="D9" s="34" t="n">
        <f aca="false">C9-C8</f>
        <v>1.43</v>
      </c>
      <c r="E9" s="33" t="n">
        <v>30.45</v>
      </c>
      <c r="F9" s="34" t="n">
        <f aca="false">E9-E8</f>
        <v>1.04</v>
      </c>
      <c r="G9" s="33" t="n">
        <v>31.09</v>
      </c>
      <c r="H9" s="34" t="n">
        <f aca="false">G9-G8</f>
        <v>1.78</v>
      </c>
      <c r="I9" s="33" t="n">
        <v>24.89</v>
      </c>
      <c r="J9" s="34" t="n">
        <f aca="false">I9-I8</f>
        <v>6.37</v>
      </c>
      <c r="K9" s="34"/>
      <c r="L9" s="35" t="n">
        <v>19598</v>
      </c>
      <c r="M9" s="36"/>
      <c r="N9" s="37" t="n">
        <v>0.558</v>
      </c>
      <c r="O9" s="38"/>
      <c r="P9" s="39" t="n">
        <f aca="false">34701/24</f>
        <v>1445.875</v>
      </c>
      <c r="Q9" s="39"/>
      <c r="R9" s="38"/>
      <c r="S9" s="38"/>
      <c r="T9" s="40" t="n">
        <v>0.454</v>
      </c>
      <c r="U9" s="38"/>
      <c r="V9" s="41" t="s">
        <v>28</v>
      </c>
      <c r="W9" s="38"/>
      <c r="X9" s="35" t="n">
        <v>1548</v>
      </c>
    </row>
    <row r="10" customFormat="false" ht="12.75" hidden="false" customHeight="false" outlineLevel="0" collapsed="false">
      <c r="A10" s="32" t="n">
        <f aca="false">A9+1</f>
        <v>37166</v>
      </c>
      <c r="B10" s="32"/>
      <c r="C10" s="33" t="n">
        <v>26.29</v>
      </c>
      <c r="D10" s="34" t="n">
        <f aca="false">C10-C9</f>
        <v>0.289999999999999</v>
      </c>
      <c r="E10" s="33" t="n">
        <v>30.64</v>
      </c>
      <c r="F10" s="34" t="n">
        <f aca="false">E10-E9</f>
        <v>0.190000000000001</v>
      </c>
      <c r="G10" s="33" t="n">
        <v>32.83</v>
      </c>
      <c r="H10" s="34" t="n">
        <f aca="false">G10-G9</f>
        <v>1.74</v>
      </c>
      <c r="I10" s="33" t="n">
        <v>24.77</v>
      </c>
      <c r="J10" s="34" t="n">
        <f aca="false">I10-I9</f>
        <v>-0.120000000000001</v>
      </c>
      <c r="K10" s="34"/>
      <c r="L10" s="35" t="n">
        <v>20010</v>
      </c>
      <c r="M10" s="36"/>
      <c r="N10" s="37" t="n">
        <v>0.5</v>
      </c>
      <c r="O10" s="38"/>
      <c r="P10" s="39" t="n">
        <f aca="false">29070/24</f>
        <v>1211.25</v>
      </c>
      <c r="Q10" s="39"/>
      <c r="R10" s="38"/>
      <c r="S10" s="38"/>
      <c r="T10" s="40" t="n">
        <v>0.477</v>
      </c>
      <c r="U10" s="38"/>
      <c r="V10" s="41" t="s">
        <v>29</v>
      </c>
      <c r="W10" s="38"/>
      <c r="X10" s="35" t="n">
        <v>1548</v>
      </c>
    </row>
    <row r="11" customFormat="false" ht="12.75" hidden="false" customHeight="false" outlineLevel="0" collapsed="false">
      <c r="A11" s="32" t="n">
        <f aca="false">A10+1</f>
        <v>37167</v>
      </c>
      <c r="B11" s="32"/>
      <c r="C11" s="33" t="n">
        <v>26.85</v>
      </c>
      <c r="D11" s="34" t="n">
        <f aca="false">C11-C10</f>
        <v>0.560000000000002</v>
      </c>
      <c r="E11" s="33" t="n">
        <v>28.76</v>
      </c>
      <c r="F11" s="34" t="n">
        <f aca="false">E11-E10</f>
        <v>-1.88</v>
      </c>
      <c r="G11" s="33" t="n">
        <v>30.24</v>
      </c>
      <c r="H11" s="34" t="n">
        <f aca="false">G11-G10</f>
        <v>-2.59</v>
      </c>
      <c r="I11" s="33" t="n">
        <v>29.84</v>
      </c>
      <c r="J11" s="34" t="n">
        <f aca="false">I11-I10</f>
        <v>5.07</v>
      </c>
      <c r="K11" s="34"/>
      <c r="L11" s="35" t="n">
        <v>20719</v>
      </c>
      <c r="M11" s="36"/>
      <c r="N11" s="37" t="n">
        <v>0.493</v>
      </c>
      <c r="O11" s="38"/>
      <c r="P11" s="39" t="n">
        <f aca="false">18022/24</f>
        <v>750.916666666667</v>
      </c>
      <c r="Q11" s="39"/>
      <c r="R11" s="38"/>
      <c r="S11" s="38"/>
      <c r="T11" s="40" t="n">
        <v>0.577</v>
      </c>
      <c r="U11" s="38"/>
      <c r="V11" s="41" t="s">
        <v>30</v>
      </c>
      <c r="W11" s="38"/>
      <c r="X11" s="35" t="n">
        <v>1548</v>
      </c>
    </row>
    <row r="12" customFormat="false" ht="12.75" hidden="false" customHeight="false" outlineLevel="0" collapsed="false">
      <c r="A12" s="32" t="n">
        <f aca="false">A11+1</f>
        <v>37168</v>
      </c>
      <c r="B12" s="32"/>
      <c r="C12" s="33" t="n">
        <v>27.33</v>
      </c>
      <c r="D12" s="34" t="n">
        <f aca="false">C12-C11</f>
        <v>0.479999999999997</v>
      </c>
      <c r="E12" s="33" t="n">
        <v>31.66</v>
      </c>
      <c r="F12" s="34" t="n">
        <f aca="false">E12-E11</f>
        <v>2.9</v>
      </c>
      <c r="G12" s="33" t="n">
        <v>33.67</v>
      </c>
      <c r="H12" s="34" t="n">
        <f aca="false">G12-G11</f>
        <v>3.43</v>
      </c>
      <c r="I12" s="33" t="n">
        <v>29.87</v>
      </c>
      <c r="J12" s="34" t="n">
        <f aca="false">I12-I11</f>
        <v>0.0300000000000011</v>
      </c>
      <c r="K12" s="34"/>
      <c r="L12" s="35" t="n">
        <v>21426</v>
      </c>
      <c r="M12" s="36"/>
      <c r="N12" s="37" t="n">
        <v>0.345</v>
      </c>
      <c r="O12" s="38"/>
      <c r="P12" s="39" t="n">
        <f aca="false">16524/24</f>
        <v>688.5</v>
      </c>
      <c r="Q12" s="39"/>
      <c r="R12" s="38"/>
      <c r="S12" s="38"/>
      <c r="T12" s="40" t="n">
        <v>0.514</v>
      </c>
      <c r="U12" s="38"/>
      <c r="V12" s="41" t="s">
        <v>31</v>
      </c>
      <c r="W12" s="38"/>
      <c r="X12" s="35" t="n">
        <v>728</v>
      </c>
    </row>
    <row r="13" customFormat="false" ht="12.75" hidden="false" customHeight="false" outlineLevel="0" collapsed="false">
      <c r="A13" s="32" t="n">
        <f aca="false">A12+1</f>
        <v>37169</v>
      </c>
      <c r="B13" s="32"/>
      <c r="C13" s="33" t="n">
        <v>26.83</v>
      </c>
      <c r="D13" s="34" t="n">
        <f aca="false">C13-C12</f>
        <v>-0.5</v>
      </c>
      <c r="E13" s="33" t="n">
        <v>30.86</v>
      </c>
      <c r="F13" s="34" t="n">
        <f aca="false">E13-E12</f>
        <v>-0.800000000000001</v>
      </c>
      <c r="G13" s="33" t="n">
        <v>32.61</v>
      </c>
      <c r="H13" s="34" t="n">
        <f aca="false">G13-G12</f>
        <v>-1.06</v>
      </c>
      <c r="I13" s="33" t="n">
        <v>28.61</v>
      </c>
      <c r="J13" s="34" t="n">
        <f aca="false">I13-I12</f>
        <v>-1.26</v>
      </c>
      <c r="K13" s="34"/>
      <c r="L13" s="35" t="n">
        <v>20585</v>
      </c>
      <c r="M13" s="36"/>
      <c r="N13" s="37" t="n">
        <v>0.2403</v>
      </c>
      <c r="O13" s="38"/>
      <c r="P13" s="39" t="n">
        <f aca="false">12099/24</f>
        <v>504.125</v>
      </c>
      <c r="Q13" s="39"/>
      <c r="R13" s="38"/>
      <c r="S13" s="38"/>
      <c r="T13" s="40" t="n">
        <v>0.515</v>
      </c>
      <c r="U13" s="38"/>
      <c r="V13" s="41" t="s">
        <v>32</v>
      </c>
      <c r="W13" s="38"/>
      <c r="X13" s="35" t="n">
        <v>1403</v>
      </c>
    </row>
    <row r="14" customFormat="false" ht="12.75" hidden="false" customHeight="false" outlineLevel="0" collapsed="false">
      <c r="A14" s="42" t="n">
        <f aca="false">A13+1</f>
        <v>37170</v>
      </c>
      <c r="B14" s="42"/>
      <c r="C14" s="30" t="n">
        <v>29.34</v>
      </c>
      <c r="D14" s="29" t="n">
        <f aca="false">C14-C13</f>
        <v>2.51</v>
      </c>
      <c r="E14" s="30" t="n">
        <v>33.24</v>
      </c>
      <c r="F14" s="29" t="n">
        <f aca="false">E14-E13</f>
        <v>2.38</v>
      </c>
      <c r="G14" s="30" t="n">
        <v>33.42</v>
      </c>
      <c r="H14" s="29" t="n">
        <f aca="false">G14-G13</f>
        <v>0.810000000000002</v>
      </c>
      <c r="I14" s="30" t="n">
        <v>24.44</v>
      </c>
      <c r="J14" s="29" t="n">
        <f aca="false">I14-I13</f>
        <v>-4.17</v>
      </c>
      <c r="K14" s="29"/>
      <c r="L14" s="23" t="n">
        <v>17836</v>
      </c>
      <c r="M14" s="43"/>
      <c r="N14" s="25" t="n">
        <v>-0.576</v>
      </c>
      <c r="O14" s="24"/>
      <c r="P14" s="26" t="n">
        <f aca="false">-4549/24</f>
        <v>-189.541666666667</v>
      </c>
      <c r="Q14" s="26"/>
      <c r="R14" s="24"/>
      <c r="S14" s="24"/>
      <c r="T14" s="27" t="n">
        <v>0.476</v>
      </c>
      <c r="U14" s="24"/>
      <c r="V14" s="28" t="s">
        <v>33</v>
      </c>
      <c r="W14" s="24"/>
      <c r="X14" s="23" t="n">
        <f aca="false">1403+800</f>
        <v>2203</v>
      </c>
    </row>
    <row r="15" customFormat="false" ht="12.75" hidden="false" customHeight="false" outlineLevel="0" collapsed="false">
      <c r="A15" s="42" t="n">
        <f aca="false">A14+1</f>
        <v>37171</v>
      </c>
      <c r="B15" s="42"/>
      <c r="C15" s="30" t="n">
        <v>27.98</v>
      </c>
      <c r="D15" s="29" t="n">
        <f aca="false">C15-C14</f>
        <v>-1.36</v>
      </c>
      <c r="E15" s="30" t="n">
        <v>30.65</v>
      </c>
      <c r="F15" s="29" t="n">
        <f aca="false">E15-E14</f>
        <v>-2.59</v>
      </c>
      <c r="G15" s="30" t="n">
        <v>30.7</v>
      </c>
      <c r="H15" s="29" t="n">
        <f aca="false">G15-G14</f>
        <v>-2.72</v>
      </c>
      <c r="I15" s="30" t="n">
        <v>23.9</v>
      </c>
      <c r="J15" s="29" t="n">
        <f aca="false">I15-I14</f>
        <v>-0.540000000000003</v>
      </c>
      <c r="K15" s="29"/>
      <c r="L15" s="23" t="n">
        <v>17454</v>
      </c>
      <c r="M15" s="43"/>
      <c r="N15" s="25" t="n">
        <v>-0.098</v>
      </c>
      <c r="O15" s="24"/>
      <c r="P15" s="26" t="n">
        <f aca="false">-3658/24</f>
        <v>-152.416666666667</v>
      </c>
      <c r="Q15" s="26"/>
      <c r="R15" s="24"/>
      <c r="S15" s="24"/>
      <c r="T15" s="27" t="n">
        <v>0.457</v>
      </c>
      <c r="U15" s="24"/>
      <c r="V15" s="28" t="s">
        <v>34</v>
      </c>
      <c r="W15" s="24"/>
      <c r="X15" s="23" t="n">
        <f aca="false">1403+800</f>
        <v>2203</v>
      </c>
    </row>
    <row r="16" customFormat="false" ht="12.75" hidden="false" customHeight="false" outlineLevel="0" collapsed="false">
      <c r="A16" s="32" t="n">
        <f aca="false">A15+1</f>
        <v>37172</v>
      </c>
      <c r="B16" s="32"/>
      <c r="C16" s="33" t="n">
        <v>29.94</v>
      </c>
      <c r="D16" s="34" t="n">
        <f aca="false">C16-C15</f>
        <v>1.96</v>
      </c>
      <c r="E16" s="33" t="n">
        <v>34.03</v>
      </c>
      <c r="F16" s="34" t="n">
        <f aca="false">E16-E15</f>
        <v>3.38</v>
      </c>
      <c r="G16" s="33" t="n">
        <v>34.16</v>
      </c>
      <c r="H16" s="34" t="n">
        <f aca="false">G16-G15</f>
        <v>3.46</v>
      </c>
      <c r="I16" s="33" t="n">
        <v>27.97</v>
      </c>
      <c r="J16" s="34" t="n">
        <f aca="false">I16-I15</f>
        <v>4.07</v>
      </c>
      <c r="K16" s="34"/>
      <c r="L16" s="35" t="n">
        <v>19350</v>
      </c>
      <c r="M16" s="36"/>
      <c r="N16" s="37" t="n">
        <v>0.025</v>
      </c>
      <c r="O16" s="38"/>
      <c r="P16" s="39" t="n">
        <f aca="false">493/24</f>
        <v>20.5416666666667</v>
      </c>
      <c r="Q16" s="39"/>
      <c r="R16" s="38"/>
      <c r="S16" s="38"/>
      <c r="T16" s="40" t="n">
        <v>0.498</v>
      </c>
      <c r="U16" s="38"/>
      <c r="V16" s="41" t="s">
        <v>35</v>
      </c>
      <c r="W16" s="38"/>
      <c r="X16" s="35" t="n">
        <v>1403</v>
      </c>
    </row>
    <row r="17" customFormat="false" ht="12.75" hidden="false" customHeight="false" outlineLevel="0" collapsed="false">
      <c r="A17" s="32" t="n">
        <f aca="false">A16+1</f>
        <v>37173</v>
      </c>
      <c r="C17" s="33" t="n">
        <v>29.38</v>
      </c>
      <c r="D17" s="34" t="n">
        <f aca="false">C17-C16</f>
        <v>-0.560000000000002</v>
      </c>
      <c r="E17" s="33" t="n">
        <v>33.87</v>
      </c>
      <c r="F17" s="34" t="n">
        <f aca="false">E17-E16</f>
        <v>-0.160000000000004</v>
      </c>
      <c r="G17" s="33" t="n">
        <v>34.11</v>
      </c>
      <c r="H17" s="34" t="n">
        <f aca="false">G17-G16</f>
        <v>-0.0499999999999972</v>
      </c>
      <c r="I17" s="33" t="n">
        <v>23.75</v>
      </c>
      <c r="J17" s="34" t="n">
        <f aca="false">I17-I16</f>
        <v>-4.22</v>
      </c>
      <c r="K17" s="34"/>
      <c r="L17" s="35" t="n">
        <v>19381</v>
      </c>
      <c r="M17" s="38"/>
      <c r="N17" s="37" t="n">
        <v>0.001</v>
      </c>
      <c r="O17" s="38"/>
      <c r="P17" s="39" t="n">
        <f aca="false">25/24</f>
        <v>1.04166666666667</v>
      </c>
      <c r="Q17" s="39"/>
      <c r="R17" s="38"/>
      <c r="S17" s="38"/>
      <c r="T17" s="40" t="n">
        <v>0.514</v>
      </c>
      <c r="U17" s="38"/>
      <c r="V17" s="41" t="s">
        <v>36</v>
      </c>
      <c r="W17" s="38"/>
      <c r="X17" s="35" t="n">
        <f aca="false">X16+400</f>
        <v>1803</v>
      </c>
    </row>
    <row r="18" customFormat="false" ht="12.75" hidden="false" customHeight="false" outlineLevel="0" collapsed="false">
      <c r="A18" s="32" t="n">
        <f aca="false">A17+1</f>
        <v>37174</v>
      </c>
      <c r="C18" s="44" t="n">
        <v>26.97</v>
      </c>
      <c r="D18" s="34" t="n">
        <f aca="false">C18-C17</f>
        <v>-2.41</v>
      </c>
      <c r="E18" s="44" t="n">
        <v>31.43</v>
      </c>
      <c r="F18" s="34" t="n">
        <f aca="false">E18-E17</f>
        <v>-2.44</v>
      </c>
      <c r="G18" s="44" t="n">
        <v>31.65</v>
      </c>
      <c r="H18" s="34" t="n">
        <f aca="false">G18-G17</f>
        <v>-2.46</v>
      </c>
      <c r="I18" s="33" t="n">
        <v>21.79</v>
      </c>
      <c r="J18" s="34" t="n">
        <f aca="false">I18-I17</f>
        <v>-1.96</v>
      </c>
      <c r="K18" s="34"/>
      <c r="L18" s="35" t="n">
        <v>19577</v>
      </c>
      <c r="M18" s="38"/>
      <c r="N18" s="37" t="n">
        <v>0.361</v>
      </c>
      <c r="O18" s="38"/>
      <c r="P18" s="39" t="n">
        <f aca="false">12425/24</f>
        <v>517.708333333333</v>
      </c>
      <c r="Q18" s="39"/>
      <c r="R18" s="38"/>
      <c r="S18" s="38"/>
      <c r="T18" s="40" t="n">
        <v>0.508</v>
      </c>
      <c r="U18" s="38"/>
      <c r="V18" s="41" t="s">
        <v>37</v>
      </c>
      <c r="W18" s="38"/>
      <c r="X18" s="35" t="n">
        <f aca="false">X17</f>
        <v>1803</v>
      </c>
    </row>
    <row r="19" customFormat="false" ht="12.75" hidden="false" customHeight="false" outlineLevel="0" collapsed="false">
      <c r="A19" s="32" t="n">
        <f aca="false">A18+1</f>
        <v>37175</v>
      </c>
      <c r="C19" s="44" t="n">
        <v>29.21</v>
      </c>
      <c r="D19" s="34" t="n">
        <f aca="false">C19-C18</f>
        <v>2.24</v>
      </c>
      <c r="E19" s="44" t="n">
        <v>33.35</v>
      </c>
      <c r="F19" s="34" t="n">
        <f aca="false">E19-E18</f>
        <v>1.92</v>
      </c>
      <c r="G19" s="44" t="n">
        <v>33.75</v>
      </c>
      <c r="H19" s="34" t="n">
        <f aca="false">G19-G18</f>
        <v>2.1</v>
      </c>
      <c r="I19" s="33" t="n">
        <v>22.62</v>
      </c>
      <c r="J19" s="34" t="n">
        <f aca="false">I19-I18</f>
        <v>0.830000000000002</v>
      </c>
      <c r="K19" s="45"/>
      <c r="L19" s="35" t="n">
        <v>20179</v>
      </c>
      <c r="M19" s="38"/>
      <c r="N19" s="37" t="n">
        <v>0.098</v>
      </c>
      <c r="O19" s="38"/>
      <c r="P19" s="39" t="n">
        <f aca="false">1697/24</f>
        <v>70.7083333333333</v>
      </c>
      <c r="Q19" s="39"/>
      <c r="R19" s="46" t="n">
        <f aca="false">741585/24</f>
        <v>30899.375</v>
      </c>
      <c r="S19" s="38"/>
      <c r="T19" s="40" t="n">
        <v>0.52</v>
      </c>
      <c r="U19" s="38"/>
      <c r="V19" s="41" t="s">
        <v>38</v>
      </c>
      <c r="W19" s="38"/>
      <c r="X19" s="35" t="n">
        <f aca="false">X18</f>
        <v>1803</v>
      </c>
    </row>
    <row r="20" customFormat="false" ht="12.75" hidden="false" customHeight="false" outlineLevel="0" collapsed="false">
      <c r="A20" s="32" t="n">
        <f aca="false">A19+1</f>
        <v>37176</v>
      </c>
      <c r="C20" s="44" t="n">
        <v>26.14</v>
      </c>
      <c r="D20" s="34" t="n">
        <f aca="false">C20-C19</f>
        <v>-3.07</v>
      </c>
      <c r="E20" s="44" t="n">
        <v>31.11</v>
      </c>
      <c r="F20" s="34" t="n">
        <f aca="false">E20-E19</f>
        <v>-2.24</v>
      </c>
      <c r="G20" s="44" t="n">
        <v>32.53</v>
      </c>
      <c r="H20" s="34" t="n">
        <f aca="false">G20-G19</f>
        <v>-1.22</v>
      </c>
      <c r="I20" s="44" t="n">
        <v>27.41</v>
      </c>
      <c r="J20" s="34" t="n">
        <f aca="false">I20-I19</f>
        <v>4.79</v>
      </c>
      <c r="K20" s="45"/>
      <c r="L20" s="35" t="n">
        <v>20201</v>
      </c>
      <c r="M20" s="38"/>
      <c r="N20" s="37" t="n">
        <v>0.492</v>
      </c>
      <c r="O20" s="38"/>
      <c r="P20" s="39" t="n">
        <f aca="false">25886/24</f>
        <v>1078.58333333333</v>
      </c>
      <c r="Q20" s="39"/>
      <c r="R20" s="46" t="n">
        <f aca="false">740472/24</f>
        <v>30853</v>
      </c>
      <c r="S20" s="47" t="n">
        <f aca="false">R20-R19</f>
        <v>-46.375</v>
      </c>
      <c r="T20" s="40" t="n">
        <v>0.495</v>
      </c>
      <c r="U20" s="38"/>
      <c r="V20" s="41" t="s">
        <v>39</v>
      </c>
      <c r="W20" s="38"/>
      <c r="X20" s="35" t="n">
        <f aca="false">X19</f>
        <v>1803</v>
      </c>
    </row>
    <row r="21" customFormat="false" ht="12.75" hidden="false" customHeight="false" outlineLevel="0" collapsed="false">
      <c r="A21" s="42" t="n">
        <f aca="false">A20+1</f>
        <v>37177</v>
      </c>
      <c r="B21" s="19"/>
      <c r="C21" s="20" t="n">
        <v>25.31</v>
      </c>
      <c r="D21" s="29" t="n">
        <f aca="false">C21-C20</f>
        <v>-0.830000000000002</v>
      </c>
      <c r="E21" s="20" t="n">
        <v>29.79</v>
      </c>
      <c r="F21" s="29" t="n">
        <f aca="false">E21-E20</f>
        <v>-1.32</v>
      </c>
      <c r="G21" s="20" t="n">
        <v>30.13</v>
      </c>
      <c r="H21" s="29" t="n">
        <f aca="false">G21-G20</f>
        <v>-2.4</v>
      </c>
      <c r="I21" s="20" t="n">
        <v>27.05</v>
      </c>
      <c r="J21" s="29" t="n">
        <f aca="false">I21-I20</f>
        <v>-0.359999999999999</v>
      </c>
      <c r="K21" s="21"/>
      <c r="L21" s="23" t="n">
        <v>18232</v>
      </c>
      <c r="M21" s="24"/>
      <c r="N21" s="25" t="n">
        <v>0.605</v>
      </c>
      <c r="O21" s="24"/>
      <c r="P21" s="26" t="n">
        <f aca="false">35721/24</f>
        <v>1488.375</v>
      </c>
      <c r="Q21" s="26"/>
      <c r="R21" s="48" t="n">
        <f aca="false">721891/24</f>
        <v>30078.7916666667</v>
      </c>
      <c r="S21" s="49" t="n">
        <f aca="false">R21-R20</f>
        <v>-774.208333333332</v>
      </c>
      <c r="T21" s="27" t="n">
        <v>0.426</v>
      </c>
      <c r="U21" s="24"/>
      <c r="V21" s="28" t="s">
        <v>40</v>
      </c>
      <c r="W21" s="24"/>
      <c r="X21" s="23" t="n">
        <f aca="false">X20</f>
        <v>1803</v>
      </c>
    </row>
    <row r="22" customFormat="false" ht="12.75" hidden="false" customHeight="false" outlineLevel="0" collapsed="false">
      <c r="A22" s="42" t="n">
        <f aca="false">A21+1</f>
        <v>37178</v>
      </c>
      <c r="B22" s="19"/>
      <c r="C22" s="20" t="n">
        <v>24.52</v>
      </c>
      <c r="D22" s="29" t="n">
        <f aca="false">C22-C21</f>
        <v>-0.789999999999999</v>
      </c>
      <c r="E22" s="20" t="n">
        <v>29.21</v>
      </c>
      <c r="F22" s="29" t="n">
        <f aca="false">E22-E21</f>
        <v>-0.579999999999998</v>
      </c>
      <c r="G22" s="20" t="n">
        <v>29.49</v>
      </c>
      <c r="H22" s="29" t="n">
        <f aca="false">G22-G21</f>
        <v>-0.640000000000001</v>
      </c>
      <c r="I22" s="20" t="n">
        <v>22.46</v>
      </c>
      <c r="J22" s="29" t="n">
        <f aca="false">I22-I21</f>
        <v>-4.59</v>
      </c>
      <c r="K22" s="21"/>
      <c r="L22" s="23" t="n">
        <v>18545</v>
      </c>
      <c r="M22" s="24"/>
      <c r="N22" s="25" t="n">
        <v>0.534</v>
      </c>
      <c r="O22" s="24"/>
      <c r="P22" s="26" t="n">
        <f aca="false">33064/24</f>
        <v>1377.66666666667</v>
      </c>
      <c r="Q22" s="26"/>
      <c r="R22" s="48" t="n">
        <f aca="false">714703/24</f>
        <v>29779.2916666667</v>
      </c>
      <c r="S22" s="49" t="n">
        <f aca="false">R22-R21</f>
        <v>-299.5</v>
      </c>
      <c r="T22" s="27" t="n">
        <v>0.424</v>
      </c>
      <c r="U22" s="24"/>
      <c r="V22" s="28" t="s">
        <v>41</v>
      </c>
      <c r="W22" s="24"/>
      <c r="X22" s="23" t="n">
        <v>2284</v>
      </c>
    </row>
    <row r="23" customFormat="false" ht="12.75" hidden="false" customHeight="false" outlineLevel="0" collapsed="false">
      <c r="A23" s="32" t="n">
        <f aca="false">A22+1</f>
        <v>37179</v>
      </c>
      <c r="C23" s="33" t="n">
        <v>27.41</v>
      </c>
      <c r="D23" s="34" t="n">
        <f aca="false">C23-C22</f>
        <v>2.89</v>
      </c>
      <c r="E23" s="33" t="n">
        <v>32</v>
      </c>
      <c r="F23" s="34" t="n">
        <f aca="false">E23-E22</f>
        <v>2.79</v>
      </c>
      <c r="G23" s="44" t="n">
        <v>32.99</v>
      </c>
      <c r="H23" s="34" t="n">
        <f aca="false">G23-G22</f>
        <v>3.5</v>
      </c>
      <c r="I23" s="33" t="n">
        <v>29</v>
      </c>
      <c r="J23" s="34" t="n">
        <f aca="false">I23-I22</f>
        <v>6.54</v>
      </c>
      <c r="K23" s="45"/>
      <c r="L23" s="35" t="n">
        <v>20175</v>
      </c>
      <c r="M23" s="38"/>
      <c r="N23" s="37" t="n">
        <v>0.335</v>
      </c>
      <c r="O23" s="38"/>
      <c r="P23" s="38" t="n">
        <f aca="false">22512/24</f>
        <v>938</v>
      </c>
      <c r="Q23" s="38"/>
      <c r="R23" s="46" t="n">
        <v>30515</v>
      </c>
      <c r="S23" s="47" t="n">
        <f aca="false">R23-R22</f>
        <v>735.708333333332</v>
      </c>
      <c r="T23" s="40" t="n">
        <v>0.496</v>
      </c>
      <c r="U23" s="38"/>
      <c r="V23" s="41" t="s">
        <v>42</v>
      </c>
      <c r="W23" s="38"/>
      <c r="X23" s="35" t="n">
        <v>2284</v>
      </c>
    </row>
    <row r="24" customFormat="false" ht="12.75" hidden="false" customHeight="false" outlineLevel="0" collapsed="false">
      <c r="A24" s="32" t="n">
        <f aca="false">A23+1</f>
        <v>37180</v>
      </c>
      <c r="C24" s="44" t="n">
        <v>27.48</v>
      </c>
      <c r="D24" s="34" t="n">
        <f aca="false">C24-C23</f>
        <v>0.0700000000000003</v>
      </c>
      <c r="E24" s="44" t="n">
        <v>32.87</v>
      </c>
      <c r="F24" s="34" t="n">
        <f aca="false">E24-E23</f>
        <v>0.869999999999997</v>
      </c>
      <c r="G24" s="44" t="n">
        <v>33.27</v>
      </c>
      <c r="H24" s="34" t="n">
        <f aca="false">G24-G23</f>
        <v>0.280000000000001</v>
      </c>
      <c r="I24" s="44" t="n">
        <v>23.82</v>
      </c>
      <c r="J24" s="34" t="n">
        <f aca="false">I24-I23</f>
        <v>-5.18</v>
      </c>
      <c r="K24" s="45"/>
      <c r="L24" s="35" t="n">
        <v>19790</v>
      </c>
      <c r="M24" s="38"/>
      <c r="N24" s="37" t="n">
        <v>0.357</v>
      </c>
      <c r="O24" s="38"/>
      <c r="P24" s="39" t="n">
        <f aca="false">23793/24</f>
        <v>991.375</v>
      </c>
      <c r="Q24" s="39"/>
      <c r="R24" s="46" t="n">
        <v>29478</v>
      </c>
      <c r="S24" s="47" t="n">
        <f aca="false">R24-R23</f>
        <v>-1037</v>
      </c>
      <c r="T24" s="40" t="n">
        <v>0.504</v>
      </c>
      <c r="U24" s="38"/>
      <c r="V24" s="41" t="s">
        <v>43</v>
      </c>
      <c r="W24" s="38"/>
      <c r="X24" s="35" t="n">
        <v>2284</v>
      </c>
    </row>
    <row r="25" customFormat="false" ht="12.75" hidden="false" customHeight="false" outlineLevel="0" collapsed="false">
      <c r="A25" s="32" t="n">
        <f aca="false">A24+1</f>
        <v>37181</v>
      </c>
      <c r="C25" s="44" t="n">
        <v>28.15</v>
      </c>
      <c r="D25" s="34" t="n">
        <f aca="false">C25-C24</f>
        <v>0.669999999999998</v>
      </c>
      <c r="E25" s="44" t="n">
        <v>33.35</v>
      </c>
      <c r="F25" s="34" t="n">
        <f aca="false">E25-E24</f>
        <v>0.480000000000004</v>
      </c>
      <c r="G25" s="44" t="n">
        <v>33.71</v>
      </c>
      <c r="H25" s="34" t="n">
        <f aca="false">G25-G24</f>
        <v>0.439999999999998</v>
      </c>
      <c r="I25" s="33" t="n">
        <v>31</v>
      </c>
      <c r="J25" s="34" t="n">
        <f aca="false">I25-I24</f>
        <v>7.18</v>
      </c>
      <c r="K25" s="45"/>
      <c r="L25" s="35" t="n">
        <v>19878</v>
      </c>
      <c r="M25" s="38"/>
      <c r="N25" s="37" t="n">
        <v>0.412</v>
      </c>
      <c r="O25" s="38"/>
      <c r="P25" s="39" t="n">
        <f aca="false">28589/24</f>
        <v>1191.20833333333</v>
      </c>
      <c r="Q25" s="39"/>
      <c r="R25" s="46" t="n">
        <v>28363</v>
      </c>
      <c r="S25" s="47" t="n">
        <f aca="false">R25-R24</f>
        <v>-1115</v>
      </c>
      <c r="T25" s="40" t="n">
        <v>0.492</v>
      </c>
      <c r="U25" s="38"/>
      <c r="V25" s="41" t="s">
        <v>44</v>
      </c>
      <c r="W25" s="38"/>
      <c r="X25" s="35" t="n">
        <v>6600</v>
      </c>
    </row>
    <row r="26" customFormat="false" ht="12.75" hidden="false" customHeight="false" outlineLevel="0" collapsed="false">
      <c r="A26" s="32" t="n">
        <f aca="false">A25+1</f>
        <v>37182</v>
      </c>
      <c r="C26" s="44" t="n">
        <v>28.53</v>
      </c>
      <c r="D26" s="34" t="n">
        <f aca="false">C26-C25</f>
        <v>0.380000000000003</v>
      </c>
      <c r="E26" s="44" t="n">
        <v>33.85</v>
      </c>
      <c r="F26" s="34" t="n">
        <f aca="false">E26-E25</f>
        <v>0.5</v>
      </c>
      <c r="G26" s="44" t="n">
        <v>34.73</v>
      </c>
      <c r="H26" s="34" t="n">
        <f aca="false">G26-G25</f>
        <v>1.02</v>
      </c>
      <c r="I26" s="44" t="n">
        <v>26.43</v>
      </c>
      <c r="J26" s="34" t="n">
        <f aca="false">I26-I25</f>
        <v>-4.57</v>
      </c>
      <c r="K26" s="45"/>
      <c r="L26" s="35" t="n">
        <v>19613</v>
      </c>
      <c r="M26" s="38"/>
      <c r="N26" s="37" t="n">
        <v>0.467</v>
      </c>
      <c r="O26" s="38"/>
      <c r="P26" s="39" t="n">
        <f aca="false">29979/24</f>
        <v>1249.125</v>
      </c>
      <c r="Q26" s="39"/>
      <c r="R26" s="46" t="n">
        <v>27958</v>
      </c>
      <c r="S26" s="47" t="n">
        <f aca="false">R26-R25</f>
        <v>-405</v>
      </c>
      <c r="T26" s="40" t="n">
        <v>0.496</v>
      </c>
      <c r="U26" s="38"/>
      <c r="V26" s="41" t="s">
        <v>45</v>
      </c>
      <c r="W26" s="38"/>
      <c r="X26" s="35" t="n">
        <v>7005</v>
      </c>
    </row>
    <row r="27" customFormat="false" ht="12.75" hidden="false" customHeight="false" outlineLevel="0" collapsed="false">
      <c r="A27" s="32" t="n">
        <f aca="false">A26+1</f>
        <v>37183</v>
      </c>
      <c r="C27" s="44" t="n">
        <v>28.71</v>
      </c>
      <c r="D27" s="34" t="n">
        <f aca="false">C27-C26</f>
        <v>0.18</v>
      </c>
      <c r="E27" s="44" t="n">
        <v>33.76</v>
      </c>
      <c r="F27" s="34" t="n">
        <f aca="false">E27-E26</f>
        <v>-0.0900000000000034</v>
      </c>
      <c r="G27" s="44" t="n">
        <v>35.57</v>
      </c>
      <c r="H27" s="34" t="n">
        <f aca="false">G27-G26</f>
        <v>0.840000000000003</v>
      </c>
      <c r="I27" s="44" t="n">
        <v>24.24</v>
      </c>
      <c r="J27" s="34" t="n">
        <f aca="false">I27-I26</f>
        <v>-2.19</v>
      </c>
      <c r="K27" s="45"/>
      <c r="L27" s="35" t="n">
        <v>19124</v>
      </c>
      <c r="M27" s="38"/>
      <c r="N27" s="37" t="n">
        <v>0.594</v>
      </c>
      <c r="O27" s="38"/>
      <c r="P27" s="39" t="n">
        <f aca="false">27945/24</f>
        <v>1164.375</v>
      </c>
      <c r="Q27" s="39"/>
      <c r="R27" s="46" t="n">
        <v>28230</v>
      </c>
      <c r="S27" s="47" t="n">
        <f aca="false">R27-R26</f>
        <v>272</v>
      </c>
      <c r="T27" s="40" t="n">
        <v>0.504</v>
      </c>
      <c r="U27" s="38"/>
      <c r="V27" s="41" t="s">
        <v>46</v>
      </c>
      <c r="W27" s="38"/>
      <c r="X27" s="35" t="n">
        <v>6733</v>
      </c>
    </row>
    <row r="28" customFormat="false" ht="12.75" hidden="false" customHeight="false" outlineLevel="0" collapsed="false">
      <c r="A28" s="42" t="n">
        <f aca="false">A27+1</f>
        <v>37184</v>
      </c>
      <c r="B28" s="19"/>
      <c r="C28" s="20" t="n">
        <v>25.95</v>
      </c>
      <c r="D28" s="29" t="n">
        <f aca="false">C28-C27</f>
        <v>-2.76</v>
      </c>
      <c r="E28" s="30" t="n">
        <v>30.2</v>
      </c>
      <c r="F28" s="29" t="n">
        <f aca="false">E28-E27</f>
        <v>-3.56</v>
      </c>
      <c r="G28" s="20" t="n">
        <v>30.57</v>
      </c>
      <c r="H28" s="29" t="n">
        <f aca="false">G28-G27</f>
        <v>-5</v>
      </c>
      <c r="I28" s="20" t="n">
        <v>19.58</v>
      </c>
      <c r="J28" s="29" t="n">
        <f aca="false">I28-I27</f>
        <v>-4.66</v>
      </c>
      <c r="K28" s="21"/>
      <c r="L28" s="23" t="n">
        <v>17563</v>
      </c>
      <c r="M28" s="24"/>
      <c r="N28" s="27" t="n">
        <v>0.599</v>
      </c>
      <c r="O28" s="24"/>
      <c r="P28" s="26" t="n">
        <f aca="false">27414/24</f>
        <v>1142.25</v>
      </c>
      <c r="Q28" s="26"/>
      <c r="R28" s="48" t="n">
        <f aca="false">690434/24</f>
        <v>28768.0833333333</v>
      </c>
      <c r="S28" s="49" t="n">
        <f aca="false">R28-R27</f>
        <v>538.083333333332</v>
      </c>
      <c r="T28" s="27" t="n">
        <v>0.458</v>
      </c>
      <c r="U28" s="24"/>
      <c r="V28" s="28" t="s">
        <v>47</v>
      </c>
      <c r="W28" s="24"/>
      <c r="X28" s="23" t="n">
        <v>6195</v>
      </c>
    </row>
    <row r="29" customFormat="false" ht="12.75" hidden="false" customHeight="false" outlineLevel="0" collapsed="false">
      <c r="A29" s="42" t="n">
        <f aca="false">A28+1</f>
        <v>37185</v>
      </c>
      <c r="B29" s="19"/>
      <c r="C29" s="30" t="n">
        <v>24.9</v>
      </c>
      <c r="D29" s="29" t="n">
        <f aca="false">C29-C28</f>
        <v>-1.05</v>
      </c>
      <c r="E29" s="20" t="n">
        <v>29.47</v>
      </c>
      <c r="F29" s="29" t="n">
        <f aca="false">E29-E28</f>
        <v>-0.73</v>
      </c>
      <c r="G29" s="20" t="n">
        <v>29.78</v>
      </c>
      <c r="H29" s="29" t="n">
        <f aca="false">G29-G28</f>
        <v>-0.789999999999999</v>
      </c>
      <c r="I29" s="30" t="n">
        <v>19</v>
      </c>
      <c r="J29" s="29" t="n">
        <f aca="false">I29-I28</f>
        <v>-0.579999999999998</v>
      </c>
      <c r="K29" s="21"/>
      <c r="L29" s="23" t="n">
        <v>17485</v>
      </c>
      <c r="M29" s="24"/>
      <c r="N29" s="27" t="n">
        <v>0.513</v>
      </c>
      <c r="O29" s="24"/>
      <c r="P29" s="26" t="n">
        <f aca="false">23790/24</f>
        <v>991.25</v>
      </c>
      <c r="Q29" s="26"/>
      <c r="R29" s="48" t="n">
        <f aca="false">683389/24</f>
        <v>28474.5416666667</v>
      </c>
      <c r="S29" s="49" t="n">
        <f aca="false">R29-R28</f>
        <v>-293.541666666664</v>
      </c>
      <c r="T29" s="27" t="n">
        <v>0.454</v>
      </c>
      <c r="U29" s="24"/>
      <c r="V29" s="28" t="s">
        <v>48</v>
      </c>
      <c r="W29" s="24"/>
      <c r="X29" s="48" t="n">
        <v>6195</v>
      </c>
    </row>
    <row r="30" customFormat="false" ht="12.75" hidden="false" customHeight="false" outlineLevel="0" collapsed="false">
      <c r="A30" s="32" t="n">
        <f aca="false">A29+1</f>
        <v>37186</v>
      </c>
      <c r="C30" s="44" t="n">
        <v>28.01</v>
      </c>
      <c r="D30" s="34" t="n">
        <f aca="false">C30-C29</f>
        <v>3.11</v>
      </c>
      <c r="E30" s="44" t="n">
        <v>32.64</v>
      </c>
      <c r="F30" s="34" t="n">
        <f aca="false">E30-E29</f>
        <v>3.17</v>
      </c>
      <c r="G30" s="44" t="n">
        <v>33.57</v>
      </c>
      <c r="H30" s="34" t="n">
        <f aca="false">G30-G29</f>
        <v>3.79</v>
      </c>
      <c r="I30" s="44" t="n">
        <v>22.44</v>
      </c>
      <c r="J30" s="34" t="n">
        <f aca="false">I30-I29</f>
        <v>3.44</v>
      </c>
      <c r="K30" s="45"/>
      <c r="L30" s="35" t="n">
        <v>19065</v>
      </c>
      <c r="M30" s="38"/>
      <c r="N30" s="40" t="n">
        <v>0.515</v>
      </c>
      <c r="O30" s="38"/>
      <c r="P30" s="39" t="n">
        <f aca="false">28164/24</f>
        <v>1173.5</v>
      </c>
      <c r="Q30" s="39"/>
      <c r="R30" s="46" t="n">
        <v>29177</v>
      </c>
      <c r="S30" s="47" t="n">
        <f aca="false">R30-R29</f>
        <v>702.458333333332</v>
      </c>
      <c r="T30" s="40" t="n">
        <v>0.505</v>
      </c>
      <c r="U30" s="38"/>
      <c r="V30" s="41" t="s">
        <v>49</v>
      </c>
      <c r="W30" s="38"/>
      <c r="X30" s="46" t="n">
        <v>5786</v>
      </c>
    </row>
    <row r="31" customFormat="false" ht="12.75" hidden="false" customHeight="false" outlineLevel="0" collapsed="false">
      <c r="A31" s="32" t="n">
        <f aca="false">A30+1</f>
        <v>37187</v>
      </c>
      <c r="C31" s="44" t="n">
        <v>27.47</v>
      </c>
      <c r="D31" s="34" t="n">
        <f aca="false">C31-C30</f>
        <v>-0.540000000000003</v>
      </c>
      <c r="E31" s="44" t="n">
        <v>32.93</v>
      </c>
      <c r="F31" s="34" t="n">
        <f aca="false">E31-E30</f>
        <v>0.289999999999999</v>
      </c>
      <c r="G31" s="44" t="n">
        <v>33.81</v>
      </c>
      <c r="H31" s="34" t="n">
        <f aca="false">G31-G30</f>
        <v>0.240000000000002</v>
      </c>
      <c r="I31" s="33" t="n">
        <v>24.5</v>
      </c>
      <c r="J31" s="34" t="n">
        <f aca="false">I31-I30</f>
        <v>2.06</v>
      </c>
      <c r="K31" s="45"/>
      <c r="L31" s="35" t="n">
        <v>19073</v>
      </c>
      <c r="M31" s="38"/>
      <c r="N31" s="40" t="n">
        <v>0.575</v>
      </c>
      <c r="O31" s="38"/>
      <c r="P31" s="39" t="n">
        <f aca="false">32002/24</f>
        <v>1333.41666666667</v>
      </c>
      <c r="Q31" s="39"/>
      <c r="R31" s="46" t="n">
        <v>28848</v>
      </c>
      <c r="S31" s="47" t="n">
        <f aca="false">R31-R30</f>
        <v>-329</v>
      </c>
      <c r="T31" s="40" t="n">
        <v>0.508</v>
      </c>
      <c r="U31" s="38"/>
      <c r="V31" s="41" t="s">
        <v>50</v>
      </c>
      <c r="W31" s="38"/>
      <c r="X31" s="46" t="n">
        <v>6115</v>
      </c>
    </row>
    <row r="32" customFormat="false" ht="12.75" hidden="false" customHeight="false" outlineLevel="0" collapsed="false">
      <c r="A32" s="32" t="n">
        <f aca="false">A31+1</f>
        <v>37188</v>
      </c>
      <c r="C32" s="44" t="n">
        <v>29.93</v>
      </c>
      <c r="D32" s="34" t="n">
        <f aca="false">C32-C31</f>
        <v>2.46</v>
      </c>
      <c r="E32" s="44" t="n">
        <v>35.52</v>
      </c>
      <c r="F32" s="34" t="n">
        <f aca="false">E32-E31</f>
        <v>2.59</v>
      </c>
      <c r="G32" s="44" t="n">
        <v>36.75</v>
      </c>
      <c r="H32" s="34" t="n">
        <f aca="false">G32-G31</f>
        <v>2.94</v>
      </c>
      <c r="I32" s="33" t="n">
        <v>31.5</v>
      </c>
      <c r="J32" s="34" t="n">
        <f aca="false">I32-I31</f>
        <v>7</v>
      </c>
      <c r="K32" s="45"/>
      <c r="L32" s="35" t="n">
        <v>19276</v>
      </c>
      <c r="M32" s="38"/>
      <c r="N32" s="40" t="n">
        <v>0.344</v>
      </c>
      <c r="O32" s="38"/>
      <c r="P32" s="39" t="n">
        <f aca="false">6905/24</f>
        <v>287.708333333333</v>
      </c>
      <c r="Q32" s="39"/>
      <c r="R32" s="46" t="n">
        <v>29671</v>
      </c>
      <c r="S32" s="47" t="n">
        <f aca="false">R32-R31</f>
        <v>823</v>
      </c>
      <c r="T32" s="40" t="n">
        <v>0.511</v>
      </c>
      <c r="U32" s="38"/>
      <c r="V32" s="41" t="s">
        <v>51</v>
      </c>
      <c r="W32" s="38"/>
      <c r="X32" s="46" t="n">
        <v>5291</v>
      </c>
    </row>
    <row r="33" customFormat="false" ht="12.75" hidden="false" customHeight="false" outlineLevel="0" collapsed="false">
      <c r="A33" s="32" t="n">
        <f aca="false">A32+1</f>
        <v>37189</v>
      </c>
      <c r="C33" s="44" t="n">
        <v>32.19</v>
      </c>
      <c r="D33" s="34" t="n">
        <f aca="false">C33-C32</f>
        <v>2.26</v>
      </c>
      <c r="E33" s="44" t="n">
        <v>38.55</v>
      </c>
      <c r="F33" s="34" t="n">
        <f aca="false">E33-E32</f>
        <v>3.02999999999999</v>
      </c>
      <c r="G33" s="44" t="n">
        <v>41.23</v>
      </c>
      <c r="H33" s="34" t="n">
        <f aca="false">G33-G32</f>
        <v>4.48</v>
      </c>
      <c r="I33" s="44"/>
      <c r="J33" s="50"/>
      <c r="K33" s="45"/>
      <c r="L33" s="35" t="n">
        <v>19094</v>
      </c>
      <c r="M33" s="38"/>
      <c r="N33" s="40" t="n">
        <v>0.355</v>
      </c>
      <c r="O33" s="38"/>
      <c r="P33" s="39" t="n">
        <f aca="false">7212/24</f>
        <v>300.5</v>
      </c>
      <c r="Q33" s="38"/>
      <c r="R33" s="46" t="n">
        <v>29235</v>
      </c>
      <c r="S33" s="47" t="n">
        <f aca="false">R33-R32</f>
        <v>-436</v>
      </c>
      <c r="T33" s="40" t="n">
        <v>0.532</v>
      </c>
      <c r="U33" s="38"/>
      <c r="V33" s="41" t="s">
        <v>52</v>
      </c>
      <c r="W33" s="38"/>
      <c r="X33" s="46" t="n">
        <v>5728</v>
      </c>
    </row>
    <row r="34" customFormat="false" ht="12.75" hidden="false" customHeight="false" outlineLevel="0" collapsed="false">
      <c r="A34" s="32" t="n">
        <f aca="false">A33+1</f>
        <v>37190</v>
      </c>
      <c r="C34" s="44" t="n">
        <v>34.56</v>
      </c>
      <c r="D34" s="34" t="n">
        <f aca="false">C34-C33</f>
        <v>2.37</v>
      </c>
      <c r="E34" s="33" t="n">
        <v>40</v>
      </c>
      <c r="F34" s="34" t="n">
        <f aca="false">E34-E33</f>
        <v>1.45</v>
      </c>
      <c r="G34" s="44" t="n">
        <v>40.67</v>
      </c>
      <c r="H34" s="34" t="n">
        <f aca="false">G34-G33</f>
        <v>-0.559999999999995</v>
      </c>
      <c r="I34" s="44"/>
      <c r="J34" s="50"/>
      <c r="K34" s="45"/>
      <c r="L34" s="35" t="n">
        <v>18917</v>
      </c>
      <c r="M34" s="38"/>
      <c r="N34" s="40" t="n">
        <v>0.331</v>
      </c>
      <c r="O34" s="38"/>
      <c r="P34" s="39" t="n">
        <f aca="false">22795/24</f>
        <v>949.791666666667</v>
      </c>
      <c r="Q34" s="38"/>
      <c r="R34" s="46" t="n">
        <f aca="false">695151/24</f>
        <v>28964.625</v>
      </c>
      <c r="S34" s="47" t="n">
        <f aca="false">R34-R33</f>
        <v>-270.375</v>
      </c>
      <c r="T34" s="40" t="n">
        <v>0.529</v>
      </c>
      <c r="U34" s="38"/>
      <c r="V34" s="41" t="s">
        <v>53</v>
      </c>
      <c r="W34" s="38"/>
      <c r="X34" s="46" t="n">
        <v>5998</v>
      </c>
    </row>
    <row r="35" customFormat="false" ht="12.75" hidden="false" customHeight="false" outlineLevel="0" collapsed="false">
      <c r="A35" s="42" t="n">
        <f aca="false">A34+1</f>
        <v>37191</v>
      </c>
      <c r="B35" s="19"/>
      <c r="C35" s="20" t="n">
        <v>32.28</v>
      </c>
      <c r="D35" s="29" t="n">
        <f aca="false">C35-C34</f>
        <v>-2.28</v>
      </c>
      <c r="E35" s="20" t="n">
        <v>37.37</v>
      </c>
      <c r="F35" s="29" t="n">
        <f aca="false">E35-E34</f>
        <v>-2.63</v>
      </c>
      <c r="G35" s="20" t="n">
        <v>37.62</v>
      </c>
      <c r="H35" s="29" t="n">
        <f aca="false">G35-G34</f>
        <v>-3.05</v>
      </c>
      <c r="I35" s="20"/>
      <c r="J35" s="22"/>
      <c r="K35" s="21"/>
      <c r="L35" s="23" t="n">
        <v>17068</v>
      </c>
      <c r="M35" s="24"/>
      <c r="N35" s="27" t="n">
        <v>1.143</v>
      </c>
      <c r="O35" s="24"/>
      <c r="P35" s="26" t="n">
        <f aca="false">19202/24</f>
        <v>800.083333333333</v>
      </c>
      <c r="Q35" s="24"/>
      <c r="R35" s="48" t="n">
        <f aca="false">669674/24</f>
        <v>27903.0833333333</v>
      </c>
      <c r="S35" s="49" t="n">
        <f aca="false">R35-R34</f>
        <v>-1061.54166666667</v>
      </c>
      <c r="T35" s="24"/>
      <c r="U35" s="24"/>
      <c r="V35" s="28" t="s">
        <v>54</v>
      </c>
      <c r="W35" s="24"/>
      <c r="X35" s="48" t="n">
        <v>5998</v>
      </c>
    </row>
    <row r="36" customFormat="false" ht="12.75" hidden="false" customHeight="false" outlineLevel="0" collapsed="false">
      <c r="A36" s="42" t="n">
        <f aca="false">A35+1</f>
        <v>37192</v>
      </c>
      <c r="B36" s="19"/>
      <c r="C36" s="20" t="n">
        <v>31.33</v>
      </c>
      <c r="D36" s="29" t="n">
        <f aca="false">C36-C35</f>
        <v>-0.950000000000003</v>
      </c>
      <c r="E36" s="20" t="n">
        <v>36.69</v>
      </c>
      <c r="F36" s="29" t="n">
        <f aca="false">E36-E35</f>
        <v>-0.68</v>
      </c>
      <c r="G36" s="30" t="n">
        <v>36.9</v>
      </c>
      <c r="H36" s="29" t="n">
        <f aca="false">G36-G35</f>
        <v>-0.719999999999999</v>
      </c>
      <c r="I36" s="20"/>
      <c r="J36" s="22"/>
      <c r="K36" s="21"/>
      <c r="L36" s="23" t="n">
        <v>16841</v>
      </c>
      <c r="M36" s="24"/>
      <c r="N36" s="27" t="n">
        <v>0.576</v>
      </c>
      <c r="O36" s="24"/>
      <c r="P36" s="26" t="n">
        <f aca="false">19116/24</f>
        <v>796.5</v>
      </c>
      <c r="Q36" s="24"/>
      <c r="R36" s="48" t="n">
        <f aca="false">682799/24</f>
        <v>28449.9583333333</v>
      </c>
      <c r="S36" s="49" t="n">
        <f aca="false">R36-R35</f>
        <v>546.875</v>
      </c>
      <c r="T36" s="24"/>
      <c r="U36" s="24"/>
      <c r="V36" s="28" t="s">
        <v>54</v>
      </c>
      <c r="W36" s="24"/>
      <c r="X36" s="48" t="n">
        <v>5998</v>
      </c>
    </row>
    <row r="37" customFormat="false" ht="12.75" hidden="false" customHeight="false" outlineLevel="0" collapsed="false">
      <c r="A37" s="32" t="n">
        <f aca="false">A36+1</f>
        <v>37193</v>
      </c>
      <c r="C37" s="44" t="n">
        <v>34.34</v>
      </c>
      <c r="D37" s="34" t="n">
        <f aca="false">C37-C36</f>
        <v>3.01000000000001</v>
      </c>
      <c r="E37" s="44" t="n">
        <v>37.84</v>
      </c>
      <c r="F37" s="34" t="n">
        <f aca="false">E37-E36</f>
        <v>1.15000000000001</v>
      </c>
      <c r="G37" s="44" t="n">
        <v>43.58</v>
      </c>
      <c r="H37" s="34" t="n">
        <f aca="false">G37-G36</f>
        <v>6.68</v>
      </c>
      <c r="I37" s="44"/>
      <c r="J37" s="50"/>
      <c r="K37" s="45"/>
      <c r="L37" s="35" t="n">
        <v>19628</v>
      </c>
      <c r="M37" s="38"/>
      <c r="N37" s="40" t="n">
        <v>0.585</v>
      </c>
      <c r="O37" s="38"/>
      <c r="P37" s="39" t="n">
        <f aca="false">9584/24</f>
        <v>399.333333333333</v>
      </c>
      <c r="Q37" s="38"/>
      <c r="R37" s="46" t="n">
        <f aca="false">678888/24</f>
        <v>28287</v>
      </c>
      <c r="S37" s="47" t="n">
        <f aca="false">R37-R36</f>
        <v>-162.958333333332</v>
      </c>
      <c r="T37" s="38"/>
      <c r="U37" s="38"/>
      <c r="V37" s="41" t="s">
        <v>55</v>
      </c>
      <c r="W37" s="38"/>
      <c r="X37" s="46" t="n">
        <v>6676</v>
      </c>
    </row>
    <row r="38" customFormat="false" ht="12.75" hidden="false" customHeight="false" outlineLevel="0" collapsed="false">
      <c r="A38" s="32" t="n">
        <f aca="false">A37+1</f>
        <v>37194</v>
      </c>
      <c r="C38" s="44" t="n">
        <v>37.47</v>
      </c>
      <c r="D38" s="34" t="n">
        <f aca="false">C38-C37</f>
        <v>3.13</v>
      </c>
      <c r="E38" s="44" t="n">
        <v>44.03</v>
      </c>
      <c r="F38" s="34" t="n">
        <f aca="false">E38-E37</f>
        <v>6.19</v>
      </c>
      <c r="G38" s="44" t="n">
        <v>44.68</v>
      </c>
      <c r="H38" s="34" t="n">
        <f aca="false">G38-G37</f>
        <v>1.1</v>
      </c>
      <c r="I38" s="44"/>
      <c r="J38" s="50"/>
      <c r="K38" s="45"/>
      <c r="L38" s="35" t="n">
        <v>19310</v>
      </c>
      <c r="M38" s="38"/>
      <c r="N38" s="40" t="n">
        <v>0.76</v>
      </c>
      <c r="O38" s="38"/>
      <c r="P38" s="39" t="n">
        <f aca="false">17096/24</f>
        <v>712.333333333333</v>
      </c>
      <c r="Q38" s="38"/>
      <c r="R38" s="46" t="n">
        <f aca="false">653799/24</f>
        <v>27241.625</v>
      </c>
      <c r="S38" s="47" t="n">
        <f aca="false">R38-R37</f>
        <v>-1045.375</v>
      </c>
      <c r="T38" s="38"/>
      <c r="U38" s="38"/>
      <c r="V38" s="41" t="s">
        <v>56</v>
      </c>
      <c r="W38" s="38"/>
      <c r="X38" s="46" t="n">
        <v>7721</v>
      </c>
    </row>
    <row r="39" customFormat="false" ht="12.75" hidden="false" customHeight="false" outlineLevel="0" collapsed="false">
      <c r="A39" s="32" t="n">
        <f aca="false">A38+1</f>
        <v>37195</v>
      </c>
      <c r="C39" s="51" t="n">
        <v>33.32</v>
      </c>
      <c r="D39" s="34" t="n">
        <f aca="false">C39-C38</f>
        <v>-4.15</v>
      </c>
      <c r="E39" s="51" t="n">
        <v>40.36</v>
      </c>
      <c r="F39" s="34" t="n">
        <f aca="false">E39-E38</f>
        <v>-3.67</v>
      </c>
      <c r="G39" s="51" t="n">
        <v>40.95</v>
      </c>
      <c r="H39" s="34" t="n">
        <f aca="false">G39-G38</f>
        <v>-3.73</v>
      </c>
      <c r="I39" s="51"/>
      <c r="J39" s="52"/>
      <c r="K39" s="53"/>
      <c r="L39" s="54" t="n">
        <v>19485</v>
      </c>
      <c r="M39" s="55"/>
      <c r="N39" s="40" t="n">
        <v>0.598</v>
      </c>
      <c r="O39" s="55"/>
      <c r="P39" s="46" t="n">
        <f aca="false">34439/24</f>
        <v>1434.95833333333</v>
      </c>
      <c r="Q39" s="56"/>
      <c r="R39" s="46" t="n">
        <f aca="false">655736/24</f>
        <v>27322.3333333333</v>
      </c>
      <c r="S39" s="47" t="n">
        <f aca="false">R39-R38</f>
        <v>80.7083333333321</v>
      </c>
      <c r="T39" s="38"/>
      <c r="U39" s="38"/>
      <c r="V39" s="41" t="s">
        <v>57</v>
      </c>
      <c r="W39" s="38"/>
      <c r="X39" s="46" t="n">
        <v>7721</v>
      </c>
    </row>
    <row r="40" customFormat="false" ht="13.5" hidden="false" customHeight="false" outlineLevel="0" collapsed="false">
      <c r="A40" s="32"/>
      <c r="C40" s="57"/>
      <c r="D40" s="58"/>
      <c r="E40" s="57"/>
      <c r="F40" s="58"/>
      <c r="G40" s="57"/>
      <c r="H40" s="58"/>
      <c r="I40" s="57"/>
      <c r="J40" s="59"/>
      <c r="K40" s="58"/>
      <c r="L40" s="60"/>
      <c r="M40" s="60"/>
      <c r="N40" s="60"/>
      <c r="O40" s="60"/>
      <c r="P40" s="60"/>
      <c r="Q40" s="55"/>
      <c r="R40" s="61"/>
      <c r="S40" s="38"/>
      <c r="T40" s="38"/>
      <c r="U40" s="38"/>
      <c r="V40" s="38"/>
      <c r="W40" s="38"/>
      <c r="X40" s="38"/>
    </row>
    <row r="41" customFormat="false" ht="12.75" hidden="false" customHeight="false" outlineLevel="0" collapsed="false">
      <c r="A41" s="62" t="s">
        <v>58</v>
      </c>
      <c r="B41" s="63"/>
      <c r="C41" s="64" t="n">
        <f aca="false">AVERAGE(C9:C13)</f>
        <v>26.66</v>
      </c>
      <c r="D41" s="64" t="n">
        <f aca="false">AVERAGE(D9:D13)</f>
        <v>0.452</v>
      </c>
      <c r="E41" s="64" t="n">
        <f aca="false">AVERAGE(E9:E13)</f>
        <v>30.474</v>
      </c>
      <c r="F41" s="64" t="n">
        <f aca="false">AVERAGE(F9:F13)</f>
        <v>0.29</v>
      </c>
      <c r="G41" s="64" t="n">
        <f aca="false">AVERAGE(G9:G13)</f>
        <v>32.088</v>
      </c>
      <c r="H41" s="64" t="n">
        <f aca="false">AVERAGE(H9:H13)</f>
        <v>0.66</v>
      </c>
      <c r="I41" s="64" t="n">
        <f aca="false">AVERAGE(I9:I13)</f>
        <v>27.596</v>
      </c>
      <c r="J41" s="64" t="n">
        <f aca="false">AVERAGE(J9:J13)</f>
        <v>2.018</v>
      </c>
      <c r="K41" s="64"/>
      <c r="L41" s="65" t="n">
        <f aca="false">AVERAGE(L9:L13)</f>
        <v>20467.6</v>
      </c>
      <c r="M41" s="64"/>
      <c r="N41" s="66" t="n">
        <f aca="false">AVERAGE(N9:N13)</f>
        <v>0.42726</v>
      </c>
      <c r="O41" s="64"/>
      <c r="P41" s="65" t="n">
        <f aca="false">AVERAGE(P9:P13)</f>
        <v>920.133333333333</v>
      </c>
      <c r="Q41" s="65"/>
      <c r="R41" s="65"/>
      <c r="S41" s="38"/>
      <c r="T41" s="38"/>
      <c r="U41" s="38"/>
      <c r="V41" s="38"/>
      <c r="W41" s="38"/>
      <c r="X41" s="38"/>
    </row>
    <row r="42" customFormat="false" ht="12.75" hidden="false" customHeight="false" outlineLevel="0" collapsed="false">
      <c r="A42" s="67" t="s">
        <v>59</v>
      </c>
      <c r="B42" s="68"/>
      <c r="C42" s="69" t="n">
        <f aca="false">AVERAGE(C16:C20)</f>
        <v>28.328</v>
      </c>
      <c r="D42" s="69" t="n">
        <f aca="false">AVERAGE(D16:D20)</f>
        <v>-0.368</v>
      </c>
      <c r="E42" s="69" t="n">
        <f aca="false">AVERAGE(E16:E20)</f>
        <v>32.758</v>
      </c>
      <c r="F42" s="69" t="n">
        <f aca="false">AVERAGE(F16:F20)</f>
        <v>0.0920000000000002</v>
      </c>
      <c r="G42" s="69" t="n">
        <f aca="false">AVERAGE(G16:G20)</f>
        <v>33.24</v>
      </c>
      <c r="H42" s="69" t="n">
        <f aca="false">AVERAGE(H16:H20)</f>
        <v>0.366</v>
      </c>
      <c r="I42" s="69" t="n">
        <f aca="false">AVERAGE(I16:I20)</f>
        <v>24.708</v>
      </c>
      <c r="J42" s="69" t="n">
        <f aca="false">AVERAGE(J16:J20)</f>
        <v>0.702</v>
      </c>
      <c r="K42" s="69"/>
      <c r="L42" s="70" t="n">
        <f aca="false">AVERAGE(L16:L20)</f>
        <v>19737.6</v>
      </c>
      <c r="M42" s="69"/>
      <c r="N42" s="71" t="n">
        <f aca="false">AVERAGE(N16:N20)</f>
        <v>0.1954</v>
      </c>
      <c r="O42" s="69"/>
      <c r="P42" s="70" t="n">
        <f aca="false">AVERAGE(P16:P20)</f>
        <v>337.716666666667</v>
      </c>
      <c r="Q42" s="70"/>
      <c r="R42" s="70" t="n">
        <f aca="false">AVERAGE(R16:R20)</f>
        <v>30876.1875</v>
      </c>
      <c r="S42" s="38"/>
      <c r="T42" s="38"/>
      <c r="U42" s="38"/>
      <c r="V42" s="38"/>
      <c r="W42" s="38"/>
      <c r="X42" s="38"/>
    </row>
    <row r="43" customFormat="false" ht="12.75" hidden="false" customHeight="false" outlineLevel="0" collapsed="false">
      <c r="A43" s="67" t="s">
        <v>60</v>
      </c>
      <c r="B43" s="68"/>
      <c r="C43" s="69" t="n">
        <f aca="false">AVERAGE(C23:C27)</f>
        <v>28.056</v>
      </c>
      <c r="D43" s="69" t="n">
        <f aca="false">AVERAGE(D23:D27)</f>
        <v>0.838</v>
      </c>
      <c r="E43" s="69" t="n">
        <f aca="false">AVERAGE(E23:E27)</f>
        <v>33.166</v>
      </c>
      <c r="F43" s="69" t="n">
        <f aca="false">AVERAGE(F23:F27)</f>
        <v>0.91</v>
      </c>
      <c r="G43" s="69" t="n">
        <f aca="false">AVERAGE(G23:G27)</f>
        <v>34.054</v>
      </c>
      <c r="H43" s="69" t="n">
        <f aca="false">AVERAGE(H23:H27)</f>
        <v>1.216</v>
      </c>
      <c r="I43" s="69" t="n">
        <f aca="false">AVERAGE(I23:I27)</f>
        <v>26.898</v>
      </c>
      <c r="J43" s="69" t="n">
        <f aca="false">AVERAGE(J23:J27)</f>
        <v>0.356</v>
      </c>
      <c r="K43" s="69"/>
      <c r="L43" s="70" t="n">
        <f aca="false">AVERAGE(L23:L27)</f>
        <v>19716</v>
      </c>
      <c r="M43" s="69"/>
      <c r="N43" s="71" t="n">
        <f aca="false">AVERAGE(N23:N27)</f>
        <v>0.433</v>
      </c>
      <c r="O43" s="69"/>
      <c r="P43" s="70" t="n">
        <f aca="false">AVERAGE(P23:P27)</f>
        <v>1106.81666666667</v>
      </c>
      <c r="Q43" s="70"/>
      <c r="R43" s="70" t="n">
        <f aca="false">AVERAGE(R23:R27)</f>
        <v>28908.8</v>
      </c>
      <c r="S43" s="38"/>
      <c r="T43" s="38"/>
      <c r="U43" s="38"/>
      <c r="V43" s="38"/>
      <c r="W43" s="38"/>
      <c r="X43" s="38"/>
    </row>
    <row r="44" customFormat="false" ht="12.75" hidden="false" customHeight="false" outlineLevel="0" collapsed="false">
      <c r="A44" s="67" t="s">
        <v>61</v>
      </c>
      <c r="B44" s="68"/>
      <c r="C44" s="69" t="n">
        <f aca="false">AVERAGE(C30:C34)</f>
        <v>30.432</v>
      </c>
      <c r="D44" s="69" t="n">
        <f aca="false">AVERAGE(D30:D34)</f>
        <v>1.932</v>
      </c>
      <c r="E44" s="69" t="n">
        <f aca="false">AVERAGE(E30:E34)</f>
        <v>35.928</v>
      </c>
      <c r="F44" s="69" t="n">
        <f aca="false">AVERAGE(F30:F34)</f>
        <v>2.106</v>
      </c>
      <c r="G44" s="69" t="n">
        <f aca="false">AVERAGE(G30:G34)</f>
        <v>37.206</v>
      </c>
      <c r="H44" s="69" t="n">
        <f aca="false">AVERAGE(H30:H34)</f>
        <v>2.178</v>
      </c>
      <c r="I44" s="69" t="n">
        <f aca="false">AVERAGE(I30:I34)</f>
        <v>26.1466666666667</v>
      </c>
      <c r="J44" s="69" t="n">
        <f aca="false">AVERAGE(J30:J34)</f>
        <v>4.16666666666667</v>
      </c>
      <c r="K44" s="53"/>
      <c r="L44" s="70" t="n">
        <f aca="false">AVERAGE(L24:L28)</f>
        <v>19193.6</v>
      </c>
      <c r="M44" s="70"/>
      <c r="N44" s="71" t="n">
        <f aca="false">AVERAGE(N30:N34)</f>
        <v>0.424</v>
      </c>
      <c r="O44" s="70"/>
      <c r="P44" s="70" t="n">
        <f aca="false">AVERAGE(P24:P28)</f>
        <v>1147.66666666667</v>
      </c>
      <c r="Q44" s="70"/>
      <c r="R44" s="70" t="n">
        <f aca="false">AVERAGE(R24:R28)</f>
        <v>28559.4166666667</v>
      </c>
      <c r="S44" s="38"/>
      <c r="T44" s="38"/>
      <c r="U44" s="38"/>
      <c r="V44" s="38"/>
      <c r="W44" s="38"/>
      <c r="X44" s="38"/>
    </row>
    <row r="45" customFormat="false" ht="13.5" hidden="false" customHeight="false" outlineLevel="0" collapsed="false">
      <c r="A45" s="72" t="s">
        <v>62</v>
      </c>
      <c r="B45" s="73"/>
      <c r="C45" s="74" t="n">
        <f aca="false">AVERAGE(C37:C39)</f>
        <v>35.0433333333333</v>
      </c>
      <c r="D45" s="74" t="n">
        <f aca="false">AVERAGE(D37:D39)</f>
        <v>0.663333333333334</v>
      </c>
      <c r="E45" s="74" t="n">
        <f aca="false">AVERAGE(E37:E39)</f>
        <v>40.7433333333333</v>
      </c>
      <c r="F45" s="74" t="n">
        <f aca="false">AVERAGE(F37:F39)</f>
        <v>1.22333333333333</v>
      </c>
      <c r="G45" s="74" t="n">
        <f aca="false">AVERAGE(G37:G39)</f>
        <v>43.07</v>
      </c>
      <c r="H45" s="74" t="n">
        <f aca="false">AVERAGE(H37:H39)</f>
        <v>1.35</v>
      </c>
      <c r="I45" s="74"/>
      <c r="J45" s="75"/>
      <c r="K45" s="74"/>
      <c r="L45" s="76" t="n">
        <f aca="false">AVERAGE(L37:L39)</f>
        <v>19474.3333333333</v>
      </c>
      <c r="M45" s="76"/>
      <c r="N45" s="77" t="n">
        <f aca="false">AVERAGE(N37:N39)</f>
        <v>0.647666666666667</v>
      </c>
      <c r="O45" s="76"/>
      <c r="P45" s="76" t="n">
        <f aca="false">AVERAGE(P37:P39)</f>
        <v>848.875</v>
      </c>
      <c r="Q45" s="76"/>
      <c r="R45" s="76" t="n">
        <f aca="false">AVERAGE(R37:R39)</f>
        <v>27616.9861111111</v>
      </c>
      <c r="S45" s="38"/>
      <c r="T45" s="38"/>
      <c r="U45" s="38"/>
      <c r="V45" s="38"/>
      <c r="W45" s="38"/>
      <c r="X45" s="38"/>
    </row>
    <row r="46" customFormat="false" ht="13.5" hidden="false" customHeight="false" outlineLevel="0" collapsed="false">
      <c r="A46" s="78" t="s">
        <v>63</v>
      </c>
      <c r="B46" s="79"/>
      <c r="C46" s="80" t="n">
        <f aca="false">AVERAGE(C9:C39)</f>
        <v>28.8425806451613</v>
      </c>
      <c r="D46" s="80" t="n">
        <f aca="false">AVERAGE(D9:D39)</f>
        <v>0.282258064516129</v>
      </c>
      <c r="E46" s="80" t="n">
        <f aca="false">AVERAGE(E9:E39)</f>
        <v>33.5638709677419</v>
      </c>
      <c r="F46" s="80" t="n">
        <f aca="false">AVERAGE(F9:F39)</f>
        <v>0.353225806451613</v>
      </c>
      <c r="G46" s="80" t="n">
        <f aca="false">AVERAGE(G9:G39)</f>
        <v>34.5406451612903</v>
      </c>
      <c r="H46" s="80" t="n">
        <f aca="false">AVERAGE(H9:H39)</f>
        <v>0.375483870967742</v>
      </c>
      <c r="I46" s="80" t="n">
        <f aca="false">AVERAGE(I9:I39)</f>
        <v>25.4533333333333</v>
      </c>
      <c r="J46" s="80" t="n">
        <f aca="false">AVERAGE(J9:J39)</f>
        <v>0.540833333333333</v>
      </c>
      <c r="K46" s="81"/>
      <c r="L46" s="82" t="n">
        <f aca="false">AVERAGE(L9:L39)</f>
        <v>19176.7096774194</v>
      </c>
      <c r="M46" s="83"/>
      <c r="N46" s="84" t="n">
        <f aca="false">AVERAGE(N9:N39)</f>
        <v>0.407654838709677</v>
      </c>
      <c r="O46" s="83"/>
      <c r="P46" s="85" t="n">
        <f aca="false">AVERAGE(P9:P39)</f>
        <v>795.775537634409</v>
      </c>
      <c r="Q46" s="85"/>
      <c r="R46" s="82" t="n">
        <f aca="false">AVERAGE(R9:R39)</f>
        <v>28976.0337301587</v>
      </c>
      <c r="S46" s="38"/>
      <c r="T46" s="38"/>
      <c r="U46" s="38"/>
      <c r="V46" s="38"/>
      <c r="W46" s="38"/>
      <c r="X46" s="38"/>
    </row>
    <row r="47" customFormat="false" ht="13.5" hidden="false" customHeight="false" outlineLevel="0" collapsed="false">
      <c r="A47" s="86"/>
      <c r="B47" s="73"/>
      <c r="C47" s="87"/>
      <c r="D47" s="88"/>
      <c r="E47" s="87"/>
      <c r="F47" s="88"/>
      <c r="G47" s="87"/>
      <c r="H47" s="88"/>
      <c r="I47" s="87"/>
      <c r="J47" s="89"/>
      <c r="K47" s="88"/>
      <c r="L47" s="73"/>
      <c r="M47" s="73"/>
      <c r="N47" s="73"/>
      <c r="O47" s="73"/>
      <c r="P47" s="73"/>
      <c r="Q47" s="73"/>
      <c r="R47" s="73"/>
    </row>
  </sheetData>
  <mergeCells count="1">
    <mergeCell ref="C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49"/>
  <sheetViews>
    <sheetView showFormulas="false" showGridLines="true" showRowColHeaders="true" showZeros="true" rightToLeft="false" tabSelected="false" showOutlineSymbols="true" defaultGridColor="true" view="normal" topLeftCell="F11" colorId="64" zoomScale="100" zoomScaleNormal="100" zoomScalePageLayoutView="100" workbookViewId="0">
      <selection pane="topLeft" activeCell="X39" activeCellId="0" sqref="X39:X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2.28"/>
    <col collapsed="false" customWidth="true" hidden="false" outlineLevel="0" max="3" min="3" style="10" width="9.14"/>
    <col collapsed="false" customWidth="true" hidden="false" outlineLevel="0" max="4" min="4" style="11" width="5.85"/>
    <col collapsed="false" customWidth="true" hidden="false" outlineLevel="0" max="5" min="5" style="10" width="9.14"/>
    <col collapsed="false" customWidth="true" hidden="false" outlineLevel="0" max="6" min="6" style="11" width="5.85"/>
    <col collapsed="false" customWidth="true" hidden="false" outlineLevel="0" max="7" min="7" style="10" width="9.56"/>
    <col collapsed="false" customWidth="true" hidden="false" outlineLevel="0" max="8" min="8" style="11" width="6.7"/>
    <col collapsed="false" customWidth="true" hidden="false" outlineLevel="0" max="9" min="9" style="10" width="8.28"/>
    <col collapsed="false" customWidth="true" hidden="false" outlineLevel="0" max="10" min="10" style="12" width="7.28"/>
    <col collapsed="false" customWidth="true" hidden="false" outlineLevel="0" max="11" min="11" style="11" width="2.13"/>
    <col collapsed="false" customWidth="true" hidden="false" outlineLevel="0" max="12" min="12" style="0" width="9.56"/>
    <col collapsed="false" customWidth="true" hidden="false" outlineLevel="0" max="13" min="13" style="0" width="1.7"/>
    <col collapsed="false" customWidth="true" hidden="false" outlineLevel="0" max="14" min="14" style="0" width="8.99"/>
    <col collapsed="false" customWidth="true" hidden="false" outlineLevel="0" max="15" min="15" style="0" width="1.85"/>
    <col collapsed="false" customWidth="true" hidden="false" outlineLevel="0" max="16" min="16" style="0" width="7.7"/>
    <col collapsed="false" customWidth="true" hidden="false" outlineLevel="0" max="17" min="17" style="0" width="1.56"/>
    <col collapsed="false" customWidth="true" hidden="false" outlineLevel="0" max="19" min="18" style="0" width="10.99"/>
    <col collapsed="false" customWidth="true" hidden="true" outlineLevel="0" max="20" min="20" style="0" width="10.99"/>
    <col collapsed="false" customWidth="true" hidden="false" outlineLevel="0" max="21" min="21" style="0" width="1.7"/>
    <col collapsed="false" customWidth="true" hidden="false" outlineLevel="0" max="22" min="22" style="0" width="12.42"/>
    <col collapsed="false" customWidth="true" hidden="false" outlineLevel="0" max="23" min="23" style="0" width="2.13"/>
    <col collapsed="false" customWidth="true" hidden="false" outlineLevel="0" max="24" min="24" style="0" width="9.7"/>
  </cols>
  <sheetData>
    <row r="2" customFormat="false" ht="12.75" hidden="false" customHeight="false" outlineLevel="0" collapsed="false">
      <c r="L2" s="13" t="s">
        <v>64</v>
      </c>
      <c r="R2" s="13" t="s">
        <v>8</v>
      </c>
    </row>
    <row r="3" customFormat="false" ht="12.75" hidden="false" customHeight="false" outlineLevel="0" collapsed="false">
      <c r="C3" s="14" t="s">
        <v>9</v>
      </c>
      <c r="D3" s="14"/>
      <c r="E3" s="14"/>
      <c r="F3" s="14"/>
      <c r="G3" s="14"/>
      <c r="H3" s="14"/>
      <c r="I3" s="14"/>
      <c r="J3" s="14"/>
      <c r="K3" s="13"/>
      <c r="L3" s="13" t="s">
        <v>10</v>
      </c>
      <c r="N3" s="13" t="s">
        <v>65</v>
      </c>
      <c r="P3" s="13" t="s">
        <v>11</v>
      </c>
      <c r="Q3" s="13"/>
      <c r="R3" s="14" t="s">
        <v>12</v>
      </c>
      <c r="S3" s="13" t="s">
        <v>13</v>
      </c>
      <c r="T3" s="13" t="s">
        <v>14</v>
      </c>
      <c r="V3" s="10" t="s">
        <v>15</v>
      </c>
    </row>
    <row r="4" customFormat="false" ht="13.5" hidden="false" customHeight="false" outlineLevel="0" collapsed="false">
      <c r="A4" s="15" t="s">
        <v>16</v>
      </c>
      <c r="B4" s="13"/>
      <c r="C4" s="15" t="s">
        <v>3</v>
      </c>
      <c r="D4" s="16" t="s">
        <v>17</v>
      </c>
      <c r="E4" s="15" t="s">
        <v>4</v>
      </c>
      <c r="F4" s="16" t="s">
        <v>17</v>
      </c>
      <c r="G4" s="15" t="s">
        <v>5</v>
      </c>
      <c r="H4" s="16" t="s">
        <v>17</v>
      </c>
      <c r="I4" s="15" t="s">
        <v>18</v>
      </c>
      <c r="J4" s="16" t="s">
        <v>17</v>
      </c>
      <c r="K4" s="17"/>
      <c r="L4" s="15" t="s">
        <v>19</v>
      </c>
      <c r="M4" s="13"/>
      <c r="N4" s="15" t="s">
        <v>66</v>
      </c>
      <c r="O4" s="13"/>
      <c r="P4" s="15" t="s">
        <v>13</v>
      </c>
      <c r="Q4" s="14"/>
      <c r="R4" s="15" t="s">
        <v>21</v>
      </c>
      <c r="S4" s="15" t="s">
        <v>22</v>
      </c>
      <c r="T4" s="15" t="s">
        <v>23</v>
      </c>
      <c r="U4" s="13"/>
      <c r="V4" s="15" t="s">
        <v>24</v>
      </c>
      <c r="W4" s="13"/>
      <c r="X4" s="15" t="s">
        <v>25</v>
      </c>
    </row>
    <row r="6" customFormat="false" ht="6" hidden="false" customHeight="true" outlineLevel="0" collapsed="false"/>
    <row r="7" customFormat="false" ht="12.75" hidden="false" customHeight="false" outlineLevel="0" collapsed="false">
      <c r="A7" s="18" t="n">
        <v>37191</v>
      </c>
      <c r="B7" s="19"/>
      <c r="C7" s="20"/>
      <c r="D7" s="21"/>
      <c r="E7" s="20"/>
      <c r="F7" s="21"/>
      <c r="G7" s="20"/>
      <c r="H7" s="21"/>
      <c r="I7" s="20"/>
      <c r="J7" s="22"/>
      <c r="K7" s="21"/>
      <c r="L7" s="23"/>
      <c r="M7" s="24"/>
      <c r="N7" s="25"/>
      <c r="O7" s="24"/>
      <c r="P7" s="26"/>
      <c r="Q7" s="26"/>
      <c r="R7" s="27"/>
      <c r="S7" s="27"/>
      <c r="T7" s="27"/>
      <c r="U7" s="24"/>
      <c r="V7" s="28"/>
      <c r="W7" s="24"/>
      <c r="X7" s="24"/>
    </row>
    <row r="8" customFormat="false" ht="12.75" hidden="false" customHeight="true" outlineLevel="0" collapsed="false">
      <c r="A8" s="42" t="n">
        <f aca="false">A7+1</f>
        <v>37192</v>
      </c>
      <c r="B8" s="19"/>
      <c r="C8" s="20"/>
      <c r="D8" s="29"/>
      <c r="E8" s="20"/>
      <c r="F8" s="29"/>
      <c r="G8" s="20"/>
      <c r="H8" s="29"/>
      <c r="I8" s="30"/>
      <c r="J8" s="29"/>
      <c r="K8" s="29"/>
      <c r="L8" s="23"/>
      <c r="M8" s="24"/>
      <c r="N8" s="25"/>
      <c r="O8" s="24"/>
      <c r="P8" s="26"/>
      <c r="Q8" s="26"/>
      <c r="R8" s="27"/>
      <c r="S8" s="27"/>
      <c r="T8" s="27"/>
      <c r="U8" s="24"/>
      <c r="V8" s="28"/>
      <c r="W8" s="24"/>
      <c r="X8" s="24"/>
    </row>
    <row r="9" customFormat="false" ht="12.75" hidden="false" customHeight="false" outlineLevel="0" collapsed="false">
      <c r="A9" s="32" t="n">
        <f aca="false">A8+1</f>
        <v>37193</v>
      </c>
      <c r="B9" s="32"/>
      <c r="C9" s="44" t="n">
        <v>34.34</v>
      </c>
      <c r="D9" s="34"/>
      <c r="E9" s="44" t="n">
        <v>37.84</v>
      </c>
      <c r="F9" s="34"/>
      <c r="G9" s="44" t="n">
        <v>43.58</v>
      </c>
      <c r="H9" s="34"/>
      <c r="I9" s="44" t="n">
        <v>31.19</v>
      </c>
      <c r="J9" s="50"/>
      <c r="K9" s="45"/>
      <c r="L9" s="35" t="n">
        <v>19628</v>
      </c>
      <c r="M9" s="38"/>
      <c r="N9" s="40" t="n">
        <v>0.585</v>
      </c>
      <c r="O9" s="38"/>
      <c r="P9" s="46" t="n">
        <f aca="false">9584/24</f>
        <v>399.333333333333</v>
      </c>
      <c r="Q9" s="38"/>
      <c r="R9" s="46" t="n">
        <f aca="false">678888/24</f>
        <v>28287</v>
      </c>
      <c r="S9" s="47"/>
      <c r="T9" s="38"/>
      <c r="U9" s="38"/>
      <c r="V9" s="41" t="s">
        <v>55</v>
      </c>
      <c r="W9" s="38"/>
      <c r="X9" s="46" t="n">
        <v>6676</v>
      </c>
    </row>
    <row r="10" customFormat="false" ht="12.75" hidden="false" customHeight="false" outlineLevel="0" collapsed="false">
      <c r="A10" s="32" t="n">
        <f aca="false">A9+1</f>
        <v>37194</v>
      </c>
      <c r="B10" s="32"/>
      <c r="C10" s="44" t="n">
        <v>37.47</v>
      </c>
      <c r="D10" s="34" t="n">
        <f aca="false">C10-C9</f>
        <v>3.13</v>
      </c>
      <c r="E10" s="44" t="n">
        <v>44.03</v>
      </c>
      <c r="F10" s="34" t="n">
        <f aca="false">E10-E9</f>
        <v>6.19</v>
      </c>
      <c r="G10" s="44" t="n">
        <v>44.68</v>
      </c>
      <c r="H10" s="34" t="n">
        <f aca="false">G10-G9</f>
        <v>1.1</v>
      </c>
      <c r="I10" s="44" t="n">
        <v>27.54</v>
      </c>
      <c r="J10" s="34" t="n">
        <f aca="false">I10-I9</f>
        <v>-3.65</v>
      </c>
      <c r="K10" s="45"/>
      <c r="L10" s="35" t="n">
        <v>19310</v>
      </c>
      <c r="M10" s="38"/>
      <c r="N10" s="40" t="n">
        <v>0.76</v>
      </c>
      <c r="O10" s="38"/>
      <c r="P10" s="46" t="n">
        <f aca="false">17096/24</f>
        <v>712.333333333333</v>
      </c>
      <c r="Q10" s="38"/>
      <c r="R10" s="46" t="n">
        <f aca="false">653799/24</f>
        <v>27241.625</v>
      </c>
      <c r="S10" s="47" t="n">
        <f aca="false">R10-R9</f>
        <v>-1045.375</v>
      </c>
      <c r="T10" s="38"/>
      <c r="U10" s="38"/>
      <c r="V10" s="41" t="s">
        <v>56</v>
      </c>
      <c r="W10" s="38"/>
      <c r="X10" s="46" t="n">
        <v>7721</v>
      </c>
    </row>
    <row r="11" customFormat="false" ht="12.75" hidden="false" customHeight="false" outlineLevel="0" collapsed="false">
      <c r="A11" s="32" t="n">
        <f aca="false">A10+1</f>
        <v>37195</v>
      </c>
      <c r="B11" s="32"/>
      <c r="C11" s="51" t="n">
        <v>33.32</v>
      </c>
      <c r="D11" s="34" t="n">
        <f aca="false">C11-C10</f>
        <v>-4.15</v>
      </c>
      <c r="E11" s="51" t="n">
        <v>40.36</v>
      </c>
      <c r="F11" s="34" t="n">
        <f aca="false">E11-E10</f>
        <v>-3.67</v>
      </c>
      <c r="G11" s="51" t="n">
        <v>40.95</v>
      </c>
      <c r="H11" s="34" t="n">
        <f aca="false">G11-G10</f>
        <v>-3.73</v>
      </c>
      <c r="I11" s="51" t="n">
        <v>22.26</v>
      </c>
      <c r="J11" s="34" t="n">
        <f aca="false">I11-I10</f>
        <v>-5.28</v>
      </c>
      <c r="K11" s="53"/>
      <c r="L11" s="54" t="n">
        <v>19485</v>
      </c>
      <c r="M11" s="55"/>
      <c r="N11" s="40" t="n">
        <v>0.598</v>
      </c>
      <c r="O11" s="55"/>
      <c r="P11" s="46" t="n">
        <f aca="false">34439/24</f>
        <v>1434.95833333333</v>
      </c>
      <c r="Q11" s="55"/>
      <c r="R11" s="46" t="n">
        <f aca="false">655736/24</f>
        <v>27322.3333333333</v>
      </c>
      <c r="S11" s="47" t="n">
        <f aca="false">R11-R10</f>
        <v>80.7083333333321</v>
      </c>
      <c r="T11" s="38"/>
      <c r="U11" s="38"/>
      <c r="V11" s="41" t="s">
        <v>57</v>
      </c>
      <c r="W11" s="38"/>
      <c r="X11" s="46" t="n">
        <v>7721</v>
      </c>
    </row>
    <row r="12" customFormat="false" ht="12.75" hidden="false" customHeight="false" outlineLevel="0" collapsed="false">
      <c r="A12" s="32" t="n">
        <f aca="false">A11+1</f>
        <v>37196</v>
      </c>
      <c r="B12" s="32"/>
      <c r="C12" s="33" t="n">
        <v>31.75</v>
      </c>
      <c r="D12" s="34" t="n">
        <f aca="false">C12-C11</f>
        <v>-1.57</v>
      </c>
      <c r="E12" s="33" t="n">
        <v>40.32</v>
      </c>
      <c r="F12" s="34" t="n">
        <f aca="false">E12-E11</f>
        <v>-0.0399999999999992</v>
      </c>
      <c r="G12" s="33" t="n">
        <v>40.98</v>
      </c>
      <c r="H12" s="34" t="n">
        <f aca="false">G12-G11</f>
        <v>0.029999999999994</v>
      </c>
      <c r="I12" s="33" t="n">
        <v>25.5</v>
      </c>
      <c r="J12" s="34" t="n">
        <f aca="false">I12-I11</f>
        <v>3.24</v>
      </c>
      <c r="K12" s="34"/>
      <c r="L12" s="35" t="n">
        <v>19408</v>
      </c>
      <c r="M12" s="36"/>
      <c r="N12" s="37" t="n">
        <v>0.565</v>
      </c>
      <c r="O12" s="38"/>
      <c r="P12" s="46" t="n">
        <f aca="false">34968/24</f>
        <v>1457</v>
      </c>
      <c r="Q12" s="39"/>
      <c r="R12" s="46" t="n">
        <f aca="false">669130/24</f>
        <v>27880.4166666667</v>
      </c>
      <c r="S12" s="47" t="n">
        <f aca="false">R12-R11</f>
        <v>558.083333333336</v>
      </c>
      <c r="T12" s="40"/>
      <c r="U12" s="38"/>
      <c r="V12" s="41" t="s">
        <v>67</v>
      </c>
      <c r="W12" s="38"/>
      <c r="X12" s="35" t="n">
        <v>7083</v>
      </c>
    </row>
    <row r="13" customFormat="false" ht="12.75" hidden="false" customHeight="false" outlineLevel="0" collapsed="false">
      <c r="A13" s="32" t="n">
        <f aca="false">A12+1</f>
        <v>37197</v>
      </c>
      <c r="B13" s="32"/>
      <c r="C13" s="33" t="n">
        <v>31.96</v>
      </c>
      <c r="D13" s="34" t="n">
        <f aca="false">C13-C12</f>
        <v>0.210000000000001</v>
      </c>
      <c r="E13" s="33" t="n">
        <v>39.39</v>
      </c>
      <c r="F13" s="34" t="n">
        <f aca="false">E13-E12</f>
        <v>-0.93</v>
      </c>
      <c r="G13" s="33" t="n">
        <v>40.83</v>
      </c>
      <c r="H13" s="34" t="n">
        <f aca="false">G13-G12</f>
        <v>-0.149999999999999</v>
      </c>
      <c r="I13" s="33" t="n">
        <v>20.1</v>
      </c>
      <c r="J13" s="34" t="n">
        <f aca="false">I13-I12</f>
        <v>-5.4</v>
      </c>
      <c r="K13" s="34"/>
      <c r="L13" s="35" t="n">
        <v>19122</v>
      </c>
      <c r="M13" s="36"/>
      <c r="N13" s="37" t="n">
        <v>0.57</v>
      </c>
      <c r="O13" s="38"/>
      <c r="P13" s="46" t="n">
        <f aca="false">40957/24</f>
        <v>1706.54166666667</v>
      </c>
      <c r="Q13" s="39"/>
      <c r="R13" s="46" t="n">
        <f aca="false">649716/24</f>
        <v>27071.5</v>
      </c>
      <c r="S13" s="47" t="n">
        <f aca="false">R13-R12</f>
        <v>-808.916666666668</v>
      </c>
      <c r="T13" s="40"/>
      <c r="U13" s="38"/>
      <c r="V13" s="41" t="s">
        <v>68</v>
      </c>
      <c r="W13" s="38"/>
      <c r="X13" s="35" t="n">
        <v>7829</v>
      </c>
    </row>
    <row r="14" customFormat="false" ht="12.75" hidden="false" customHeight="false" outlineLevel="0" collapsed="false">
      <c r="A14" s="42" t="n">
        <f aca="false">A13+1</f>
        <v>37198</v>
      </c>
      <c r="B14" s="42"/>
      <c r="C14" s="30" t="n">
        <v>29.52</v>
      </c>
      <c r="D14" s="29" t="n">
        <f aca="false">C14-C13</f>
        <v>-2.44</v>
      </c>
      <c r="E14" s="30" t="n">
        <v>36.14</v>
      </c>
      <c r="F14" s="29" t="n">
        <f aca="false">E14-E13</f>
        <v>-3.25</v>
      </c>
      <c r="G14" s="30" t="n">
        <v>36.46</v>
      </c>
      <c r="H14" s="29" t="n">
        <f aca="false">G14-G13</f>
        <v>-4.37</v>
      </c>
      <c r="I14" s="30" t="n">
        <v>21.29</v>
      </c>
      <c r="J14" s="29" t="n">
        <f aca="false">I14-I13</f>
        <v>1.19</v>
      </c>
      <c r="K14" s="29"/>
      <c r="L14" s="23" t="n">
        <v>16843</v>
      </c>
      <c r="M14" s="43"/>
      <c r="N14" s="25" t="n">
        <v>0.457</v>
      </c>
      <c r="O14" s="24"/>
      <c r="P14" s="48" t="n">
        <f aca="false">43576/24</f>
        <v>1815.66666666667</v>
      </c>
      <c r="Q14" s="26"/>
      <c r="R14" s="48" t="n">
        <f aca="false">663010/24</f>
        <v>27625.4166666667</v>
      </c>
      <c r="S14" s="49" t="n">
        <f aca="false">R14-R13</f>
        <v>553.916666666668</v>
      </c>
      <c r="T14" s="27"/>
      <c r="U14" s="24"/>
      <c r="V14" s="28" t="s">
        <v>69</v>
      </c>
      <c r="W14" s="24"/>
      <c r="X14" s="23" t="n">
        <f aca="false">X13-S14</f>
        <v>7275.08333333333</v>
      </c>
    </row>
    <row r="15" customFormat="false" ht="12.75" hidden="false" customHeight="false" outlineLevel="0" collapsed="false">
      <c r="A15" s="42" t="n">
        <f aca="false">A14+1</f>
        <v>37199</v>
      </c>
      <c r="B15" s="42"/>
      <c r="C15" s="30" t="n">
        <v>26.75</v>
      </c>
      <c r="D15" s="29" t="n">
        <f aca="false">C15-C14</f>
        <v>-2.77</v>
      </c>
      <c r="E15" s="30" t="n">
        <v>32.93</v>
      </c>
      <c r="F15" s="29" t="n">
        <f aca="false">E15-E14</f>
        <v>-3.21</v>
      </c>
      <c r="G15" s="30" t="n">
        <v>33.48</v>
      </c>
      <c r="H15" s="29" t="n">
        <f aca="false">G15-G14</f>
        <v>-2.98</v>
      </c>
      <c r="I15" s="30" t="n">
        <v>21.73</v>
      </c>
      <c r="J15" s="29" t="n">
        <f aca="false">I15-I14</f>
        <v>0.440000000000001</v>
      </c>
      <c r="K15" s="29"/>
      <c r="L15" s="23" t="n">
        <v>16392</v>
      </c>
      <c r="M15" s="43"/>
      <c r="N15" s="25" t="n">
        <v>0.565</v>
      </c>
      <c r="O15" s="24"/>
      <c r="P15" s="48" t="n">
        <v>1831</v>
      </c>
      <c r="Q15" s="26"/>
      <c r="R15" s="48" t="n">
        <v>27827</v>
      </c>
      <c r="S15" s="49" t="n">
        <f aca="false">R15-R14</f>
        <v>201.583333333332</v>
      </c>
      <c r="T15" s="27"/>
      <c r="U15" s="24"/>
      <c r="V15" s="28" t="s">
        <v>70</v>
      </c>
      <c r="W15" s="24"/>
      <c r="X15" s="23" t="n">
        <f aca="false">X14-S15</f>
        <v>7073.5</v>
      </c>
    </row>
    <row r="16" customFormat="false" ht="12.75" hidden="false" customHeight="false" outlineLevel="0" collapsed="false">
      <c r="A16" s="32" t="n">
        <f aca="false">A15+1</f>
        <v>37200</v>
      </c>
      <c r="B16" s="32"/>
      <c r="C16" s="33" t="n">
        <v>32.29</v>
      </c>
      <c r="D16" s="90" t="n">
        <f aca="false">C16-C15</f>
        <v>5.54</v>
      </c>
      <c r="E16" s="33" t="n">
        <v>39.08</v>
      </c>
      <c r="F16" s="90" t="n">
        <f aca="false">E16-E15</f>
        <v>6.15</v>
      </c>
      <c r="G16" s="33" t="n">
        <v>39.18</v>
      </c>
      <c r="H16" s="90" t="n">
        <f aca="false">G16-G15</f>
        <v>5.7</v>
      </c>
      <c r="I16" s="33" t="n">
        <v>27.81</v>
      </c>
      <c r="J16" s="90" t="n">
        <f aca="false">I16-I15</f>
        <v>6.08</v>
      </c>
      <c r="K16" s="34"/>
      <c r="L16" s="35" t="n">
        <v>19487</v>
      </c>
      <c r="M16" s="36"/>
      <c r="N16" s="37" t="n">
        <v>0.746</v>
      </c>
      <c r="O16" s="38"/>
      <c r="P16" s="46" t="n">
        <v>1824</v>
      </c>
      <c r="Q16" s="39"/>
      <c r="R16" s="46" t="n">
        <v>28428</v>
      </c>
      <c r="S16" s="47" t="n">
        <f aca="false">R16-R15</f>
        <v>601</v>
      </c>
      <c r="T16" s="40"/>
      <c r="U16" s="38"/>
      <c r="V16" s="41" t="s">
        <v>71</v>
      </c>
      <c r="W16" s="38"/>
      <c r="X16" s="35" t="n">
        <f aca="false">X15-S16</f>
        <v>6472.5</v>
      </c>
    </row>
    <row r="17" customFormat="false" ht="12.75" hidden="false" customHeight="false" outlineLevel="0" collapsed="false">
      <c r="A17" s="32" t="n">
        <f aca="false">A16+1</f>
        <v>37201</v>
      </c>
      <c r="C17" s="33" t="n">
        <v>32.13</v>
      </c>
      <c r="D17" s="90" t="n">
        <f aca="false">C17-C16</f>
        <v>-0.159999999999997</v>
      </c>
      <c r="E17" s="33" t="n">
        <v>38.27</v>
      </c>
      <c r="F17" s="90" t="n">
        <f aca="false">E17-E16</f>
        <v>-0.809999999999995</v>
      </c>
      <c r="G17" s="33" t="n">
        <v>38.45</v>
      </c>
      <c r="H17" s="90" t="n">
        <f aca="false">G17-G16</f>
        <v>-0.729999999999997</v>
      </c>
      <c r="I17" s="33" t="n">
        <v>24.98</v>
      </c>
      <c r="J17" s="90" t="n">
        <f aca="false">I17-I16</f>
        <v>-2.83</v>
      </c>
      <c r="K17" s="34"/>
      <c r="L17" s="35" t="n">
        <v>19498</v>
      </c>
      <c r="M17" s="38"/>
      <c r="N17" s="37" t="n">
        <v>0.671</v>
      </c>
      <c r="O17" s="38"/>
      <c r="P17" s="46" t="n">
        <f aca="false">41397/24</f>
        <v>1724.875</v>
      </c>
      <c r="Q17" s="39"/>
      <c r="R17" s="46" t="n">
        <f aca="false">692285/24</f>
        <v>28845.2083333333</v>
      </c>
      <c r="S17" s="47" t="n">
        <f aca="false">R17-R16</f>
        <v>417.208333333332</v>
      </c>
      <c r="T17" s="40"/>
      <c r="U17" s="38"/>
      <c r="V17" s="41" t="s">
        <v>72</v>
      </c>
      <c r="W17" s="38"/>
      <c r="X17" s="35" t="n">
        <f aca="false">X16-S17</f>
        <v>6055.29166666667</v>
      </c>
    </row>
    <row r="18" customFormat="false" ht="12.75" hidden="false" customHeight="false" outlineLevel="0" collapsed="false">
      <c r="A18" s="32" t="n">
        <f aca="false">A17+1</f>
        <v>37202</v>
      </c>
      <c r="C18" s="44" t="n">
        <v>28.54</v>
      </c>
      <c r="D18" s="90" t="n">
        <f aca="false">C18-C17</f>
        <v>-3.59</v>
      </c>
      <c r="E18" s="44" t="n">
        <v>35.08</v>
      </c>
      <c r="F18" s="90" t="n">
        <f aca="false">E18-E17</f>
        <v>-3.19000000000001</v>
      </c>
      <c r="G18" s="44" t="n">
        <v>37.63</v>
      </c>
      <c r="H18" s="90" t="n">
        <f aca="false">G18-G17</f>
        <v>-0.82</v>
      </c>
      <c r="I18" s="33" t="n">
        <v>27.3</v>
      </c>
      <c r="J18" s="90" t="n">
        <f aca="false">I18-I17</f>
        <v>2.32</v>
      </c>
      <c r="K18" s="34"/>
      <c r="L18" s="35" t="n">
        <v>19504</v>
      </c>
      <c r="M18" s="38"/>
      <c r="N18" s="37" t="n">
        <v>0.625</v>
      </c>
      <c r="O18" s="38"/>
      <c r="P18" s="46" t="n">
        <f aca="false">50107/24</f>
        <v>2087.79166666667</v>
      </c>
      <c r="Q18" s="39"/>
      <c r="R18" s="46" t="n">
        <f aca="false">681651/24</f>
        <v>28402.125</v>
      </c>
      <c r="S18" s="47" t="n">
        <f aca="false">R18-R17</f>
        <v>-443.083333333332</v>
      </c>
      <c r="T18" s="40"/>
      <c r="U18" s="38"/>
      <c r="V18" s="41" t="s">
        <v>73</v>
      </c>
      <c r="W18" s="38"/>
      <c r="X18" s="35" t="n">
        <f aca="false">X17-S18</f>
        <v>6498.375</v>
      </c>
    </row>
    <row r="19" customFormat="false" ht="12.75" hidden="false" customHeight="false" outlineLevel="0" collapsed="false">
      <c r="A19" s="32" t="n">
        <f aca="false">A18+1</f>
        <v>37203</v>
      </c>
      <c r="C19" s="44" t="n">
        <v>27.33</v>
      </c>
      <c r="D19" s="90" t="n">
        <f aca="false">C19-C18</f>
        <v>-1.21</v>
      </c>
      <c r="E19" s="44" t="n">
        <v>33.07</v>
      </c>
      <c r="F19" s="90" t="n">
        <f aca="false">E19-E18</f>
        <v>-2.01</v>
      </c>
      <c r="G19" s="44" t="n">
        <v>38.23</v>
      </c>
      <c r="H19" s="90" t="n">
        <f aca="false">G19-G18</f>
        <v>0.599999999999994</v>
      </c>
      <c r="I19" s="33" t="n">
        <v>21.63</v>
      </c>
      <c r="J19" s="90" t="n">
        <f aca="false">I19-I18</f>
        <v>-5.67</v>
      </c>
      <c r="K19" s="45"/>
      <c r="L19" s="35" t="n">
        <v>19516</v>
      </c>
      <c r="M19" s="38"/>
      <c r="N19" s="37" t="n">
        <v>0.434</v>
      </c>
      <c r="O19" s="38"/>
      <c r="P19" s="46" t="n">
        <f aca="false">43730/24</f>
        <v>1822.08333333333</v>
      </c>
      <c r="Q19" s="39"/>
      <c r="R19" s="46" t="n">
        <f aca="false">692720/24</f>
        <v>28863.3333333333</v>
      </c>
      <c r="S19" s="47" t="n">
        <f aca="false">R19-R18</f>
        <v>461.208333333332</v>
      </c>
      <c r="T19" s="40"/>
      <c r="U19" s="38"/>
      <c r="V19" s="41" t="s">
        <v>74</v>
      </c>
      <c r="W19" s="38"/>
      <c r="X19" s="35" t="n">
        <f aca="false">X18-S19</f>
        <v>6037.16666666667</v>
      </c>
    </row>
    <row r="20" customFormat="false" ht="12.75" hidden="false" customHeight="false" outlineLevel="0" collapsed="false">
      <c r="A20" s="32" t="n">
        <f aca="false">A19+1</f>
        <v>37204</v>
      </c>
      <c r="C20" s="44" t="n">
        <v>26.99</v>
      </c>
      <c r="D20" s="90" t="n">
        <f aca="false">C20-C19</f>
        <v>-0.34</v>
      </c>
      <c r="E20" s="44" t="n">
        <v>33.53</v>
      </c>
      <c r="F20" s="90" t="n">
        <f aca="false">E20-E19</f>
        <v>0.460000000000001</v>
      </c>
      <c r="G20" s="44" t="n">
        <v>38.79</v>
      </c>
      <c r="H20" s="90" t="n">
        <f aca="false">G20-G19</f>
        <v>0.560000000000002</v>
      </c>
      <c r="I20" s="44" t="n">
        <v>21.46</v>
      </c>
      <c r="J20" s="90" t="n">
        <f aca="false">I20-I19</f>
        <v>-0.169999999999998</v>
      </c>
      <c r="K20" s="45"/>
      <c r="L20" s="35" t="n">
        <v>19350</v>
      </c>
      <c r="M20" s="38"/>
      <c r="N20" s="37" t="n">
        <v>0.675</v>
      </c>
      <c r="O20" s="38"/>
      <c r="P20" s="46" t="n">
        <f aca="false">54618/24</f>
        <v>2275.75</v>
      </c>
      <c r="Q20" s="39"/>
      <c r="R20" s="46" t="n">
        <f aca="false">681836/24</f>
        <v>28409.8333333333</v>
      </c>
      <c r="S20" s="47" t="n">
        <f aca="false">R20-R19</f>
        <v>-453.5</v>
      </c>
      <c r="T20" s="40"/>
      <c r="U20" s="38"/>
      <c r="V20" s="41" t="s">
        <v>72</v>
      </c>
      <c r="W20" s="38"/>
      <c r="X20" s="35" t="n">
        <f aca="false">X19-S20</f>
        <v>6490.66666666667</v>
      </c>
    </row>
    <row r="21" customFormat="false" ht="12.75" hidden="false" customHeight="false" outlineLevel="0" collapsed="false">
      <c r="A21" s="42" t="n">
        <f aca="false">A20+1</f>
        <v>37205</v>
      </c>
      <c r="B21" s="19"/>
      <c r="C21" s="30" t="n">
        <v>24.5</v>
      </c>
      <c r="D21" s="29" t="n">
        <f aca="false">C21-C20</f>
        <v>-2.49</v>
      </c>
      <c r="E21" s="20" t="n">
        <v>29.35</v>
      </c>
      <c r="F21" s="29" t="n">
        <f aca="false">E21-E20</f>
        <v>-4.18</v>
      </c>
      <c r="G21" s="20" t="n">
        <v>35.04</v>
      </c>
      <c r="H21" s="29" t="n">
        <f aca="false">G21-G20</f>
        <v>-3.75</v>
      </c>
      <c r="I21" s="20" t="n">
        <v>20.63</v>
      </c>
      <c r="J21" s="29" t="n">
        <f aca="false">I21-I20</f>
        <v>-0.830000000000002</v>
      </c>
      <c r="K21" s="21"/>
      <c r="L21" s="23" t="n">
        <v>17093</v>
      </c>
      <c r="M21" s="24"/>
      <c r="N21" s="25" t="n">
        <v>0.45</v>
      </c>
      <c r="O21" s="24"/>
      <c r="P21" s="48" t="n">
        <f aca="false">49215/24</f>
        <v>2050.625</v>
      </c>
      <c r="Q21" s="26"/>
      <c r="R21" s="48" t="n">
        <f aca="false">703171/24</f>
        <v>29298.7916666667</v>
      </c>
      <c r="S21" s="49" t="n">
        <f aca="false">R21-R20</f>
        <v>888.958333333336</v>
      </c>
      <c r="T21" s="27"/>
      <c r="U21" s="24"/>
      <c r="V21" s="28" t="s">
        <v>75</v>
      </c>
      <c r="W21" s="24"/>
      <c r="X21" s="23" t="n">
        <f aca="false">X20-S21</f>
        <v>5601.70833333333</v>
      </c>
    </row>
    <row r="22" customFormat="false" ht="12.75" hidden="false" customHeight="false" outlineLevel="0" collapsed="false">
      <c r="A22" s="42" t="n">
        <f aca="false">A21+1</f>
        <v>37206</v>
      </c>
      <c r="B22" s="19"/>
      <c r="C22" s="20" t="n">
        <v>23.34</v>
      </c>
      <c r="D22" s="29" t="n">
        <f aca="false">C22-C21</f>
        <v>-1.16</v>
      </c>
      <c r="E22" s="20" t="n">
        <v>28.26</v>
      </c>
      <c r="F22" s="29" t="n">
        <f aca="false">E22-E21</f>
        <v>-1.09</v>
      </c>
      <c r="G22" s="20" t="n">
        <v>31.26</v>
      </c>
      <c r="H22" s="29" t="n">
        <f aca="false">G22-G21</f>
        <v>-3.78</v>
      </c>
      <c r="I22" s="20" t="n">
        <v>22.34</v>
      </c>
      <c r="J22" s="29" t="n">
        <f aca="false">I22-I21</f>
        <v>1.71</v>
      </c>
      <c r="K22" s="21"/>
      <c r="L22" s="23" t="n">
        <v>16451</v>
      </c>
      <c r="M22" s="24"/>
      <c r="N22" s="25" t="n">
        <v>0.527</v>
      </c>
      <c r="O22" s="24"/>
      <c r="P22" s="48" t="n">
        <f aca="false">47746/24</f>
        <v>1989.41666666667</v>
      </c>
      <c r="Q22" s="26"/>
      <c r="R22" s="48" t="n">
        <f aca="false">692656/24</f>
        <v>28860.6666666667</v>
      </c>
      <c r="S22" s="49" t="n">
        <f aca="false">R22-R21</f>
        <v>-438.125</v>
      </c>
      <c r="T22" s="27"/>
      <c r="U22" s="24"/>
      <c r="V22" s="28" t="s">
        <v>71</v>
      </c>
      <c r="W22" s="24"/>
      <c r="X22" s="23" t="n">
        <f aca="false">X21-S22</f>
        <v>6039.83333333333</v>
      </c>
    </row>
    <row r="23" customFormat="false" ht="12.75" hidden="false" customHeight="false" outlineLevel="0" collapsed="false">
      <c r="A23" s="32" t="n">
        <f aca="false">A22+1</f>
        <v>37207</v>
      </c>
      <c r="C23" s="33" t="n">
        <v>28.02</v>
      </c>
      <c r="D23" s="90" t="n">
        <f aca="false">C23-C22</f>
        <v>4.68</v>
      </c>
      <c r="E23" s="33" t="n">
        <v>33.77</v>
      </c>
      <c r="F23" s="90" t="n">
        <f aca="false">E23-E22</f>
        <v>5.51</v>
      </c>
      <c r="G23" s="44" t="n">
        <v>41.87</v>
      </c>
      <c r="H23" s="90" t="n">
        <f aca="false">G23-G22</f>
        <v>10.61</v>
      </c>
      <c r="I23" s="33" t="n">
        <v>27.93</v>
      </c>
      <c r="J23" s="90" t="n">
        <f aca="false">I23-I22</f>
        <v>5.59</v>
      </c>
      <c r="K23" s="45"/>
      <c r="L23" s="35" t="n">
        <v>19637</v>
      </c>
      <c r="M23" s="38"/>
      <c r="N23" s="37" t="n">
        <v>0.728</v>
      </c>
      <c r="O23" s="38"/>
      <c r="P23" s="46" t="n">
        <f aca="false">48036/24</f>
        <v>2001.5</v>
      </c>
      <c r="Q23" s="38"/>
      <c r="R23" s="46" t="n">
        <f aca="false">696480/24</f>
        <v>29020</v>
      </c>
      <c r="S23" s="47" t="n">
        <f aca="false">R23-R22</f>
        <v>159.333333333332</v>
      </c>
      <c r="T23" s="40"/>
      <c r="U23" s="38"/>
      <c r="V23" s="41" t="s">
        <v>76</v>
      </c>
      <c r="W23" s="38"/>
      <c r="X23" s="35" t="n">
        <f aca="false">X22-S23</f>
        <v>5880.5</v>
      </c>
    </row>
    <row r="24" customFormat="false" ht="12.75" hidden="false" customHeight="false" outlineLevel="0" collapsed="false">
      <c r="A24" s="32" t="n">
        <f aca="false">A23+1</f>
        <v>37208</v>
      </c>
      <c r="C24" s="44" t="n">
        <v>27.72</v>
      </c>
      <c r="D24" s="90" t="n">
        <f aca="false">C24-C23</f>
        <v>-0.300000000000001</v>
      </c>
      <c r="E24" s="44" t="n">
        <v>34.59</v>
      </c>
      <c r="F24" s="90" t="n">
        <f aca="false">E24-E23</f>
        <v>0.82</v>
      </c>
      <c r="G24" s="44" t="n">
        <v>40.67</v>
      </c>
      <c r="H24" s="90" t="n">
        <f aca="false">G24-G23</f>
        <v>-1.2</v>
      </c>
      <c r="I24" s="44" t="n">
        <v>26.31</v>
      </c>
      <c r="J24" s="90" t="n">
        <f aca="false">I24-I23</f>
        <v>-1.62</v>
      </c>
      <c r="K24" s="45"/>
      <c r="L24" s="35" t="n">
        <v>19541</v>
      </c>
      <c r="M24" s="38"/>
      <c r="N24" s="37" t="n">
        <v>0.662</v>
      </c>
      <c r="O24" s="38"/>
      <c r="P24" s="46" t="n">
        <f aca="false">44061/24</f>
        <v>1835.875</v>
      </c>
      <c r="Q24" s="39"/>
      <c r="R24" s="46" t="n">
        <f aca="false">716900/24</f>
        <v>29870.8333333333</v>
      </c>
      <c r="S24" s="47" t="n">
        <f aca="false">R24-R23</f>
        <v>850.833333333332</v>
      </c>
      <c r="T24" s="40"/>
      <c r="U24" s="38"/>
      <c r="V24" s="41" t="s">
        <v>77</v>
      </c>
      <c r="W24" s="38"/>
      <c r="X24" s="35" t="n">
        <f aca="false">X23-S24</f>
        <v>5029.66666666667</v>
      </c>
    </row>
    <row r="25" customFormat="false" ht="12.75" hidden="false" customHeight="false" outlineLevel="0" collapsed="false">
      <c r="A25" s="32" t="n">
        <f aca="false">A24+1</f>
        <v>37209</v>
      </c>
      <c r="C25" s="44" t="n">
        <v>27.32</v>
      </c>
      <c r="D25" s="90" t="n">
        <f aca="false">C25-C24</f>
        <v>-0.399999999999999</v>
      </c>
      <c r="E25" s="44" t="n">
        <v>33.14</v>
      </c>
      <c r="F25" s="90" t="n">
        <f aca="false">E25-E24</f>
        <v>-1.45</v>
      </c>
      <c r="G25" s="44" t="n">
        <v>40.44</v>
      </c>
      <c r="H25" s="90" t="n">
        <f aca="false">G25-G24</f>
        <v>-0.230000000000004</v>
      </c>
      <c r="I25" s="33" t="n">
        <v>25.69</v>
      </c>
      <c r="J25" s="90" t="n">
        <f aca="false">I25-I24</f>
        <v>-0.619999999999997</v>
      </c>
      <c r="K25" s="45"/>
      <c r="L25" s="35" t="n">
        <v>19369</v>
      </c>
      <c r="M25" s="38"/>
      <c r="N25" s="37" t="n">
        <v>0.681</v>
      </c>
      <c r="O25" s="38"/>
      <c r="P25" s="46" t="n">
        <f aca="false">42825/24</f>
        <v>1784.375</v>
      </c>
      <c r="Q25" s="39"/>
      <c r="R25" s="46" t="n">
        <f aca="false">697802/24</f>
        <v>29075.0833333333</v>
      </c>
      <c r="S25" s="47" t="n">
        <f aca="false">R25-R24</f>
        <v>-795.75</v>
      </c>
      <c r="T25" s="40"/>
      <c r="U25" s="38"/>
      <c r="V25" s="41" t="s">
        <v>78</v>
      </c>
      <c r="W25" s="38"/>
      <c r="X25" s="35" t="n">
        <f aca="false">X24-S25</f>
        <v>5825.41666666667</v>
      </c>
    </row>
    <row r="26" customFormat="false" ht="12.75" hidden="false" customHeight="false" outlineLevel="0" collapsed="false">
      <c r="A26" s="32" t="n">
        <f aca="false">A25+1</f>
        <v>37210</v>
      </c>
      <c r="C26" s="33" t="n">
        <v>26.4</v>
      </c>
      <c r="D26" s="90" t="n">
        <f aca="false">C26-C25</f>
        <v>-0.920000000000002</v>
      </c>
      <c r="E26" s="44" t="n">
        <v>34.09</v>
      </c>
      <c r="F26" s="90" t="n">
        <f aca="false">E26-E25</f>
        <v>0.950000000000003</v>
      </c>
      <c r="G26" s="44" t="n">
        <v>40.32</v>
      </c>
      <c r="H26" s="90" t="n">
        <f aca="false">G26-G25</f>
        <v>-0.119999999999997</v>
      </c>
      <c r="I26" s="44" t="n">
        <v>24.79</v>
      </c>
      <c r="J26" s="90" t="n">
        <f aca="false">I26-I25</f>
        <v>-0.900000000000002</v>
      </c>
      <c r="K26" s="45"/>
      <c r="L26" s="35" t="n">
        <v>19332</v>
      </c>
      <c r="M26" s="38"/>
      <c r="N26" s="37" t="n">
        <v>0.659</v>
      </c>
      <c r="O26" s="38"/>
      <c r="P26" s="46" t="n">
        <f aca="false">42083/24</f>
        <v>1753.45833333333</v>
      </c>
      <c r="Q26" s="39"/>
      <c r="R26" s="46" t="n">
        <f aca="false">694698/24</f>
        <v>28945.75</v>
      </c>
      <c r="S26" s="47" t="n">
        <f aca="false">R26-R25</f>
        <v>-129.333333333332</v>
      </c>
      <c r="T26" s="40"/>
      <c r="U26" s="38"/>
      <c r="V26" s="41" t="s">
        <v>79</v>
      </c>
      <c r="W26" s="38"/>
      <c r="X26" s="35" t="n">
        <f aca="false">X25-S26</f>
        <v>5954.75</v>
      </c>
    </row>
    <row r="27" customFormat="false" ht="12.75" hidden="false" customHeight="false" outlineLevel="0" collapsed="false">
      <c r="A27" s="32" t="n">
        <f aca="false">A26+1</f>
        <v>37211</v>
      </c>
      <c r="C27" s="44" t="n">
        <v>25.57</v>
      </c>
      <c r="D27" s="90" t="n">
        <f aca="false">C27-C26</f>
        <v>-0.829999999999998</v>
      </c>
      <c r="E27" s="44" t="n">
        <v>32.78</v>
      </c>
      <c r="F27" s="90" t="n">
        <f aca="false">E27-E26</f>
        <v>-1.31</v>
      </c>
      <c r="G27" s="44" t="n">
        <v>46.99</v>
      </c>
      <c r="H27" s="90" t="n">
        <f aca="false">G27-G26</f>
        <v>6.67</v>
      </c>
      <c r="I27" s="44" t="n">
        <v>29.49</v>
      </c>
      <c r="J27" s="90" t="n">
        <f aca="false">I27-I26</f>
        <v>4.7</v>
      </c>
      <c r="K27" s="45"/>
      <c r="L27" s="35" t="n">
        <v>18986</v>
      </c>
      <c r="M27" s="38"/>
      <c r="N27" s="37" t="n">
        <v>0.639</v>
      </c>
      <c r="O27" s="38"/>
      <c r="P27" s="46" t="n">
        <f aca="false">42487/24</f>
        <v>1770.29166666667</v>
      </c>
      <c r="Q27" s="39"/>
      <c r="R27" s="46" t="n">
        <f aca="false">678248/24</f>
        <v>28260.3333333333</v>
      </c>
      <c r="S27" s="47" t="n">
        <f aca="false">R27-R26</f>
        <v>-685.416666666668</v>
      </c>
      <c r="T27" s="40"/>
      <c r="U27" s="38"/>
      <c r="V27" s="41" t="s">
        <v>80</v>
      </c>
      <c r="W27" s="38"/>
      <c r="X27" s="35" t="n">
        <f aca="false">X26-S27</f>
        <v>6640.16666666667</v>
      </c>
    </row>
    <row r="28" customFormat="false" ht="12.75" hidden="false" customHeight="false" outlineLevel="0" collapsed="false">
      <c r="A28" s="42" t="n">
        <f aca="false">A27+1</f>
        <v>37212</v>
      </c>
      <c r="B28" s="19"/>
      <c r="C28" s="20" t="n">
        <v>24.02</v>
      </c>
      <c r="D28" s="29" t="n">
        <f aca="false">C28-C27</f>
        <v>-1.55</v>
      </c>
      <c r="E28" s="30" t="n">
        <v>29.92</v>
      </c>
      <c r="F28" s="29" t="n">
        <f aca="false">E28-E27</f>
        <v>-2.86</v>
      </c>
      <c r="G28" s="20" t="n">
        <v>32.82</v>
      </c>
      <c r="H28" s="29" t="n">
        <f aca="false">G28-G27</f>
        <v>-14.17</v>
      </c>
      <c r="I28" s="20" t="n">
        <v>21.45</v>
      </c>
      <c r="J28" s="29" t="n">
        <f aca="false">I28-I27</f>
        <v>-8.04</v>
      </c>
      <c r="K28" s="21"/>
      <c r="L28" s="23" t="n">
        <v>16801</v>
      </c>
      <c r="M28" s="24"/>
      <c r="N28" s="27" t="n">
        <v>0.552</v>
      </c>
      <c r="O28" s="24"/>
      <c r="P28" s="48" t="n">
        <f aca="false">47081/24</f>
        <v>1961.70833333333</v>
      </c>
      <c r="Q28" s="26"/>
      <c r="R28" s="48" t="n">
        <f aca="false">667254/24</f>
        <v>27802.25</v>
      </c>
      <c r="S28" s="49" t="n">
        <f aca="false">R28-R27</f>
        <v>-458.083333333332</v>
      </c>
      <c r="T28" s="27"/>
      <c r="U28" s="24"/>
      <c r="V28" s="28" t="s">
        <v>79</v>
      </c>
      <c r="W28" s="24"/>
      <c r="X28" s="23" t="n">
        <f aca="false">X27-S28</f>
        <v>7098.25</v>
      </c>
    </row>
    <row r="29" customFormat="false" ht="12.75" hidden="false" customHeight="false" outlineLevel="0" collapsed="false">
      <c r="A29" s="42" t="n">
        <f aca="false">A28+1</f>
        <v>37213</v>
      </c>
      <c r="B29" s="19"/>
      <c r="C29" s="30" t="n">
        <v>22.54</v>
      </c>
      <c r="D29" s="29" t="n">
        <f aca="false">C29-C28</f>
        <v>-1.48</v>
      </c>
      <c r="E29" s="20" t="n">
        <v>26.35</v>
      </c>
      <c r="F29" s="29" t="n">
        <f aca="false">E29-E28</f>
        <v>-3.57</v>
      </c>
      <c r="G29" s="20" t="n">
        <v>29.67</v>
      </c>
      <c r="H29" s="29" t="n">
        <f aca="false">G29-G28</f>
        <v>-3.15</v>
      </c>
      <c r="I29" s="30" t="n">
        <v>18.76</v>
      </c>
      <c r="J29" s="29" t="n">
        <f aca="false">I29-I28</f>
        <v>-2.69</v>
      </c>
      <c r="K29" s="21"/>
      <c r="L29" s="23" t="n">
        <v>16319</v>
      </c>
      <c r="M29" s="24"/>
      <c r="N29" s="27" t="n">
        <v>0.405</v>
      </c>
      <c r="O29" s="24"/>
      <c r="P29" s="48" t="n">
        <v>1803</v>
      </c>
      <c r="Q29" s="26"/>
      <c r="R29" s="48" t="n">
        <v>28775</v>
      </c>
      <c r="S29" s="49" t="n">
        <f aca="false">R29-R28</f>
        <v>972.75</v>
      </c>
      <c r="T29" s="27"/>
      <c r="U29" s="24"/>
      <c r="V29" s="28" t="s">
        <v>81</v>
      </c>
      <c r="W29" s="24"/>
      <c r="X29" s="23" t="n">
        <f aca="false">X28-S29</f>
        <v>6125.5</v>
      </c>
    </row>
    <row r="30" customFormat="false" ht="12.75" hidden="false" customHeight="false" outlineLevel="0" collapsed="false">
      <c r="A30" s="32" t="n">
        <f aca="false">A29+1</f>
        <v>37214</v>
      </c>
      <c r="C30" s="44" t="n">
        <v>24.52</v>
      </c>
      <c r="D30" s="90" t="n">
        <f aca="false">C30-C29</f>
        <v>1.98</v>
      </c>
      <c r="E30" s="44" t="n">
        <v>28.65</v>
      </c>
      <c r="F30" s="90" t="n">
        <f aca="false">E30-E29</f>
        <v>2.3</v>
      </c>
      <c r="G30" s="44" t="n">
        <v>31.82</v>
      </c>
      <c r="H30" s="90" t="n">
        <f aca="false">G30-G29</f>
        <v>2.15</v>
      </c>
      <c r="I30" s="44" t="n">
        <v>25.16</v>
      </c>
      <c r="J30" s="90" t="n">
        <f aca="false">I30-I29</f>
        <v>6.4</v>
      </c>
      <c r="K30" s="45"/>
      <c r="L30" s="35" t="n">
        <v>19353</v>
      </c>
      <c r="M30" s="38"/>
      <c r="N30" s="40" t="n">
        <v>0.403</v>
      </c>
      <c r="O30" s="38"/>
      <c r="P30" s="46" t="n">
        <v>1548</v>
      </c>
      <c r="Q30" s="39"/>
      <c r="R30" s="46" t="n">
        <v>29950</v>
      </c>
      <c r="S30" s="47" t="n">
        <f aca="false">R30-R29</f>
        <v>1175</v>
      </c>
      <c r="T30" s="40"/>
      <c r="U30" s="38"/>
      <c r="V30" s="41" t="s">
        <v>82</v>
      </c>
      <c r="W30" s="38"/>
      <c r="X30" s="91" t="n">
        <f aca="false">X29-S30</f>
        <v>4950.5</v>
      </c>
    </row>
    <row r="31" customFormat="false" ht="12.75" hidden="false" customHeight="false" outlineLevel="0" collapsed="false">
      <c r="A31" s="32" t="n">
        <f aca="false">A30+1</f>
        <v>37215</v>
      </c>
      <c r="C31" s="44" t="n">
        <v>25.35</v>
      </c>
      <c r="D31" s="90" t="n">
        <f aca="false">C31-C30</f>
        <v>0.830000000000002</v>
      </c>
      <c r="E31" s="44" t="n">
        <v>29.37</v>
      </c>
      <c r="F31" s="90" t="n">
        <f aca="false">E31-E30</f>
        <v>0.720000000000002</v>
      </c>
      <c r="G31" s="44" t="n">
        <v>32.06</v>
      </c>
      <c r="H31" s="90" t="n">
        <f aca="false">G31-G30</f>
        <v>0.240000000000002</v>
      </c>
      <c r="I31" s="33" t="n">
        <v>26.15</v>
      </c>
      <c r="J31" s="90" t="n">
        <f aca="false">I31-I30</f>
        <v>0.989999999999998</v>
      </c>
      <c r="K31" s="45"/>
      <c r="L31" s="35" t="n">
        <v>19562</v>
      </c>
      <c r="M31" s="38"/>
      <c r="N31" s="40" t="n">
        <v>0.384</v>
      </c>
      <c r="O31" s="38"/>
      <c r="P31" s="46" t="n">
        <f aca="false">31823/24</f>
        <v>1325.95833333333</v>
      </c>
      <c r="Q31" s="39"/>
      <c r="R31" s="46" t="n">
        <f aca="false">725610/24</f>
        <v>30233.75</v>
      </c>
      <c r="S31" s="47" t="n">
        <f aca="false">R31-R30</f>
        <v>283.75</v>
      </c>
      <c r="T31" s="40"/>
      <c r="U31" s="38"/>
      <c r="V31" s="41" t="s">
        <v>83</v>
      </c>
      <c r="W31" s="38"/>
      <c r="X31" s="35" t="n">
        <f aca="false">X30-S31</f>
        <v>4666.75</v>
      </c>
    </row>
    <row r="32" customFormat="false" ht="12.75" hidden="false" customHeight="false" outlineLevel="0" collapsed="false">
      <c r="A32" s="32" t="n">
        <f aca="false">A31+1</f>
        <v>37216</v>
      </c>
      <c r="C32" s="44" t="n">
        <v>24.67</v>
      </c>
      <c r="D32" s="90" t="n">
        <f aca="false">C32-C31</f>
        <v>-0.68</v>
      </c>
      <c r="E32" s="44" t="n">
        <v>31.13</v>
      </c>
      <c r="F32" s="90" t="n">
        <f aca="false">E32-E31</f>
        <v>1.76</v>
      </c>
      <c r="G32" s="44" t="n">
        <v>32.45</v>
      </c>
      <c r="H32" s="90" t="n">
        <f aca="false">G32-G31</f>
        <v>0.390000000000001</v>
      </c>
      <c r="I32" s="33" t="n">
        <v>24.11</v>
      </c>
      <c r="J32" s="90" t="n">
        <f aca="false">I32-I31</f>
        <v>-2.04</v>
      </c>
      <c r="K32" s="45"/>
      <c r="L32" s="35" t="n">
        <v>19343</v>
      </c>
      <c r="M32" s="38"/>
      <c r="N32" s="40" t="n">
        <v>0.479</v>
      </c>
      <c r="O32" s="38"/>
      <c r="P32" s="46" t="n">
        <f aca="false">37576/24</f>
        <v>1565.66666666667</v>
      </c>
      <c r="Q32" s="39"/>
      <c r="R32" s="46" t="n">
        <f aca="false">733797/24</f>
        <v>30574.875</v>
      </c>
      <c r="S32" s="47" t="n">
        <f aca="false">R32-R31</f>
        <v>341.125</v>
      </c>
      <c r="T32" s="40"/>
      <c r="U32" s="38"/>
      <c r="V32" s="41" t="s">
        <v>84</v>
      </c>
      <c r="W32" s="38"/>
      <c r="X32" s="35" t="n">
        <f aca="false">X31-S32</f>
        <v>4325.625</v>
      </c>
    </row>
    <row r="33" customFormat="false" ht="12.75" hidden="false" customHeight="false" outlineLevel="0" collapsed="false">
      <c r="A33" s="32" t="n">
        <f aca="false">A32+1</f>
        <v>37217</v>
      </c>
      <c r="C33" s="44" t="n">
        <v>21.28</v>
      </c>
      <c r="D33" s="90" t="n">
        <f aca="false">C33-C32</f>
        <v>-3.39</v>
      </c>
      <c r="E33" s="44" t="n">
        <v>25.71</v>
      </c>
      <c r="F33" s="90" t="n">
        <f aca="false">E33-E32</f>
        <v>-5.42</v>
      </c>
      <c r="G33" s="44" t="n">
        <v>26.19</v>
      </c>
      <c r="H33" s="90" t="n">
        <f aca="false">G33-G32</f>
        <v>-6.26</v>
      </c>
      <c r="I33" s="44" t="n">
        <v>17.33</v>
      </c>
      <c r="J33" s="90" t="n">
        <f aca="false">I33-I32</f>
        <v>-6.78</v>
      </c>
      <c r="K33" s="45"/>
      <c r="L33" s="35" t="n">
        <v>16010</v>
      </c>
      <c r="M33" s="38"/>
      <c r="N33" s="40" t="n">
        <v>0.393</v>
      </c>
      <c r="O33" s="38"/>
      <c r="P33" s="46" t="n">
        <f aca="false">42835/24</f>
        <v>1784.79166666667</v>
      </c>
      <c r="Q33" s="38"/>
      <c r="R33" s="46" t="n">
        <f aca="false">741212/24</f>
        <v>30883.8333333333</v>
      </c>
      <c r="S33" s="47" t="n">
        <f aca="false">R33-R32</f>
        <v>308.958333333332</v>
      </c>
      <c r="T33" s="38"/>
      <c r="U33" s="38"/>
      <c r="V33" s="41" t="s">
        <v>85</v>
      </c>
      <c r="W33" s="38"/>
      <c r="X33" s="61" t="n">
        <f aca="false">X32-S33</f>
        <v>4016.66666666667</v>
      </c>
    </row>
    <row r="34" customFormat="false" ht="12.75" hidden="false" customHeight="false" outlineLevel="0" collapsed="false">
      <c r="A34" s="32" t="n">
        <f aca="false">A33+1</f>
        <v>37218</v>
      </c>
      <c r="C34" s="44" t="n">
        <v>21.62</v>
      </c>
      <c r="D34" s="90" t="n">
        <f aca="false">C34-C33</f>
        <v>0.34</v>
      </c>
      <c r="E34" s="33" t="n">
        <v>26.43</v>
      </c>
      <c r="F34" s="90" t="n">
        <f aca="false">E34-E33</f>
        <v>0.719999999999999</v>
      </c>
      <c r="G34" s="44" t="n">
        <v>28.05</v>
      </c>
      <c r="H34" s="90" t="n">
        <f aca="false">G34-G33</f>
        <v>1.86</v>
      </c>
      <c r="I34" s="44" t="n">
        <v>20.19</v>
      </c>
      <c r="J34" s="90" t="n">
        <f aca="false">I34-I33</f>
        <v>2.86</v>
      </c>
      <c r="K34" s="45"/>
      <c r="L34" s="35" t="n">
        <v>17104</v>
      </c>
      <c r="M34" s="38"/>
      <c r="N34" s="40" t="n">
        <v>0.646</v>
      </c>
      <c r="O34" s="38"/>
      <c r="P34" s="46" t="n">
        <f aca="false">48560/24</f>
        <v>2023.33333333333</v>
      </c>
      <c r="Q34" s="38"/>
      <c r="R34" s="46" t="n">
        <f aca="false">724872/24</f>
        <v>30203</v>
      </c>
      <c r="S34" s="47" t="n">
        <f aca="false">R34-R33</f>
        <v>-680.833333333332</v>
      </c>
      <c r="T34" s="38"/>
      <c r="U34" s="38"/>
      <c r="V34" s="41" t="s">
        <v>86</v>
      </c>
      <c r="W34" s="38"/>
      <c r="X34" s="61" t="n">
        <f aca="false">X33-S34</f>
        <v>4697.5</v>
      </c>
    </row>
    <row r="35" customFormat="false" ht="12.75" hidden="false" customHeight="false" outlineLevel="0" collapsed="false">
      <c r="A35" s="42" t="n">
        <f aca="false">A34+1</f>
        <v>37219</v>
      </c>
      <c r="B35" s="19"/>
      <c r="C35" s="20" t="n">
        <v>21.73</v>
      </c>
      <c r="D35" s="29" t="n">
        <f aca="false">C35-C34</f>
        <v>0.109999999999999</v>
      </c>
      <c r="E35" s="20" t="n">
        <v>26.06</v>
      </c>
      <c r="F35" s="29" t="n">
        <f aca="false">E35-E34</f>
        <v>-0.370000000000001</v>
      </c>
      <c r="G35" s="30" t="n">
        <v>27.8</v>
      </c>
      <c r="H35" s="29" t="n">
        <f aca="false">G35-G34</f>
        <v>-0.25</v>
      </c>
      <c r="I35" s="20" t="n">
        <v>17.03</v>
      </c>
      <c r="J35" s="29" t="n">
        <f aca="false">I35-I34</f>
        <v>-3.16</v>
      </c>
      <c r="K35" s="21"/>
      <c r="L35" s="23" t="n">
        <v>16239</v>
      </c>
      <c r="M35" s="24"/>
      <c r="N35" s="27" t="n">
        <v>0.532</v>
      </c>
      <c r="O35" s="24"/>
      <c r="P35" s="48" t="n">
        <f aca="false">45287/24</f>
        <v>1886.95833333333</v>
      </c>
      <c r="Q35" s="24"/>
      <c r="R35" s="48" t="n">
        <f aca="false">721224/24</f>
        <v>30051</v>
      </c>
      <c r="S35" s="49" t="n">
        <f aca="false">R35-R34</f>
        <v>-152</v>
      </c>
      <c r="T35" s="24"/>
      <c r="U35" s="24"/>
      <c r="V35" s="28" t="s">
        <v>87</v>
      </c>
      <c r="W35" s="24"/>
      <c r="X35" s="49" t="n">
        <f aca="false">X34-S35</f>
        <v>4849.5</v>
      </c>
    </row>
    <row r="36" customFormat="false" ht="12.75" hidden="false" customHeight="false" outlineLevel="0" collapsed="false">
      <c r="A36" s="42" t="n">
        <f aca="false">A35+1</f>
        <v>37220</v>
      </c>
      <c r="B36" s="19"/>
      <c r="C36" s="30" t="n">
        <v>21.3</v>
      </c>
      <c r="D36" s="29" t="n">
        <f aca="false">C36-C35</f>
        <v>-0.43</v>
      </c>
      <c r="E36" s="20" t="n">
        <v>25.51</v>
      </c>
      <c r="F36" s="29" t="n">
        <f aca="false">E36-E35</f>
        <v>-0.549999999999997</v>
      </c>
      <c r="G36" s="30" t="n">
        <v>26.07</v>
      </c>
      <c r="H36" s="29" t="n">
        <f aca="false">G36-G35</f>
        <v>-1.73</v>
      </c>
      <c r="I36" s="20" t="n">
        <v>16.38</v>
      </c>
      <c r="J36" s="29" t="n">
        <f aca="false">I36-I35</f>
        <v>-0.650000000000002</v>
      </c>
      <c r="K36" s="21"/>
      <c r="L36" s="23" t="n">
        <v>16517</v>
      </c>
      <c r="M36" s="24"/>
      <c r="N36" s="27" t="n">
        <v>0.503</v>
      </c>
      <c r="O36" s="24"/>
      <c r="P36" s="48" t="n">
        <f aca="false">46702/24</f>
        <v>1945.91666666667</v>
      </c>
      <c r="Q36" s="24"/>
      <c r="R36" s="48" t="n">
        <f aca="false">715554/24</f>
        <v>29814.75</v>
      </c>
      <c r="S36" s="49" t="n">
        <f aca="false">R36-R35</f>
        <v>-236.25</v>
      </c>
      <c r="T36" s="24"/>
      <c r="U36" s="24"/>
      <c r="V36" s="28" t="s">
        <v>88</v>
      </c>
      <c r="W36" s="24"/>
      <c r="X36" s="49" t="n">
        <f aca="false">X35-S36</f>
        <v>5085.75</v>
      </c>
    </row>
    <row r="37" customFormat="false" ht="12.75" hidden="false" customHeight="false" outlineLevel="0" collapsed="false">
      <c r="A37" s="32" t="n">
        <f aca="false">A36+1</f>
        <v>37221</v>
      </c>
      <c r="C37" s="44" t="n">
        <v>27.85</v>
      </c>
      <c r="D37" s="90" t="n">
        <f aca="false">C37-C36</f>
        <v>6.55</v>
      </c>
      <c r="E37" s="44" t="n">
        <v>33.31</v>
      </c>
      <c r="F37" s="90" t="n">
        <f aca="false">E37-E36</f>
        <v>7.8</v>
      </c>
      <c r="G37" s="44" t="n">
        <v>35.25</v>
      </c>
      <c r="H37" s="90" t="n">
        <f aca="false">G37-G36</f>
        <v>9.18</v>
      </c>
      <c r="I37" s="44" t="n">
        <v>25.03</v>
      </c>
      <c r="J37" s="90" t="n">
        <f aca="false">I37-I36</f>
        <v>8.65</v>
      </c>
      <c r="K37" s="45"/>
      <c r="L37" s="35" t="n">
        <v>19263</v>
      </c>
      <c r="M37" s="38"/>
      <c r="N37" s="40" t="n">
        <v>0.663</v>
      </c>
      <c r="O37" s="38"/>
      <c r="P37" s="46" t="n">
        <f aca="false">40679/24</f>
        <v>1694.95833333333</v>
      </c>
      <c r="Q37" s="38"/>
      <c r="R37" s="46" t="n">
        <f aca="false">707389/24</f>
        <v>29474.5416666667</v>
      </c>
      <c r="S37" s="47" t="n">
        <f aca="false">R37-R36</f>
        <v>-340.208333333332</v>
      </c>
      <c r="T37" s="38"/>
      <c r="U37" s="38"/>
      <c r="V37" s="41" t="s">
        <v>89</v>
      </c>
      <c r="W37" s="38"/>
      <c r="X37" s="61" t="n">
        <f aca="false">X36-S37</f>
        <v>5425.95833333333</v>
      </c>
    </row>
    <row r="38" customFormat="false" ht="12.75" hidden="false" customHeight="false" outlineLevel="0" collapsed="false">
      <c r="A38" s="32" t="n">
        <f aca="false">A37+1</f>
        <v>37222</v>
      </c>
      <c r="C38" s="44" t="n">
        <v>26.16</v>
      </c>
      <c r="D38" s="90" t="n">
        <f aca="false">C38-C37</f>
        <v>-1.69</v>
      </c>
      <c r="E38" s="44" t="n">
        <v>32.49</v>
      </c>
      <c r="F38" s="90" t="n">
        <f aca="false">E38-E37</f>
        <v>-0.82</v>
      </c>
      <c r="G38" s="44" t="n">
        <v>33.65</v>
      </c>
      <c r="H38" s="90" t="n">
        <f aca="false">G38-G37</f>
        <v>-1.6</v>
      </c>
      <c r="I38" s="44" t="n">
        <v>22.44</v>
      </c>
      <c r="J38" s="90" t="n">
        <f aca="false">I38-I37</f>
        <v>-2.59</v>
      </c>
      <c r="K38" s="45"/>
      <c r="L38" s="35" t="n">
        <v>19278</v>
      </c>
      <c r="M38" s="38"/>
      <c r="N38" s="40" t="n">
        <v>0.596</v>
      </c>
      <c r="O38" s="38"/>
      <c r="P38" s="46" t="n">
        <f aca="false">41082/24</f>
        <v>1711.75</v>
      </c>
      <c r="Q38" s="38"/>
      <c r="R38" s="46" t="n">
        <f aca="false">713323/24</f>
        <v>29721.7916666667</v>
      </c>
      <c r="S38" s="47" t="n">
        <f aca="false">R38-R37</f>
        <v>247.25</v>
      </c>
      <c r="T38" s="38"/>
      <c r="U38" s="38"/>
      <c r="V38" s="41" t="s">
        <v>90</v>
      </c>
      <c r="W38" s="38"/>
      <c r="X38" s="61" t="n">
        <f aca="false">X37-S38</f>
        <v>5178.70833333333</v>
      </c>
    </row>
    <row r="39" customFormat="false" ht="12.75" hidden="false" customHeight="false" outlineLevel="0" collapsed="false">
      <c r="A39" s="32" t="n">
        <f aca="false">A38+1</f>
        <v>37223</v>
      </c>
      <c r="C39" s="69" t="n">
        <v>22.4</v>
      </c>
      <c r="D39" s="90" t="n">
        <f aca="false">C39-C38</f>
        <v>-3.76</v>
      </c>
      <c r="E39" s="51" t="n">
        <v>27.37</v>
      </c>
      <c r="F39" s="90" t="n">
        <f aca="false">E39-E38</f>
        <v>-5.12</v>
      </c>
      <c r="G39" s="51" t="n">
        <v>29.68</v>
      </c>
      <c r="H39" s="90" t="n">
        <f aca="false">G39-G38</f>
        <v>-3.97</v>
      </c>
      <c r="I39" s="51" t="n">
        <v>26.72</v>
      </c>
      <c r="J39" s="90" t="n">
        <f aca="false">I39-I38</f>
        <v>4.28</v>
      </c>
      <c r="K39" s="53"/>
      <c r="L39" s="35" t="n">
        <v>19299</v>
      </c>
      <c r="M39" s="55"/>
      <c r="N39" s="40" t="n">
        <v>0.626</v>
      </c>
      <c r="O39" s="55"/>
      <c r="P39" s="46" t="n">
        <f aca="false">51776/24</f>
        <v>2157.33333333333</v>
      </c>
      <c r="Q39" s="55"/>
      <c r="R39" s="46" t="n">
        <f aca="false">711932/24</f>
        <v>29663.8333333333</v>
      </c>
      <c r="S39" s="47" t="n">
        <f aca="false">R39-R38</f>
        <v>-57.9583333333358</v>
      </c>
      <c r="T39" s="38"/>
      <c r="U39" s="38"/>
      <c r="V39" s="41" t="s">
        <v>91</v>
      </c>
      <c r="W39" s="38"/>
      <c r="X39" s="61" t="n">
        <f aca="false">X38-S39</f>
        <v>5236.66666666667</v>
      </c>
    </row>
    <row r="40" customFormat="false" ht="12.75" hidden="false" customHeight="false" outlineLevel="0" collapsed="false">
      <c r="A40" s="32" t="n">
        <f aca="false">A39+1</f>
        <v>37224</v>
      </c>
      <c r="C40" s="69" t="n">
        <v>26</v>
      </c>
      <c r="D40" s="90" t="n">
        <f aca="false">C40-C39</f>
        <v>3.6</v>
      </c>
      <c r="E40" s="51" t="n">
        <v>30.97</v>
      </c>
      <c r="F40" s="90" t="n">
        <f aca="false">E40-E39</f>
        <v>3.6</v>
      </c>
      <c r="G40" s="51" t="n">
        <v>34.54</v>
      </c>
      <c r="H40" s="90" t="n">
        <f aca="false">G40-G39</f>
        <v>4.86</v>
      </c>
      <c r="I40" s="51"/>
      <c r="J40" s="52"/>
      <c r="K40" s="53"/>
      <c r="L40" s="35" t="n">
        <v>19296</v>
      </c>
      <c r="M40" s="55"/>
      <c r="N40" s="40" t="n">
        <v>0.495</v>
      </c>
      <c r="O40" s="55"/>
      <c r="P40" s="46" t="n">
        <f aca="false">34219/24</f>
        <v>1425.79166666667</v>
      </c>
      <c r="Q40" s="55"/>
      <c r="R40" s="46" t="n">
        <f aca="false">708649/24</f>
        <v>29527.0416666667</v>
      </c>
      <c r="S40" s="47" t="n">
        <f aca="false">R40-R39</f>
        <v>-136.791666666664</v>
      </c>
      <c r="T40" s="38"/>
      <c r="U40" s="38"/>
      <c r="V40" s="41" t="s">
        <v>92</v>
      </c>
      <c r="W40" s="38"/>
      <c r="X40" s="61" t="n">
        <f aca="false">X39-S40</f>
        <v>5373.45833333333</v>
      </c>
    </row>
    <row r="41" customFormat="false" ht="12.75" hidden="false" customHeight="false" outlineLevel="0" collapsed="false">
      <c r="A41" s="32" t="n">
        <f aca="false">A40+1</f>
        <v>37225</v>
      </c>
      <c r="C41" s="51" t="n">
        <v>22.72</v>
      </c>
      <c r="D41" s="90" t="n">
        <f aca="false">C41-C40</f>
        <v>-3.28</v>
      </c>
      <c r="E41" s="51" t="n">
        <v>30.65</v>
      </c>
      <c r="F41" s="90" t="n">
        <f aca="false">E41-E40</f>
        <v>-0.32</v>
      </c>
      <c r="G41" s="51" t="n">
        <v>32.73</v>
      </c>
      <c r="H41" s="90" t="n">
        <f aca="false">G41-G40</f>
        <v>-1.81</v>
      </c>
      <c r="I41" s="51"/>
      <c r="J41" s="52"/>
      <c r="K41" s="53"/>
      <c r="L41" s="35" t="n">
        <v>18945</v>
      </c>
      <c r="M41" s="55"/>
      <c r="N41" s="40" t="n">
        <v>0.592</v>
      </c>
      <c r="O41" s="55"/>
      <c r="P41" s="46" t="n">
        <f aca="false">45825/24</f>
        <v>1909.375</v>
      </c>
      <c r="Q41" s="56"/>
      <c r="R41" s="92" t="n">
        <f aca="false">720969/24</f>
        <v>30040.375</v>
      </c>
      <c r="S41" s="47" t="n">
        <f aca="false">R41-R40</f>
        <v>513.333333333332</v>
      </c>
      <c r="T41" s="38"/>
      <c r="U41" s="38"/>
      <c r="V41" s="41" t="s">
        <v>93</v>
      </c>
      <c r="W41" s="38"/>
      <c r="X41" s="61" t="n">
        <f aca="false">X40-S41</f>
        <v>4860.125</v>
      </c>
    </row>
    <row r="42" customFormat="false" ht="13.5" hidden="false" customHeight="false" outlineLevel="0" collapsed="false">
      <c r="A42" s="32"/>
      <c r="C42" s="57"/>
      <c r="D42" s="58"/>
      <c r="E42" s="57"/>
      <c r="F42" s="58"/>
      <c r="G42" s="57"/>
      <c r="H42" s="58"/>
      <c r="I42" s="57"/>
      <c r="J42" s="59"/>
      <c r="K42" s="58"/>
      <c r="L42" s="60"/>
      <c r="M42" s="60"/>
      <c r="N42" s="60"/>
      <c r="O42" s="60"/>
      <c r="P42" s="60"/>
      <c r="Q42" s="55"/>
      <c r="R42" s="38"/>
      <c r="S42" s="38"/>
      <c r="T42" s="38"/>
      <c r="U42" s="38"/>
      <c r="V42" s="38"/>
      <c r="W42" s="38"/>
      <c r="X42" s="38"/>
    </row>
    <row r="43" customFormat="false" ht="12.75" hidden="false" customHeight="false" outlineLevel="0" collapsed="false">
      <c r="A43" s="62" t="s">
        <v>58</v>
      </c>
      <c r="B43" s="63"/>
      <c r="C43" s="64" t="n">
        <f aca="false">AVERAGE(C9:C13)</f>
        <v>33.768</v>
      </c>
      <c r="D43" s="64" t="n">
        <f aca="false">AVERAGE(D9:D13)</f>
        <v>-0.595000000000001</v>
      </c>
      <c r="E43" s="64" t="n">
        <f aca="false">AVERAGE(E9:E13)</f>
        <v>40.388</v>
      </c>
      <c r="F43" s="64" t="n">
        <f aca="false">AVERAGE(F9:F13)</f>
        <v>0.387499999999999</v>
      </c>
      <c r="G43" s="64" t="n">
        <f aca="false">AVERAGE(G9:G13)</f>
        <v>42.204</v>
      </c>
      <c r="H43" s="64" t="n">
        <f aca="false">AVERAGE(H9:H13)</f>
        <v>-0.6875</v>
      </c>
      <c r="I43" s="64" t="n">
        <f aca="false">AVERAGE(I9:I13)</f>
        <v>25.318</v>
      </c>
      <c r="J43" s="64" t="n">
        <f aca="false">AVERAGE(J9:J13)</f>
        <v>-2.7725</v>
      </c>
      <c r="K43" s="64"/>
      <c r="L43" s="65" t="n">
        <f aca="false">AVERAGE(L9:L13)</f>
        <v>19390.6</v>
      </c>
      <c r="M43" s="64"/>
      <c r="N43" s="66" t="n">
        <f aca="false">AVERAGE(N9:N13)</f>
        <v>0.6156</v>
      </c>
      <c r="O43" s="64"/>
      <c r="P43" s="65" t="n">
        <f aca="false">AVERAGE(P9:P13)</f>
        <v>1142.03333333333</v>
      </c>
      <c r="Q43" s="65"/>
      <c r="R43" s="65" t="n">
        <f aca="false">AVERAGE(R9:R13)</f>
        <v>27560.575</v>
      </c>
      <c r="S43" s="65" t="n">
        <f aca="false">AVERAGE(S9:S13)</f>
        <v>-303.875</v>
      </c>
      <c r="T43" s="38"/>
      <c r="U43" s="38"/>
      <c r="V43" s="38"/>
      <c r="W43" s="38"/>
      <c r="X43" s="38"/>
    </row>
    <row r="44" customFormat="false" ht="12.75" hidden="false" customHeight="false" outlineLevel="0" collapsed="false">
      <c r="A44" s="67" t="s">
        <v>59</v>
      </c>
      <c r="B44" s="68"/>
      <c r="C44" s="69" t="n">
        <f aca="false">AVERAGE(C16:C20)</f>
        <v>29.456</v>
      </c>
      <c r="D44" s="69" t="n">
        <f aca="false">AVERAGE(D16:D20)</f>
        <v>0.0479999999999997</v>
      </c>
      <c r="E44" s="69" t="n">
        <f aca="false">AVERAGE(E16:E20)</f>
        <v>35.806</v>
      </c>
      <c r="F44" s="69" t="n">
        <f aca="false">AVERAGE(F16:F20)</f>
        <v>0.12</v>
      </c>
      <c r="G44" s="69" t="n">
        <f aca="false">AVERAGE(G16:G20)</f>
        <v>38.456</v>
      </c>
      <c r="H44" s="69" t="n">
        <f aca="false">AVERAGE(H16:H20)</f>
        <v>1.062</v>
      </c>
      <c r="I44" s="69" t="n">
        <f aca="false">AVERAGE(I16:I20)</f>
        <v>24.636</v>
      </c>
      <c r="J44" s="69" t="n">
        <f aca="false">AVERAGE(J16:J20)</f>
        <v>-0.0539999999999999</v>
      </c>
      <c r="K44" s="69"/>
      <c r="L44" s="70" t="n">
        <f aca="false">AVERAGE(L16:L20)</f>
        <v>19471</v>
      </c>
      <c r="M44" s="69"/>
      <c r="N44" s="71" t="n">
        <f aca="false">AVERAGE(N16:N20)</f>
        <v>0.6302</v>
      </c>
      <c r="O44" s="69"/>
      <c r="P44" s="70" t="n">
        <f aca="false">AVERAGE(P16:P20)</f>
        <v>1946.9</v>
      </c>
      <c r="Q44" s="70"/>
      <c r="R44" s="70" t="n">
        <f aca="false">AVERAGE(R16:R20)</f>
        <v>28589.7</v>
      </c>
      <c r="S44" s="70" t="n">
        <f aca="false">AVERAGE(S16:S20)</f>
        <v>116.566666666666</v>
      </c>
      <c r="T44" s="38"/>
      <c r="U44" s="38"/>
      <c r="V44" s="38"/>
      <c r="W44" s="38"/>
      <c r="X44" s="38"/>
    </row>
    <row r="45" customFormat="false" ht="12.75" hidden="false" customHeight="false" outlineLevel="0" collapsed="false">
      <c r="A45" s="67" t="s">
        <v>60</v>
      </c>
      <c r="B45" s="68"/>
      <c r="C45" s="69" t="n">
        <f aca="false">AVERAGE(C23:C27)</f>
        <v>27.006</v>
      </c>
      <c r="D45" s="69" t="n">
        <f aca="false">AVERAGE(D23:D27)</f>
        <v>0.446</v>
      </c>
      <c r="E45" s="69" t="n">
        <f aca="false">AVERAGE(E23:E27)</f>
        <v>33.674</v>
      </c>
      <c r="F45" s="69" t="n">
        <f aca="false">AVERAGE(F23:F27)</f>
        <v>0.904</v>
      </c>
      <c r="G45" s="69" t="n">
        <f aca="false">AVERAGE(G23:G27)</f>
        <v>42.058</v>
      </c>
      <c r="H45" s="69" t="n">
        <f aca="false">AVERAGE(H23:H27)</f>
        <v>3.146</v>
      </c>
      <c r="I45" s="69" t="n">
        <f aca="false">AVERAGE(I23:I27)</f>
        <v>26.842</v>
      </c>
      <c r="J45" s="69" t="n">
        <f aca="false">AVERAGE(J23:J27)</f>
        <v>1.43</v>
      </c>
      <c r="K45" s="69"/>
      <c r="L45" s="70" t="n">
        <f aca="false">AVERAGE(L23:L27)</f>
        <v>19373</v>
      </c>
      <c r="M45" s="69"/>
      <c r="N45" s="71" t="n">
        <f aca="false">AVERAGE(N23:N27)</f>
        <v>0.6738</v>
      </c>
      <c r="O45" s="69"/>
      <c r="P45" s="70" t="n">
        <f aca="false">AVERAGE(P23:P27)</f>
        <v>1829.1</v>
      </c>
      <c r="Q45" s="69"/>
      <c r="R45" s="70" t="n">
        <f aca="false">AVERAGE(R23:R27)</f>
        <v>29034.4</v>
      </c>
      <c r="S45" s="93" t="n">
        <f aca="false">AVERAGE(S23:S27)</f>
        <v>-120.066666666667</v>
      </c>
      <c r="T45" s="38"/>
      <c r="U45" s="38"/>
      <c r="V45" s="38"/>
      <c r="W45" s="38"/>
      <c r="X45" s="38"/>
    </row>
    <row r="46" customFormat="false" ht="12.75" hidden="false" customHeight="false" outlineLevel="0" collapsed="false">
      <c r="A46" s="67" t="s">
        <v>61</v>
      </c>
      <c r="B46" s="68"/>
      <c r="C46" s="69" t="n">
        <f aca="false">AVERAGE(C30:C34)</f>
        <v>23.488</v>
      </c>
      <c r="D46" s="69" t="n">
        <f aca="false">AVERAGE(D30:D34)</f>
        <v>-0.184</v>
      </c>
      <c r="E46" s="69" t="n">
        <f aca="false">AVERAGE(E30:E34)</f>
        <v>28.258</v>
      </c>
      <c r="F46" s="69" t="n">
        <f aca="false">AVERAGE(F30:F34)</f>
        <v>0.0159999999999997</v>
      </c>
      <c r="G46" s="69" t="n">
        <f aca="false">AVERAGE(G30:G34)</f>
        <v>30.114</v>
      </c>
      <c r="H46" s="69" t="n">
        <f aca="false">AVERAGE(H30:H34)</f>
        <v>-0.324</v>
      </c>
      <c r="I46" s="69" t="n">
        <f aca="false">AVERAGE(I30:I34)</f>
        <v>22.588</v>
      </c>
      <c r="J46" s="69" t="n">
        <f aca="false">AVERAGE(J30:J34)</f>
        <v>0.286</v>
      </c>
      <c r="K46" s="53"/>
      <c r="L46" s="70" t="n">
        <f aca="false">AVERAGE(L30:L34)</f>
        <v>18274.4</v>
      </c>
      <c r="M46" s="70"/>
      <c r="N46" s="71" t="n">
        <f aca="false">AVERAGE(N30:N34)</f>
        <v>0.461</v>
      </c>
      <c r="O46" s="71"/>
      <c r="P46" s="70" t="n">
        <f aca="false">AVERAGE(P30:P34)</f>
        <v>1649.55</v>
      </c>
      <c r="Q46" s="71"/>
      <c r="R46" s="70" t="n">
        <f aca="false">AVERAGE(R30:R34)</f>
        <v>30369.0916666667</v>
      </c>
      <c r="S46" s="70" t="n">
        <f aca="false">AVERAGE(S30:S34)</f>
        <v>285.6</v>
      </c>
      <c r="T46" s="38"/>
      <c r="U46" s="38"/>
      <c r="V46" s="38"/>
      <c r="W46" s="38"/>
      <c r="X46" s="38"/>
    </row>
    <row r="47" customFormat="false" ht="13.5" hidden="false" customHeight="false" outlineLevel="0" collapsed="false">
      <c r="A47" s="72" t="s">
        <v>62</v>
      </c>
      <c r="B47" s="73"/>
      <c r="C47" s="74" t="n">
        <f aca="false">AVERAGE(C37:C41)</f>
        <v>25.026</v>
      </c>
      <c r="D47" s="74" t="n">
        <f aca="false">AVERAGE(D37:D41)</f>
        <v>0.284</v>
      </c>
      <c r="E47" s="74" t="n">
        <f aca="false">AVERAGE(E37:E41)</f>
        <v>30.958</v>
      </c>
      <c r="F47" s="94" t="n">
        <f aca="false">AVERAGE(F37:F41)</f>
        <v>1.028</v>
      </c>
      <c r="G47" s="94" t="n">
        <f aca="false">AVERAGE(G37:G41)</f>
        <v>33.17</v>
      </c>
      <c r="H47" s="74" t="n">
        <f aca="false">AVERAGE(H37:H41)</f>
        <v>1.332</v>
      </c>
      <c r="I47" s="94" t="n">
        <f aca="false">AVERAGE(I37:I41)</f>
        <v>24.73</v>
      </c>
      <c r="J47" s="94" t="n">
        <f aca="false">AVERAGE(J37:J41)</f>
        <v>3.44666666666667</v>
      </c>
      <c r="K47" s="94"/>
      <c r="L47" s="76" t="n">
        <f aca="false">AVERAGE(L37:L41)</f>
        <v>19216.2</v>
      </c>
      <c r="M47" s="94"/>
      <c r="N47" s="77" t="n">
        <f aca="false">AVERAGE(N37:N41)</f>
        <v>0.5944</v>
      </c>
      <c r="O47" s="94"/>
      <c r="P47" s="76" t="n">
        <f aca="false">AVERAGE(P37:P41)</f>
        <v>1779.84166666667</v>
      </c>
      <c r="Q47" s="94" t="e">
        <f aca="false">AVERAGE(Q37:Q41)</f>
        <v>#DIV/0!</v>
      </c>
      <c r="R47" s="76" t="n">
        <f aca="false">AVERAGE(R37:R41)</f>
        <v>29685.5166666667</v>
      </c>
      <c r="S47" s="75" t="n">
        <f aca="false">AVERAGE(S37:S41)</f>
        <v>45.125</v>
      </c>
      <c r="T47" s="38"/>
      <c r="U47" s="38"/>
      <c r="V47" s="38"/>
      <c r="W47" s="38"/>
      <c r="X47" s="38"/>
    </row>
    <row r="48" customFormat="false" ht="13.5" hidden="false" customHeight="false" outlineLevel="0" collapsed="false">
      <c r="A48" s="78" t="s">
        <v>63</v>
      </c>
      <c r="B48" s="79"/>
      <c r="C48" s="80" t="n">
        <f aca="false">AVERAGE(C43:C46)</f>
        <v>28.4295</v>
      </c>
      <c r="D48" s="80" t="n">
        <f aca="false">AVERAGE(D43:D46)</f>
        <v>-0.0712500000000001</v>
      </c>
      <c r="E48" s="80" t="n">
        <f aca="false">AVERAGE(E43:E46)</f>
        <v>34.5315</v>
      </c>
      <c r="F48" s="80" t="n">
        <f aca="false">AVERAGE(F43:F46)</f>
        <v>0.356875</v>
      </c>
      <c r="G48" s="80" t="n">
        <f aca="false">AVERAGE(G43:G46)</f>
        <v>38.208</v>
      </c>
      <c r="H48" s="80" t="n">
        <f aca="false">AVERAGE(H43:H46)</f>
        <v>0.799125</v>
      </c>
      <c r="I48" s="80" t="n">
        <f aca="false">AVERAGE(I43:I46)</f>
        <v>24.846</v>
      </c>
      <c r="J48" s="80" t="n">
        <f aca="false">AVERAGE(J43:J46)</f>
        <v>-0.277625</v>
      </c>
      <c r="K48" s="81"/>
      <c r="L48" s="82" t="n">
        <f aca="false">AVERAGE(L9:L39)</f>
        <v>18485.1612903226</v>
      </c>
      <c r="M48" s="83"/>
      <c r="N48" s="84" t="n">
        <f aca="false">AVERAGE(N9:N39)</f>
        <v>0.573516129032258</v>
      </c>
      <c r="O48" s="83"/>
      <c r="P48" s="82" t="n">
        <f aca="false">AVERAGE(P9:P39)</f>
        <v>1731.81451612903</v>
      </c>
      <c r="Q48" s="85"/>
      <c r="R48" s="82" t="n">
        <f aca="false">AVERAGE(R9:R39)</f>
        <v>28925.2862903226</v>
      </c>
      <c r="S48" s="85" t="n">
        <f aca="false">AVERAGE(S9:S39)</f>
        <v>45.8944444444444</v>
      </c>
      <c r="T48" s="38"/>
      <c r="U48" s="38"/>
      <c r="V48" s="38"/>
      <c r="W48" s="38"/>
      <c r="X48" s="38"/>
    </row>
    <row r="49" customFormat="false" ht="13.5" hidden="false" customHeight="false" outlineLevel="0" collapsed="false">
      <c r="A49" s="86"/>
      <c r="B49" s="73"/>
      <c r="C49" s="87"/>
      <c r="D49" s="88"/>
      <c r="E49" s="87"/>
      <c r="F49" s="88"/>
      <c r="G49" s="87"/>
      <c r="H49" s="88"/>
      <c r="I49" s="87"/>
      <c r="J49" s="89"/>
      <c r="K49" s="88"/>
      <c r="L49" s="73"/>
      <c r="M49" s="73"/>
      <c r="N49" s="73"/>
      <c r="O49" s="73"/>
      <c r="P49" s="73"/>
      <c r="Q49" s="73"/>
      <c r="R49" s="73"/>
      <c r="S49" s="73"/>
    </row>
  </sheetData>
  <mergeCells count="1">
    <mergeCell ref="C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2" activeCellId="0" sqref="C12:H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2.28"/>
    <col collapsed="false" customWidth="true" hidden="false" outlineLevel="0" max="3" min="3" style="10" width="7.99"/>
    <col collapsed="false" customWidth="true" hidden="false" outlineLevel="0" max="4" min="4" style="11" width="5.85"/>
    <col collapsed="false" customWidth="true" hidden="false" outlineLevel="0" max="5" min="5" style="10" width="7.85"/>
    <col collapsed="false" customWidth="true" hidden="false" outlineLevel="0" max="6" min="6" style="11" width="5.85"/>
    <col collapsed="false" customWidth="true" hidden="false" outlineLevel="0" max="7" min="7" style="10" width="7.7"/>
    <col collapsed="false" customWidth="true" hidden="false" outlineLevel="0" max="8" min="8" style="11" width="6.7"/>
    <col collapsed="false" customWidth="true" hidden="false" outlineLevel="0" max="9" min="9" style="10" width="8.28"/>
    <col collapsed="false" customWidth="true" hidden="false" outlineLevel="0" max="10" min="10" style="12" width="7.28"/>
    <col collapsed="false" customWidth="true" hidden="false" outlineLevel="0" max="11" min="11" style="11" width="2.13"/>
    <col collapsed="false" customWidth="true" hidden="false" outlineLevel="0" max="12" min="12" style="0" width="9.56"/>
    <col collapsed="false" customWidth="true" hidden="false" outlineLevel="0" max="13" min="13" style="0" width="1.7"/>
    <col collapsed="false" customWidth="true" hidden="false" outlineLevel="0" max="14" min="14" style="0" width="8.99"/>
    <col collapsed="false" customWidth="true" hidden="false" outlineLevel="0" max="15" min="15" style="0" width="1.85"/>
    <col collapsed="false" customWidth="true" hidden="false" outlineLevel="0" max="16" min="16" style="0" width="7.7"/>
    <col collapsed="false" customWidth="true" hidden="false" outlineLevel="0" max="17" min="17" style="0" width="1.56"/>
    <col collapsed="false" customWidth="true" hidden="false" outlineLevel="0" max="18" min="18" style="0" width="10.99"/>
    <col collapsed="false" customWidth="true" hidden="false" outlineLevel="0" max="19" min="19" style="0" width="8.85"/>
    <col collapsed="false" customWidth="true" hidden="true" outlineLevel="0" max="20" min="20" style="0" width="10.99"/>
    <col collapsed="false" customWidth="true" hidden="false" outlineLevel="0" max="21" min="21" style="0" width="1.7"/>
    <col collapsed="false" customWidth="true" hidden="false" outlineLevel="0" max="22" min="22" style="0" width="12.42"/>
    <col collapsed="false" customWidth="true" hidden="false" outlineLevel="0" max="23" min="23" style="0" width="2.13"/>
    <col collapsed="false" customWidth="true" hidden="false" outlineLevel="0" max="24" min="24" style="0" width="9.7"/>
  </cols>
  <sheetData>
    <row r="2" customFormat="false" ht="12.75" hidden="false" customHeight="false" outlineLevel="0" collapsed="false">
      <c r="L2" s="13" t="s">
        <v>64</v>
      </c>
      <c r="R2" s="13" t="s">
        <v>8</v>
      </c>
    </row>
    <row r="3" customFormat="false" ht="12.75" hidden="false" customHeight="false" outlineLevel="0" collapsed="false">
      <c r="C3" s="14" t="s">
        <v>9</v>
      </c>
      <c r="D3" s="14"/>
      <c r="E3" s="14"/>
      <c r="F3" s="14"/>
      <c r="G3" s="14"/>
      <c r="H3" s="14"/>
      <c r="I3" s="14"/>
      <c r="J3" s="14"/>
      <c r="K3" s="13"/>
      <c r="L3" s="13" t="s">
        <v>10</v>
      </c>
      <c r="N3" s="13" t="s">
        <v>65</v>
      </c>
      <c r="P3" s="13" t="s">
        <v>11</v>
      </c>
      <c r="Q3" s="13"/>
      <c r="R3" s="14" t="s">
        <v>12</v>
      </c>
      <c r="S3" s="13" t="s">
        <v>13</v>
      </c>
      <c r="T3" s="13" t="s">
        <v>14</v>
      </c>
      <c r="V3" s="10" t="s">
        <v>15</v>
      </c>
    </row>
    <row r="4" customFormat="false" ht="13.5" hidden="false" customHeight="false" outlineLevel="0" collapsed="false">
      <c r="A4" s="15" t="s">
        <v>16</v>
      </c>
      <c r="B4" s="13"/>
      <c r="C4" s="15" t="s">
        <v>3</v>
      </c>
      <c r="D4" s="16" t="s">
        <v>17</v>
      </c>
      <c r="E4" s="15" t="s">
        <v>4</v>
      </c>
      <c r="F4" s="16" t="s">
        <v>17</v>
      </c>
      <c r="G4" s="15" t="s">
        <v>5</v>
      </c>
      <c r="H4" s="16" t="s">
        <v>17</v>
      </c>
      <c r="I4" s="15" t="s">
        <v>18</v>
      </c>
      <c r="J4" s="16" t="s">
        <v>17</v>
      </c>
      <c r="K4" s="17"/>
      <c r="L4" s="15" t="s">
        <v>19</v>
      </c>
      <c r="M4" s="13"/>
      <c r="N4" s="15" t="s">
        <v>66</v>
      </c>
      <c r="O4" s="13"/>
      <c r="P4" s="15" t="s">
        <v>13</v>
      </c>
      <c r="Q4" s="14"/>
      <c r="R4" s="15" t="s">
        <v>21</v>
      </c>
      <c r="S4" s="15" t="s">
        <v>22</v>
      </c>
      <c r="T4" s="15" t="s">
        <v>23</v>
      </c>
      <c r="U4" s="13"/>
      <c r="V4" s="15" t="s">
        <v>24</v>
      </c>
      <c r="W4" s="13"/>
      <c r="X4" s="15" t="s">
        <v>25</v>
      </c>
    </row>
    <row r="6" customFormat="false" ht="6" hidden="false" customHeight="true" outlineLevel="0" collapsed="false"/>
    <row r="7" customFormat="false" ht="12.75" hidden="false" customHeight="false" outlineLevel="0" collapsed="false">
      <c r="A7" s="18" t="n">
        <v>37226</v>
      </c>
      <c r="B7" s="19"/>
      <c r="C7" s="20" t="n">
        <v>23.58</v>
      </c>
      <c r="D7" s="21"/>
      <c r="E7" s="20" t="n">
        <v>30.84</v>
      </c>
      <c r="F7" s="21"/>
      <c r="G7" s="20" t="n">
        <v>31.68</v>
      </c>
      <c r="H7" s="21"/>
      <c r="I7" s="20"/>
      <c r="J7" s="22"/>
      <c r="K7" s="21"/>
      <c r="L7" s="23" t="n">
        <v>16803</v>
      </c>
      <c r="M7" s="24"/>
      <c r="N7" s="25" t="n">
        <v>0.405</v>
      </c>
      <c r="O7" s="24"/>
      <c r="P7" s="48" t="n">
        <f aca="false">35968/24</f>
        <v>1498.66666666667</v>
      </c>
      <c r="Q7" s="26"/>
      <c r="R7" s="48" t="n">
        <f aca="false">724243/24</f>
        <v>30176.7916666667</v>
      </c>
      <c r="S7" s="27"/>
      <c r="T7" s="27"/>
      <c r="U7" s="24"/>
      <c r="V7" s="28"/>
      <c r="W7" s="24"/>
      <c r="X7" s="48" t="n">
        <f aca="false">'Nov Data'!X41</f>
        <v>4860.125</v>
      </c>
    </row>
    <row r="8" customFormat="false" ht="12.75" hidden="false" customHeight="true" outlineLevel="0" collapsed="false">
      <c r="A8" s="42" t="n">
        <f aca="false">A7+1</f>
        <v>37227</v>
      </c>
      <c r="B8" s="19"/>
      <c r="C8" s="20" t="n">
        <v>23.47</v>
      </c>
      <c r="D8" s="29" t="n">
        <f aca="false">C8-C7</f>
        <v>-0.109999999999999</v>
      </c>
      <c r="E8" s="20" t="n">
        <v>26.69</v>
      </c>
      <c r="F8" s="29" t="n">
        <f aca="false">E8-E7</f>
        <v>-4.15</v>
      </c>
      <c r="G8" s="30" t="n">
        <v>27.1</v>
      </c>
      <c r="H8" s="29" t="n">
        <f aca="false">G8-G7</f>
        <v>-4.58</v>
      </c>
      <c r="I8" s="30"/>
      <c r="J8" s="29"/>
      <c r="K8" s="29"/>
      <c r="L8" s="23" t="n">
        <v>16456</v>
      </c>
      <c r="M8" s="24"/>
      <c r="N8" s="25" t="n">
        <v>0.461</v>
      </c>
      <c r="O8" s="24"/>
      <c r="P8" s="48" t="n">
        <f aca="false">33202/24</f>
        <v>1383.41666666667</v>
      </c>
      <c r="Q8" s="26"/>
      <c r="R8" s="48" t="n">
        <f aca="false">726273/24</f>
        <v>30261.375</v>
      </c>
      <c r="S8" s="48" t="n">
        <f aca="false">R8-R7</f>
        <v>84.5833333333321</v>
      </c>
      <c r="T8" s="27"/>
      <c r="U8" s="24"/>
      <c r="V8" s="28"/>
      <c r="W8" s="24"/>
      <c r="X8" s="49" t="n">
        <f aca="false">X7-S8</f>
        <v>4775.54166666667</v>
      </c>
    </row>
    <row r="9" customFormat="false" ht="12.75" hidden="false" customHeight="false" outlineLevel="0" collapsed="false">
      <c r="A9" s="32" t="n">
        <f aca="false">A8+1</f>
        <v>37228</v>
      </c>
      <c r="B9" s="32"/>
      <c r="C9" s="44" t="n">
        <v>22.68</v>
      </c>
      <c r="D9" s="90" t="n">
        <f aca="false">C9-C8</f>
        <v>-0.789999999999999</v>
      </c>
      <c r="E9" s="44" t="n">
        <v>26.25</v>
      </c>
      <c r="F9" s="90" t="n">
        <f aca="false">E9-E8</f>
        <v>-0.440000000000001</v>
      </c>
      <c r="G9" s="44" t="n">
        <v>29.48</v>
      </c>
      <c r="H9" s="90" t="n">
        <f aca="false">G9-G8</f>
        <v>2.38</v>
      </c>
      <c r="I9" s="44"/>
      <c r="J9" s="50"/>
      <c r="K9" s="45"/>
      <c r="L9" s="35" t="n">
        <v>19715</v>
      </c>
      <c r="M9" s="38"/>
      <c r="N9" s="40" t="n">
        <v>0.42</v>
      </c>
      <c r="O9" s="38"/>
      <c r="P9" s="46" t="n">
        <f aca="false">22022/24</f>
        <v>917.583333333333</v>
      </c>
      <c r="Q9" s="38"/>
      <c r="R9" s="46" t="n">
        <f aca="false">730017/24</f>
        <v>30417.375</v>
      </c>
      <c r="S9" s="46" t="n">
        <f aca="false">R9-R8</f>
        <v>156</v>
      </c>
      <c r="T9" s="38"/>
      <c r="U9" s="38"/>
      <c r="V9" s="41"/>
      <c r="W9" s="38"/>
      <c r="X9" s="46" t="n">
        <f aca="false">X8-S9</f>
        <v>4619.54166666667</v>
      </c>
    </row>
    <row r="10" customFormat="false" ht="12.75" hidden="false" customHeight="false" outlineLevel="0" collapsed="false">
      <c r="A10" s="32" t="n">
        <f aca="false">A9+1</f>
        <v>37229</v>
      </c>
      <c r="B10" s="32"/>
      <c r="C10" s="44" t="n">
        <v>23.16</v>
      </c>
      <c r="D10" s="90" t="n">
        <f aca="false">C10-C9</f>
        <v>0.48</v>
      </c>
      <c r="E10" s="44" t="n">
        <v>26.65</v>
      </c>
      <c r="F10" s="90" t="n">
        <f aca="false">E10-E9</f>
        <v>0.399999999999999</v>
      </c>
      <c r="G10" s="33" t="n">
        <v>27.3</v>
      </c>
      <c r="H10" s="90" t="n">
        <f aca="false">G10-G9</f>
        <v>-2.18</v>
      </c>
      <c r="I10" s="44"/>
      <c r="J10" s="34"/>
      <c r="K10" s="45"/>
      <c r="L10" s="35" t="n">
        <v>19725</v>
      </c>
      <c r="M10" s="38"/>
      <c r="N10" s="40" t="n">
        <v>0.403</v>
      </c>
      <c r="O10" s="38"/>
      <c r="P10" s="46" t="n">
        <f aca="false">31202/24</f>
        <v>1300.08333333333</v>
      </c>
      <c r="Q10" s="38"/>
      <c r="R10" s="46" t="n">
        <f aca="false">716028/24</f>
        <v>29834.5</v>
      </c>
      <c r="S10" s="46" t="n">
        <f aca="false">R10-R9</f>
        <v>-582.875</v>
      </c>
      <c r="T10" s="38"/>
      <c r="U10" s="38"/>
      <c r="V10" s="41"/>
      <c r="W10" s="38"/>
      <c r="X10" s="46" t="n">
        <f aca="false">X9-S10</f>
        <v>5202.41666666667</v>
      </c>
    </row>
    <row r="11" customFormat="false" ht="12.75" hidden="false" customHeight="false" outlineLevel="0" collapsed="false">
      <c r="A11" s="32" t="n">
        <f aca="false">A10+1</f>
        <v>37230</v>
      </c>
      <c r="B11" s="32"/>
      <c r="C11" s="51" t="n">
        <v>23.34</v>
      </c>
      <c r="D11" s="90" t="n">
        <f aca="false">C11-C10</f>
        <v>0.18</v>
      </c>
      <c r="E11" s="51" t="n">
        <v>27.34</v>
      </c>
      <c r="F11" s="90" t="n">
        <f aca="false">E11-E10</f>
        <v>0.690000000000001</v>
      </c>
      <c r="G11" s="51" t="n">
        <v>29.19</v>
      </c>
      <c r="H11" s="90" t="n">
        <f aca="false">G11-G10</f>
        <v>1.89</v>
      </c>
      <c r="I11" s="51"/>
      <c r="J11" s="34"/>
      <c r="K11" s="53"/>
      <c r="L11" s="54" t="n">
        <v>19640</v>
      </c>
      <c r="M11" s="55"/>
      <c r="N11" s="40" t="n">
        <v>0.675</v>
      </c>
      <c r="O11" s="55"/>
      <c r="P11" s="46" t="n">
        <f aca="false">37652/24</f>
        <v>1568.83333333333</v>
      </c>
      <c r="Q11" s="55"/>
      <c r="R11" s="46" t="n">
        <f aca="false">708288/24</f>
        <v>29512</v>
      </c>
      <c r="S11" s="46" t="n">
        <f aca="false">R11-R10</f>
        <v>-322.5</v>
      </c>
      <c r="T11" s="38"/>
      <c r="U11" s="38"/>
      <c r="V11" s="41"/>
      <c r="W11" s="38"/>
      <c r="X11" s="46"/>
    </row>
    <row r="12" customFormat="false" ht="12.75" hidden="false" customHeight="false" outlineLevel="0" collapsed="false">
      <c r="A12" s="32" t="n">
        <f aca="false">A11+1</f>
        <v>37231</v>
      </c>
      <c r="B12" s="32"/>
      <c r="C12" s="33" t="n">
        <v>22.17</v>
      </c>
      <c r="D12" s="90" t="n">
        <f aca="false">C12-C11</f>
        <v>-1.17</v>
      </c>
      <c r="E12" s="33" t="n">
        <v>26.99</v>
      </c>
      <c r="F12" s="90" t="n">
        <f aca="false">E12-E11</f>
        <v>-0.350000000000001</v>
      </c>
      <c r="G12" s="33" t="n">
        <v>28.29</v>
      </c>
      <c r="H12" s="90" t="n">
        <f aca="false">G12-G11</f>
        <v>-0.900000000000002</v>
      </c>
      <c r="I12" s="33"/>
      <c r="J12" s="34"/>
      <c r="K12" s="34"/>
      <c r="L12" s="35" t="n">
        <v>19531</v>
      </c>
      <c r="M12" s="36"/>
      <c r="N12" s="37" t="n">
        <v>0.598</v>
      </c>
      <c r="O12" s="38"/>
      <c r="P12" s="46" t="n">
        <f aca="false">41803/24</f>
        <v>1741.79166666667</v>
      </c>
      <c r="Q12" s="39"/>
      <c r="R12" s="46" t="n">
        <f aca="false">731959/24</f>
        <v>30498.2916666667</v>
      </c>
      <c r="S12" s="46" t="n">
        <f aca="false">R12-R11</f>
        <v>986.291666666668</v>
      </c>
      <c r="T12" s="40"/>
      <c r="U12" s="38"/>
      <c r="V12" s="41"/>
      <c r="W12" s="38"/>
      <c r="X12" s="35"/>
    </row>
    <row r="13" customFormat="false" ht="12.75" hidden="false" customHeight="false" outlineLevel="0" collapsed="false">
      <c r="A13" s="32" t="n">
        <f aca="false">A12+1</f>
        <v>37232</v>
      </c>
      <c r="B13" s="32"/>
      <c r="C13" s="33"/>
      <c r="D13" s="34"/>
      <c r="E13" s="33"/>
      <c r="F13" s="34"/>
      <c r="G13" s="33"/>
      <c r="H13" s="34"/>
      <c r="I13" s="33"/>
      <c r="J13" s="34"/>
      <c r="K13" s="34"/>
      <c r="L13" s="35" t="n">
        <v>19153</v>
      </c>
      <c r="M13" s="36"/>
      <c r="N13" s="37"/>
      <c r="O13" s="38"/>
      <c r="P13" s="46"/>
      <c r="Q13" s="39"/>
      <c r="R13" s="46"/>
      <c r="S13" s="47"/>
      <c r="T13" s="40"/>
      <c r="U13" s="38"/>
      <c r="V13" s="41"/>
      <c r="W13" s="38"/>
      <c r="X13" s="35"/>
    </row>
    <row r="14" customFormat="false" ht="12.75" hidden="false" customHeight="false" outlineLevel="0" collapsed="false">
      <c r="A14" s="42" t="n">
        <f aca="false">A13+1</f>
        <v>37233</v>
      </c>
      <c r="B14" s="42"/>
      <c r="C14" s="30"/>
      <c r="D14" s="29"/>
      <c r="E14" s="30"/>
      <c r="F14" s="29"/>
      <c r="G14" s="30"/>
      <c r="H14" s="29"/>
      <c r="I14" s="30"/>
      <c r="J14" s="29"/>
      <c r="K14" s="29"/>
      <c r="L14" s="23" t="n">
        <v>17222</v>
      </c>
      <c r="M14" s="43"/>
      <c r="N14" s="25"/>
      <c r="O14" s="24"/>
      <c r="P14" s="48"/>
      <c r="Q14" s="26"/>
      <c r="R14" s="48"/>
      <c r="S14" s="49"/>
      <c r="T14" s="27"/>
      <c r="U14" s="24"/>
      <c r="V14" s="28"/>
      <c r="W14" s="24"/>
      <c r="X14" s="23"/>
    </row>
    <row r="15" customFormat="false" ht="12.75" hidden="false" customHeight="false" outlineLevel="0" collapsed="false">
      <c r="A15" s="42" t="n">
        <f aca="false">A14+1</f>
        <v>37234</v>
      </c>
      <c r="B15" s="42"/>
      <c r="C15" s="30"/>
      <c r="D15" s="29"/>
      <c r="E15" s="30"/>
      <c r="F15" s="29"/>
      <c r="G15" s="30"/>
      <c r="H15" s="29"/>
      <c r="I15" s="30"/>
      <c r="J15" s="29"/>
      <c r="K15" s="29"/>
      <c r="L15" s="23" t="n">
        <v>17000</v>
      </c>
      <c r="M15" s="43"/>
      <c r="N15" s="25"/>
      <c r="O15" s="24"/>
      <c r="P15" s="48"/>
      <c r="Q15" s="26"/>
      <c r="R15" s="48"/>
      <c r="S15" s="49"/>
      <c r="T15" s="27"/>
      <c r="U15" s="24"/>
      <c r="V15" s="28"/>
      <c r="W15" s="24"/>
      <c r="X15" s="23"/>
    </row>
    <row r="16" customFormat="false" ht="12.75" hidden="false" customHeight="false" outlineLevel="0" collapsed="false">
      <c r="A16" s="32" t="n">
        <f aca="false">A15+1</f>
        <v>37235</v>
      </c>
      <c r="B16" s="32"/>
      <c r="C16" s="33"/>
      <c r="D16" s="90"/>
      <c r="E16" s="33"/>
      <c r="F16" s="90"/>
      <c r="G16" s="33"/>
      <c r="H16" s="90"/>
      <c r="I16" s="33"/>
      <c r="J16" s="90"/>
      <c r="K16" s="34"/>
      <c r="L16" s="35" t="n">
        <v>20052</v>
      </c>
      <c r="M16" s="36"/>
      <c r="N16" s="37"/>
      <c r="O16" s="38"/>
      <c r="P16" s="46"/>
      <c r="Q16" s="39"/>
      <c r="R16" s="46"/>
      <c r="S16" s="47"/>
      <c r="T16" s="40"/>
      <c r="U16" s="38"/>
      <c r="V16" s="41"/>
      <c r="W16" s="38"/>
      <c r="X16" s="35"/>
    </row>
    <row r="17" customFormat="false" ht="12.75" hidden="false" customHeight="false" outlineLevel="0" collapsed="false">
      <c r="A17" s="32" t="n">
        <f aca="false">A16+1</f>
        <v>37236</v>
      </c>
      <c r="C17" s="33"/>
      <c r="D17" s="90"/>
      <c r="E17" s="33"/>
      <c r="F17" s="90"/>
      <c r="G17" s="33"/>
      <c r="H17" s="90"/>
      <c r="I17" s="33"/>
      <c r="J17" s="90"/>
      <c r="K17" s="34"/>
      <c r="L17" s="35" t="n">
        <v>20251</v>
      </c>
      <c r="M17" s="38"/>
      <c r="N17" s="37"/>
      <c r="O17" s="38"/>
      <c r="P17" s="46"/>
      <c r="Q17" s="39"/>
      <c r="R17" s="46"/>
      <c r="S17" s="47"/>
      <c r="T17" s="40"/>
      <c r="U17" s="38"/>
      <c r="V17" s="41"/>
      <c r="W17" s="38"/>
      <c r="X17" s="35"/>
    </row>
    <row r="18" customFormat="false" ht="12.75" hidden="false" customHeight="false" outlineLevel="0" collapsed="false">
      <c r="A18" s="32" t="n">
        <f aca="false">A17+1</f>
        <v>37237</v>
      </c>
      <c r="C18" s="44"/>
      <c r="D18" s="90"/>
      <c r="E18" s="44"/>
      <c r="F18" s="90"/>
      <c r="G18" s="44"/>
      <c r="H18" s="90"/>
      <c r="I18" s="33"/>
      <c r="J18" s="90"/>
      <c r="K18" s="34"/>
      <c r="L18" s="35" t="n">
        <v>20276</v>
      </c>
      <c r="M18" s="38"/>
      <c r="N18" s="37"/>
      <c r="O18" s="38"/>
      <c r="P18" s="46"/>
      <c r="Q18" s="39"/>
      <c r="R18" s="46"/>
      <c r="S18" s="47"/>
      <c r="T18" s="40"/>
      <c r="U18" s="38"/>
      <c r="V18" s="41"/>
      <c r="W18" s="38"/>
      <c r="X18" s="35"/>
    </row>
    <row r="19" customFormat="false" ht="12.75" hidden="false" customHeight="false" outlineLevel="0" collapsed="false">
      <c r="A19" s="32" t="n">
        <f aca="false">A18+1</f>
        <v>37238</v>
      </c>
      <c r="C19" s="44"/>
      <c r="D19" s="90"/>
      <c r="E19" s="44"/>
      <c r="F19" s="90"/>
      <c r="G19" s="44"/>
      <c r="H19" s="90"/>
      <c r="I19" s="33"/>
      <c r="J19" s="90"/>
      <c r="K19" s="45"/>
      <c r="L19" s="35" t="n">
        <v>20303</v>
      </c>
      <c r="M19" s="38"/>
      <c r="N19" s="37"/>
      <c r="O19" s="38"/>
      <c r="P19" s="46"/>
      <c r="Q19" s="39"/>
      <c r="R19" s="46"/>
      <c r="S19" s="47"/>
      <c r="T19" s="40"/>
      <c r="U19" s="38"/>
      <c r="V19" s="41"/>
      <c r="W19" s="38"/>
      <c r="X19" s="35"/>
    </row>
    <row r="20" customFormat="false" ht="12.75" hidden="false" customHeight="false" outlineLevel="0" collapsed="false">
      <c r="A20" s="32" t="n">
        <f aca="false">A19+1</f>
        <v>37239</v>
      </c>
      <c r="C20" s="44"/>
      <c r="D20" s="90"/>
      <c r="E20" s="44"/>
      <c r="F20" s="90"/>
      <c r="G20" s="44"/>
      <c r="H20" s="90"/>
      <c r="I20" s="44"/>
      <c r="J20" s="90"/>
      <c r="K20" s="45"/>
      <c r="L20" s="35" t="n">
        <v>19946</v>
      </c>
      <c r="M20" s="38"/>
      <c r="N20" s="37"/>
      <c r="O20" s="38"/>
      <c r="P20" s="46"/>
      <c r="Q20" s="39"/>
      <c r="R20" s="46"/>
      <c r="S20" s="47"/>
      <c r="T20" s="40"/>
      <c r="U20" s="38"/>
      <c r="V20" s="41"/>
      <c r="W20" s="38"/>
      <c r="X20" s="35"/>
    </row>
    <row r="21" customFormat="false" ht="12.75" hidden="false" customHeight="false" outlineLevel="0" collapsed="false">
      <c r="A21" s="42" t="n">
        <f aca="false">A20+1</f>
        <v>37240</v>
      </c>
      <c r="B21" s="19"/>
      <c r="C21" s="30"/>
      <c r="D21" s="29"/>
      <c r="E21" s="20"/>
      <c r="F21" s="29"/>
      <c r="G21" s="20"/>
      <c r="H21" s="29"/>
      <c r="I21" s="20"/>
      <c r="J21" s="29"/>
      <c r="K21" s="21"/>
      <c r="L21" s="23"/>
      <c r="M21" s="24"/>
      <c r="N21" s="25"/>
      <c r="O21" s="24"/>
      <c r="P21" s="48"/>
      <c r="Q21" s="26"/>
      <c r="R21" s="48"/>
      <c r="S21" s="49"/>
      <c r="T21" s="27"/>
      <c r="U21" s="24"/>
      <c r="V21" s="28"/>
      <c r="W21" s="24"/>
      <c r="X21" s="23"/>
    </row>
    <row r="22" customFormat="false" ht="12.75" hidden="false" customHeight="false" outlineLevel="0" collapsed="false">
      <c r="A22" s="42" t="n">
        <f aca="false">A21+1</f>
        <v>37241</v>
      </c>
      <c r="B22" s="19"/>
      <c r="C22" s="20"/>
      <c r="D22" s="29"/>
      <c r="E22" s="20"/>
      <c r="F22" s="29"/>
      <c r="G22" s="20"/>
      <c r="H22" s="29"/>
      <c r="I22" s="20"/>
      <c r="J22" s="29"/>
      <c r="K22" s="21"/>
      <c r="L22" s="23"/>
      <c r="M22" s="24"/>
      <c r="N22" s="25"/>
      <c r="O22" s="24"/>
      <c r="P22" s="48"/>
      <c r="Q22" s="26"/>
      <c r="R22" s="48"/>
      <c r="S22" s="49"/>
      <c r="T22" s="27"/>
      <c r="U22" s="24"/>
      <c r="V22" s="28"/>
      <c r="W22" s="24"/>
      <c r="X22" s="23"/>
    </row>
    <row r="23" customFormat="false" ht="12.75" hidden="false" customHeight="false" outlineLevel="0" collapsed="false">
      <c r="A23" s="32" t="n">
        <f aca="false">A22+1</f>
        <v>37242</v>
      </c>
      <c r="C23" s="33"/>
      <c r="D23" s="90"/>
      <c r="E23" s="33"/>
      <c r="F23" s="90"/>
      <c r="G23" s="44"/>
      <c r="H23" s="90"/>
      <c r="I23" s="33"/>
      <c r="J23" s="90"/>
      <c r="K23" s="45"/>
      <c r="L23" s="35"/>
      <c r="M23" s="38"/>
      <c r="N23" s="37"/>
      <c r="O23" s="38"/>
      <c r="P23" s="46"/>
      <c r="Q23" s="38"/>
      <c r="R23" s="46"/>
      <c r="S23" s="47"/>
      <c r="T23" s="40"/>
      <c r="U23" s="38"/>
      <c r="V23" s="41"/>
      <c r="W23" s="38"/>
      <c r="X23" s="35"/>
    </row>
    <row r="24" customFormat="false" ht="12.75" hidden="false" customHeight="false" outlineLevel="0" collapsed="false">
      <c r="A24" s="32" t="n">
        <f aca="false">A23+1</f>
        <v>37243</v>
      </c>
      <c r="C24" s="44"/>
      <c r="D24" s="90"/>
      <c r="E24" s="44"/>
      <c r="F24" s="90"/>
      <c r="G24" s="44"/>
      <c r="H24" s="90"/>
      <c r="I24" s="44"/>
      <c r="J24" s="90"/>
      <c r="K24" s="45"/>
      <c r="L24" s="35"/>
      <c r="M24" s="38"/>
      <c r="N24" s="37"/>
      <c r="O24" s="38"/>
      <c r="P24" s="46"/>
      <c r="Q24" s="39"/>
      <c r="R24" s="46"/>
      <c r="S24" s="47"/>
      <c r="T24" s="40"/>
      <c r="U24" s="38"/>
      <c r="V24" s="41"/>
      <c r="W24" s="38"/>
      <c r="X24" s="35"/>
    </row>
    <row r="25" customFormat="false" ht="12.75" hidden="false" customHeight="false" outlineLevel="0" collapsed="false">
      <c r="A25" s="32" t="n">
        <f aca="false">A24+1</f>
        <v>37244</v>
      </c>
      <c r="C25" s="44"/>
      <c r="D25" s="90"/>
      <c r="E25" s="44"/>
      <c r="F25" s="90"/>
      <c r="G25" s="44"/>
      <c r="H25" s="90"/>
      <c r="I25" s="33"/>
      <c r="J25" s="90"/>
      <c r="K25" s="45"/>
      <c r="L25" s="35"/>
      <c r="M25" s="38"/>
      <c r="N25" s="37"/>
      <c r="O25" s="38"/>
      <c r="P25" s="46"/>
      <c r="Q25" s="39"/>
      <c r="R25" s="46"/>
      <c r="S25" s="47"/>
      <c r="T25" s="40"/>
      <c r="U25" s="38"/>
      <c r="V25" s="41"/>
      <c r="W25" s="38"/>
      <c r="X25" s="35"/>
    </row>
    <row r="26" customFormat="false" ht="12.75" hidden="false" customHeight="false" outlineLevel="0" collapsed="false">
      <c r="A26" s="32" t="n">
        <f aca="false">A25+1</f>
        <v>37245</v>
      </c>
      <c r="C26" s="33"/>
      <c r="D26" s="90"/>
      <c r="E26" s="44"/>
      <c r="F26" s="90"/>
      <c r="G26" s="44"/>
      <c r="H26" s="90"/>
      <c r="I26" s="44"/>
      <c r="J26" s="90"/>
      <c r="K26" s="45"/>
      <c r="L26" s="35"/>
      <c r="M26" s="38"/>
      <c r="N26" s="37"/>
      <c r="O26" s="38"/>
      <c r="P26" s="46"/>
      <c r="Q26" s="39"/>
      <c r="R26" s="46"/>
      <c r="S26" s="47"/>
      <c r="T26" s="40"/>
      <c r="U26" s="38"/>
      <c r="V26" s="41"/>
      <c r="W26" s="38"/>
      <c r="X26" s="35"/>
    </row>
    <row r="27" customFormat="false" ht="12.75" hidden="false" customHeight="false" outlineLevel="0" collapsed="false">
      <c r="A27" s="32" t="n">
        <f aca="false">A26+1</f>
        <v>37246</v>
      </c>
      <c r="C27" s="44"/>
      <c r="D27" s="90"/>
      <c r="E27" s="44"/>
      <c r="F27" s="90"/>
      <c r="G27" s="44"/>
      <c r="H27" s="90"/>
      <c r="I27" s="44"/>
      <c r="J27" s="90"/>
      <c r="K27" s="45"/>
      <c r="L27" s="35"/>
      <c r="M27" s="38"/>
      <c r="N27" s="37"/>
      <c r="O27" s="38"/>
      <c r="P27" s="46"/>
      <c r="Q27" s="39"/>
      <c r="R27" s="46"/>
      <c r="S27" s="47"/>
      <c r="T27" s="40"/>
      <c r="U27" s="38"/>
      <c r="V27" s="41"/>
      <c r="W27" s="38"/>
      <c r="X27" s="35"/>
    </row>
    <row r="28" customFormat="false" ht="12.75" hidden="false" customHeight="false" outlineLevel="0" collapsed="false">
      <c r="A28" s="42" t="n">
        <f aca="false">A27+1</f>
        <v>37247</v>
      </c>
      <c r="B28" s="19"/>
      <c r="C28" s="20"/>
      <c r="D28" s="29"/>
      <c r="E28" s="30"/>
      <c r="F28" s="29"/>
      <c r="G28" s="20"/>
      <c r="H28" s="29"/>
      <c r="I28" s="20"/>
      <c r="J28" s="29"/>
      <c r="K28" s="21"/>
      <c r="L28" s="23"/>
      <c r="M28" s="24"/>
      <c r="N28" s="27"/>
      <c r="O28" s="24"/>
      <c r="P28" s="48"/>
      <c r="Q28" s="26"/>
      <c r="R28" s="48"/>
      <c r="S28" s="49"/>
      <c r="T28" s="27"/>
      <c r="U28" s="24"/>
      <c r="V28" s="28"/>
      <c r="W28" s="24"/>
      <c r="X28" s="23"/>
    </row>
    <row r="29" customFormat="false" ht="12.75" hidden="false" customHeight="false" outlineLevel="0" collapsed="false">
      <c r="A29" s="42" t="n">
        <f aca="false">A28+1</f>
        <v>37248</v>
      </c>
      <c r="B29" s="19"/>
      <c r="C29" s="30"/>
      <c r="D29" s="29"/>
      <c r="E29" s="20"/>
      <c r="F29" s="29"/>
      <c r="G29" s="20"/>
      <c r="H29" s="29"/>
      <c r="I29" s="30"/>
      <c r="J29" s="29"/>
      <c r="K29" s="21"/>
      <c r="L29" s="23"/>
      <c r="M29" s="24"/>
      <c r="N29" s="27"/>
      <c r="O29" s="24"/>
      <c r="P29" s="48"/>
      <c r="Q29" s="26"/>
      <c r="R29" s="48"/>
      <c r="S29" s="49"/>
      <c r="T29" s="27"/>
      <c r="U29" s="24"/>
      <c r="V29" s="28"/>
      <c r="W29" s="24"/>
      <c r="X29" s="23"/>
    </row>
    <row r="30" customFormat="false" ht="12.75" hidden="false" customHeight="false" outlineLevel="0" collapsed="false">
      <c r="A30" s="32" t="n">
        <f aca="false">A29+1</f>
        <v>37249</v>
      </c>
      <c r="C30" s="44"/>
      <c r="D30" s="90"/>
      <c r="E30" s="44"/>
      <c r="F30" s="90"/>
      <c r="G30" s="44"/>
      <c r="H30" s="90"/>
      <c r="I30" s="44"/>
      <c r="J30" s="90"/>
      <c r="K30" s="45"/>
      <c r="L30" s="35"/>
      <c r="M30" s="38"/>
      <c r="N30" s="40"/>
      <c r="O30" s="38"/>
      <c r="P30" s="46"/>
      <c r="Q30" s="39"/>
      <c r="R30" s="46"/>
      <c r="S30" s="47"/>
      <c r="T30" s="40"/>
      <c r="U30" s="38"/>
      <c r="V30" s="41"/>
      <c r="W30" s="38"/>
      <c r="X30" s="91"/>
    </row>
    <row r="31" customFormat="false" ht="12.75" hidden="false" customHeight="false" outlineLevel="0" collapsed="false">
      <c r="A31" s="32" t="n">
        <f aca="false">A30+1</f>
        <v>37250</v>
      </c>
      <c r="C31" s="44"/>
      <c r="D31" s="90"/>
      <c r="E31" s="44"/>
      <c r="F31" s="90"/>
      <c r="G31" s="44"/>
      <c r="H31" s="90"/>
      <c r="I31" s="33"/>
      <c r="J31" s="90"/>
      <c r="K31" s="45"/>
      <c r="L31" s="35"/>
      <c r="M31" s="38"/>
      <c r="N31" s="40"/>
      <c r="O31" s="38"/>
      <c r="P31" s="46"/>
      <c r="Q31" s="39"/>
      <c r="R31" s="46"/>
      <c r="S31" s="47"/>
      <c r="T31" s="40"/>
      <c r="U31" s="38"/>
      <c r="V31" s="41"/>
      <c r="W31" s="38"/>
      <c r="X31" s="35"/>
    </row>
    <row r="32" customFormat="false" ht="12.75" hidden="false" customHeight="false" outlineLevel="0" collapsed="false">
      <c r="A32" s="32" t="n">
        <f aca="false">A31+1</f>
        <v>37251</v>
      </c>
      <c r="C32" s="44"/>
      <c r="D32" s="90"/>
      <c r="E32" s="44"/>
      <c r="F32" s="90"/>
      <c r="G32" s="44"/>
      <c r="H32" s="90"/>
      <c r="I32" s="33"/>
      <c r="J32" s="34"/>
      <c r="K32" s="45"/>
      <c r="L32" s="35"/>
      <c r="M32" s="38"/>
      <c r="N32" s="40"/>
      <c r="O32" s="38"/>
      <c r="P32" s="46"/>
      <c r="Q32" s="39"/>
      <c r="R32" s="46"/>
      <c r="S32" s="47"/>
      <c r="T32" s="40"/>
      <c r="U32" s="38"/>
      <c r="V32" s="41"/>
      <c r="W32" s="38"/>
      <c r="X32" s="35"/>
    </row>
    <row r="33" customFormat="false" ht="12.75" hidden="false" customHeight="false" outlineLevel="0" collapsed="false">
      <c r="A33" s="32" t="n">
        <f aca="false">A32+1</f>
        <v>37252</v>
      </c>
      <c r="C33" s="44"/>
      <c r="D33" s="90"/>
      <c r="E33" s="44"/>
      <c r="F33" s="90"/>
      <c r="G33" s="44"/>
      <c r="H33" s="90"/>
      <c r="I33" s="44"/>
      <c r="J33" s="50"/>
      <c r="K33" s="45"/>
      <c r="L33" s="35"/>
      <c r="M33" s="38"/>
      <c r="N33" s="40"/>
      <c r="O33" s="38"/>
      <c r="P33" s="46"/>
      <c r="Q33" s="38"/>
      <c r="R33" s="46"/>
      <c r="S33" s="47"/>
      <c r="T33" s="38"/>
      <c r="U33" s="38"/>
      <c r="V33" s="41"/>
      <c r="W33" s="38"/>
      <c r="X33" s="61"/>
    </row>
    <row r="34" customFormat="false" ht="12.75" hidden="false" customHeight="false" outlineLevel="0" collapsed="false">
      <c r="A34" s="32" t="n">
        <f aca="false">A33+1</f>
        <v>37253</v>
      </c>
      <c r="C34" s="44"/>
      <c r="D34" s="90"/>
      <c r="E34" s="33"/>
      <c r="F34" s="90"/>
      <c r="G34" s="44"/>
      <c r="H34" s="90"/>
      <c r="I34" s="44"/>
      <c r="J34" s="50"/>
      <c r="K34" s="45"/>
      <c r="L34" s="35"/>
      <c r="M34" s="38"/>
      <c r="N34" s="40"/>
      <c r="O34" s="38"/>
      <c r="P34" s="46"/>
      <c r="Q34" s="38"/>
      <c r="R34" s="46"/>
      <c r="S34" s="47"/>
      <c r="T34" s="38"/>
      <c r="U34" s="38"/>
      <c r="V34" s="41"/>
      <c r="W34" s="38"/>
      <c r="X34" s="61"/>
    </row>
    <row r="35" customFormat="false" ht="12.75" hidden="false" customHeight="false" outlineLevel="0" collapsed="false">
      <c r="A35" s="42" t="n">
        <f aca="false">A34+1</f>
        <v>37254</v>
      </c>
      <c r="B35" s="19"/>
      <c r="C35" s="20"/>
      <c r="D35" s="29"/>
      <c r="E35" s="20"/>
      <c r="F35" s="29"/>
      <c r="G35" s="30"/>
      <c r="H35" s="29"/>
      <c r="I35" s="20"/>
      <c r="J35" s="22"/>
      <c r="K35" s="21"/>
      <c r="L35" s="23"/>
      <c r="M35" s="24"/>
      <c r="N35" s="27"/>
      <c r="O35" s="24"/>
      <c r="P35" s="48"/>
      <c r="Q35" s="24"/>
      <c r="R35" s="48"/>
      <c r="S35" s="49"/>
      <c r="T35" s="24"/>
      <c r="U35" s="24"/>
      <c r="V35" s="28"/>
      <c r="W35" s="24"/>
      <c r="X35" s="49"/>
    </row>
    <row r="36" customFormat="false" ht="12.75" hidden="false" customHeight="false" outlineLevel="0" collapsed="false">
      <c r="A36" s="42" t="n">
        <f aca="false">A35+1</f>
        <v>37255</v>
      </c>
      <c r="B36" s="19"/>
      <c r="C36" s="30"/>
      <c r="D36" s="29"/>
      <c r="E36" s="20"/>
      <c r="F36" s="29"/>
      <c r="G36" s="30"/>
      <c r="H36" s="29"/>
      <c r="I36" s="20"/>
      <c r="J36" s="22"/>
      <c r="K36" s="21"/>
      <c r="L36" s="23"/>
      <c r="M36" s="24"/>
      <c r="N36" s="27"/>
      <c r="O36" s="24"/>
      <c r="P36" s="48"/>
      <c r="Q36" s="24"/>
      <c r="R36" s="48"/>
      <c r="S36" s="49"/>
      <c r="T36" s="24"/>
      <c r="U36" s="24"/>
      <c r="V36" s="28"/>
      <c r="W36" s="24"/>
      <c r="X36" s="49"/>
    </row>
    <row r="37" customFormat="false" ht="12.75" hidden="false" customHeight="false" outlineLevel="0" collapsed="false">
      <c r="A37" s="32" t="n">
        <f aca="false">A36+1</f>
        <v>37256</v>
      </c>
      <c r="C37" s="44"/>
      <c r="D37" s="90"/>
      <c r="E37" s="44"/>
      <c r="F37" s="90"/>
      <c r="G37" s="44"/>
      <c r="H37" s="90"/>
      <c r="I37" s="44"/>
      <c r="J37" s="50"/>
      <c r="K37" s="45"/>
      <c r="L37" s="35"/>
      <c r="M37" s="38"/>
      <c r="N37" s="40"/>
      <c r="O37" s="38"/>
      <c r="P37" s="46"/>
      <c r="Q37" s="38"/>
      <c r="R37" s="46"/>
      <c r="S37" s="47"/>
      <c r="T37" s="38"/>
      <c r="U37" s="38"/>
      <c r="V37" s="41"/>
      <c r="W37" s="38"/>
      <c r="X37" s="61"/>
    </row>
    <row r="38" customFormat="false" ht="12.75" hidden="false" customHeight="false" outlineLevel="0" collapsed="false">
      <c r="A38" s="32" t="n">
        <f aca="false">A37+1</f>
        <v>37257</v>
      </c>
      <c r="C38" s="44"/>
      <c r="D38" s="45"/>
      <c r="E38" s="44"/>
      <c r="F38" s="45"/>
      <c r="G38" s="44"/>
      <c r="H38" s="45"/>
      <c r="I38" s="44"/>
      <c r="J38" s="50"/>
      <c r="K38" s="45"/>
      <c r="L38" s="35"/>
      <c r="M38" s="38"/>
      <c r="N38" s="38"/>
      <c r="O38" s="38"/>
      <c r="P38" s="38"/>
      <c r="Q38" s="38"/>
      <c r="R38" s="38"/>
      <c r="S38" s="38"/>
      <c r="T38" s="38"/>
      <c r="U38" s="38"/>
      <c r="V38" s="41" t="s">
        <v>90</v>
      </c>
      <c r="W38" s="38"/>
      <c r="X38" s="38"/>
    </row>
    <row r="39" customFormat="false" ht="12.75" hidden="false" customHeight="false" outlineLevel="0" collapsed="false">
      <c r="A39" s="32" t="n">
        <f aca="false">A38+1</f>
        <v>37258</v>
      </c>
      <c r="C39" s="51"/>
      <c r="D39" s="53"/>
      <c r="E39" s="51"/>
      <c r="F39" s="53"/>
      <c r="G39" s="51"/>
      <c r="H39" s="53"/>
      <c r="I39" s="51"/>
      <c r="J39" s="52"/>
      <c r="K39" s="53"/>
      <c r="L39" s="35"/>
      <c r="M39" s="55"/>
      <c r="N39" s="55"/>
      <c r="O39" s="55"/>
      <c r="P39" s="55"/>
      <c r="Q39" s="55"/>
      <c r="R39" s="55"/>
      <c r="S39" s="55"/>
      <c r="T39" s="38"/>
      <c r="U39" s="38"/>
      <c r="V39" s="41" t="s">
        <v>91</v>
      </c>
      <c r="W39" s="38"/>
      <c r="X39" s="38"/>
    </row>
    <row r="40" customFormat="false" ht="12.75" hidden="false" customHeight="false" outlineLevel="0" collapsed="false">
      <c r="A40" s="32" t="n">
        <f aca="false">A39+1</f>
        <v>37259</v>
      </c>
      <c r="C40" s="51"/>
      <c r="D40" s="53"/>
      <c r="E40" s="51"/>
      <c r="F40" s="53"/>
      <c r="G40" s="51"/>
      <c r="H40" s="53"/>
      <c r="I40" s="51"/>
      <c r="J40" s="52"/>
      <c r="K40" s="53"/>
      <c r="L40" s="35"/>
      <c r="M40" s="55"/>
      <c r="N40" s="55"/>
      <c r="O40" s="55"/>
      <c r="P40" s="55"/>
      <c r="Q40" s="55"/>
      <c r="R40" s="55"/>
      <c r="S40" s="55"/>
      <c r="T40" s="38"/>
      <c r="U40" s="38"/>
      <c r="V40" s="41" t="s">
        <v>92</v>
      </c>
      <c r="W40" s="38"/>
      <c r="X40" s="38"/>
    </row>
    <row r="41" customFormat="false" ht="12.75" hidden="false" customHeight="false" outlineLevel="0" collapsed="false">
      <c r="A41" s="32" t="n">
        <f aca="false">A40+1</f>
        <v>37260</v>
      </c>
      <c r="C41" s="51"/>
      <c r="D41" s="53"/>
      <c r="E41" s="51"/>
      <c r="F41" s="53"/>
      <c r="G41" s="51"/>
      <c r="H41" s="53"/>
      <c r="I41" s="51"/>
      <c r="J41" s="52"/>
      <c r="K41" s="53"/>
      <c r="L41" s="35"/>
      <c r="M41" s="55"/>
      <c r="N41" s="55"/>
      <c r="O41" s="55"/>
      <c r="P41" s="55"/>
      <c r="Q41" s="56"/>
      <c r="R41" s="56"/>
      <c r="S41" s="56"/>
      <c r="T41" s="38"/>
      <c r="U41" s="38"/>
      <c r="V41" s="41" t="s">
        <v>93</v>
      </c>
      <c r="W41" s="38"/>
      <c r="X41" s="38"/>
    </row>
    <row r="42" customFormat="false" ht="13.5" hidden="false" customHeight="false" outlineLevel="0" collapsed="false">
      <c r="A42" s="32"/>
      <c r="C42" s="57"/>
      <c r="D42" s="58"/>
      <c r="E42" s="57"/>
      <c r="F42" s="58"/>
      <c r="G42" s="57"/>
      <c r="H42" s="58"/>
      <c r="I42" s="57"/>
      <c r="J42" s="59"/>
      <c r="K42" s="58"/>
      <c r="L42" s="60"/>
      <c r="M42" s="60"/>
      <c r="N42" s="60"/>
      <c r="O42" s="60"/>
      <c r="P42" s="60"/>
      <c r="Q42" s="55"/>
      <c r="R42" s="38"/>
      <c r="S42" s="38"/>
      <c r="T42" s="38"/>
      <c r="U42" s="38"/>
      <c r="V42" s="38"/>
      <c r="W42" s="38"/>
      <c r="X42" s="38"/>
    </row>
    <row r="43" customFormat="false" ht="12.75" hidden="false" customHeight="false" outlineLevel="0" collapsed="false">
      <c r="A43" s="62" t="s">
        <v>58</v>
      </c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5"/>
      <c r="M43" s="64"/>
      <c r="N43" s="66"/>
      <c r="O43" s="64"/>
      <c r="P43" s="65"/>
      <c r="Q43" s="65"/>
      <c r="R43" s="65"/>
      <c r="S43" s="65"/>
      <c r="T43" s="38"/>
      <c r="U43" s="38"/>
      <c r="V43" s="38"/>
      <c r="W43" s="38"/>
      <c r="X43" s="38"/>
    </row>
    <row r="44" customFormat="false" ht="12.75" hidden="false" customHeight="false" outlineLevel="0" collapsed="false">
      <c r="A44" s="67" t="s">
        <v>59</v>
      </c>
      <c r="B44" s="68"/>
      <c r="C44" s="69"/>
      <c r="D44" s="69"/>
      <c r="E44" s="69"/>
      <c r="F44" s="69"/>
      <c r="G44" s="69"/>
      <c r="H44" s="69"/>
      <c r="I44" s="69"/>
      <c r="J44" s="69"/>
      <c r="K44" s="69"/>
      <c r="L44" s="70"/>
      <c r="M44" s="69"/>
      <c r="N44" s="71"/>
      <c r="O44" s="69"/>
      <c r="P44" s="70"/>
      <c r="Q44" s="70"/>
      <c r="R44" s="70"/>
      <c r="S44" s="70"/>
      <c r="T44" s="38"/>
      <c r="U44" s="38"/>
      <c r="V44" s="38"/>
      <c r="W44" s="38"/>
      <c r="X44" s="38"/>
    </row>
    <row r="45" customFormat="false" ht="12.75" hidden="false" customHeight="false" outlineLevel="0" collapsed="false">
      <c r="A45" s="67" t="s">
        <v>60</v>
      </c>
      <c r="B45" s="68"/>
      <c r="C45" s="69"/>
      <c r="D45" s="69"/>
      <c r="E45" s="69"/>
      <c r="F45" s="69"/>
      <c r="G45" s="69"/>
      <c r="H45" s="69"/>
      <c r="I45" s="69"/>
      <c r="J45" s="69"/>
      <c r="K45" s="69"/>
      <c r="L45" s="70"/>
      <c r="M45" s="69"/>
      <c r="N45" s="71"/>
      <c r="O45" s="69"/>
      <c r="P45" s="70"/>
      <c r="Q45" s="69"/>
      <c r="R45" s="70"/>
      <c r="S45" s="93"/>
      <c r="T45" s="38"/>
      <c r="U45" s="38"/>
      <c r="V45" s="38"/>
      <c r="W45" s="38"/>
      <c r="X45" s="38"/>
    </row>
    <row r="46" customFormat="false" ht="12.75" hidden="false" customHeight="false" outlineLevel="0" collapsed="false">
      <c r="A46" s="67" t="s">
        <v>61</v>
      </c>
      <c r="B46" s="68"/>
      <c r="C46" s="69"/>
      <c r="D46" s="69"/>
      <c r="E46" s="69"/>
      <c r="F46" s="69"/>
      <c r="G46" s="69"/>
      <c r="H46" s="69"/>
      <c r="I46" s="69"/>
      <c r="J46" s="69"/>
      <c r="K46" s="53"/>
      <c r="L46" s="70"/>
      <c r="M46" s="70"/>
      <c r="N46" s="71"/>
      <c r="O46" s="71"/>
      <c r="P46" s="70"/>
      <c r="Q46" s="71"/>
      <c r="R46" s="70"/>
      <c r="S46" s="70"/>
      <c r="T46" s="38"/>
      <c r="U46" s="38"/>
      <c r="V46" s="38"/>
      <c r="W46" s="38"/>
      <c r="X46" s="38"/>
    </row>
    <row r="47" customFormat="false" ht="13.5" hidden="false" customHeight="false" outlineLevel="0" collapsed="false">
      <c r="A47" s="72" t="s">
        <v>62</v>
      </c>
      <c r="B47" s="73"/>
      <c r="C47" s="94"/>
      <c r="D47" s="94"/>
      <c r="E47" s="94"/>
      <c r="F47" s="94"/>
      <c r="G47" s="94"/>
      <c r="H47" s="94"/>
      <c r="I47" s="94"/>
      <c r="J47" s="94"/>
      <c r="K47" s="94"/>
      <c r="L47" s="76"/>
      <c r="M47" s="94"/>
      <c r="N47" s="77"/>
      <c r="O47" s="94"/>
      <c r="P47" s="76"/>
      <c r="Q47" s="94"/>
      <c r="R47" s="76"/>
      <c r="S47" s="75"/>
      <c r="T47" s="38"/>
      <c r="U47" s="38"/>
      <c r="V47" s="38"/>
      <c r="W47" s="38"/>
      <c r="X47" s="38"/>
    </row>
    <row r="48" customFormat="false" ht="13.5" hidden="false" customHeight="false" outlineLevel="0" collapsed="false">
      <c r="A48" s="78" t="s">
        <v>63</v>
      </c>
      <c r="B48" s="79"/>
      <c r="C48" s="80" t="e">
        <f aca="false">AVERAGE(C43:C46)</f>
        <v>#DIV/0!</v>
      </c>
      <c r="D48" s="80" t="e">
        <f aca="false">AVERAGE(D43:D46)</f>
        <v>#DIV/0!</v>
      </c>
      <c r="E48" s="80" t="e">
        <f aca="false">AVERAGE(E43:E46)</f>
        <v>#DIV/0!</v>
      </c>
      <c r="F48" s="80" t="e">
        <f aca="false">AVERAGE(F43:F46)</f>
        <v>#DIV/0!</v>
      </c>
      <c r="G48" s="80" t="e">
        <f aca="false">AVERAGE(G43:G46)</f>
        <v>#DIV/0!</v>
      </c>
      <c r="H48" s="80" t="e">
        <f aca="false">AVERAGE(H43:H46)</f>
        <v>#DIV/0!</v>
      </c>
      <c r="I48" s="80" t="e">
        <f aca="false">AVERAGE(I43:I46)</f>
        <v>#DIV/0!</v>
      </c>
      <c r="J48" s="80" t="e">
        <f aca="false">AVERAGE(J43:J46)</f>
        <v>#DIV/0!</v>
      </c>
      <c r="K48" s="81"/>
      <c r="L48" s="82" t="n">
        <f aca="false">AVERAGE(L9:L39)</f>
        <v>19401.1666666667</v>
      </c>
      <c r="M48" s="83"/>
      <c r="N48" s="84" t="n">
        <f aca="false">AVERAGE(N9:N39)</f>
        <v>0.524</v>
      </c>
      <c r="O48" s="83"/>
      <c r="P48" s="82" t="n">
        <f aca="false">AVERAGE(P9:P39)</f>
        <v>1382.07291666667</v>
      </c>
      <c r="Q48" s="85"/>
      <c r="R48" s="82" t="n">
        <f aca="false">AVERAGE(R9:R39)</f>
        <v>30065.5416666667</v>
      </c>
      <c r="S48" s="85" t="n">
        <f aca="false">AVERAGE(S9:S39)</f>
        <v>59.229166666667</v>
      </c>
      <c r="T48" s="38"/>
      <c r="U48" s="38"/>
      <c r="V48" s="38"/>
      <c r="W48" s="38"/>
      <c r="X48" s="38"/>
    </row>
    <row r="49" customFormat="false" ht="13.5" hidden="false" customHeight="false" outlineLevel="0" collapsed="false">
      <c r="A49" s="86"/>
      <c r="B49" s="73"/>
      <c r="C49" s="87"/>
      <c r="D49" s="88"/>
      <c r="E49" s="87"/>
      <c r="F49" s="88"/>
      <c r="G49" s="87"/>
      <c r="H49" s="88"/>
      <c r="I49" s="87"/>
      <c r="J49" s="89"/>
      <c r="K49" s="88"/>
      <c r="L49" s="73"/>
      <c r="M49" s="73"/>
      <c r="N49" s="73"/>
      <c r="O49" s="73"/>
      <c r="P49" s="73"/>
      <c r="Q49" s="73"/>
      <c r="R49" s="73"/>
      <c r="S49" s="73"/>
    </row>
  </sheetData>
  <mergeCells count="1">
    <mergeCell ref="C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47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P40" activeCellId="0" sqref="P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2.28"/>
    <col collapsed="false" customWidth="true" hidden="false" outlineLevel="0" max="3" min="3" style="10" width="9.14"/>
    <col collapsed="false" customWidth="true" hidden="false" outlineLevel="0" max="4" min="4" style="11" width="6.28"/>
    <col collapsed="false" customWidth="true" hidden="false" outlineLevel="0" max="5" min="5" style="10" width="9.14"/>
    <col collapsed="false" customWidth="true" hidden="false" outlineLevel="0" max="6" min="6" style="11" width="5.85"/>
    <col collapsed="false" customWidth="true" hidden="false" outlineLevel="0" max="7" min="7" style="10" width="9.56"/>
    <col collapsed="false" customWidth="true" hidden="false" outlineLevel="0" max="8" min="8" style="11" width="6.7"/>
    <col collapsed="false" customWidth="true" hidden="false" outlineLevel="0" max="9" min="9" style="10" width="8.28"/>
    <col collapsed="false" customWidth="true" hidden="false" outlineLevel="0" max="10" min="10" style="12" width="6.7"/>
    <col collapsed="false" customWidth="true" hidden="false" outlineLevel="0" max="11" min="11" style="11" width="2.13"/>
    <col collapsed="false" customWidth="true" hidden="false" outlineLevel="0" max="12" min="12" style="0" width="10.13"/>
    <col collapsed="false" customWidth="true" hidden="false" outlineLevel="0" max="13" min="13" style="0" width="1.7"/>
    <col collapsed="false" customWidth="true" hidden="false" outlineLevel="0" max="14" min="14" style="0" width="9.7"/>
    <col collapsed="false" customWidth="true" hidden="false" outlineLevel="0" max="15" min="15" style="0" width="1.7"/>
    <col collapsed="false" customWidth="true" hidden="false" outlineLevel="0" max="16" min="16" style="0" width="9.56"/>
    <col collapsed="false" customWidth="true" hidden="false" outlineLevel="0" max="17" min="17" style="0" width="1.7"/>
    <col collapsed="false" customWidth="true" hidden="false" outlineLevel="0" max="18" min="18" style="0" width="8.85"/>
    <col collapsed="false" customWidth="true" hidden="false" outlineLevel="0" max="19" min="19" style="0" width="1.7"/>
    <col collapsed="false" customWidth="true" hidden="false" outlineLevel="0" max="20" min="20" style="0" width="9.85"/>
    <col collapsed="false" customWidth="true" hidden="false" outlineLevel="0" max="21" min="21" style="0" width="1.56"/>
    <col collapsed="false" customWidth="true" hidden="false" outlineLevel="0" max="22" min="22" style="0" width="8.99"/>
    <col collapsed="false" customWidth="true" hidden="false" outlineLevel="0" max="23" min="23" style="0" width="1.85"/>
    <col collapsed="false" customWidth="true" hidden="false" outlineLevel="0" max="24" min="24" style="0" width="9.28"/>
    <col collapsed="false" customWidth="true" hidden="false" outlineLevel="0" max="25" min="25" style="0" width="1.56"/>
  </cols>
  <sheetData>
    <row r="2" customFormat="false" ht="12.75" hidden="false" customHeight="false" outlineLevel="0" collapsed="false">
      <c r="L2" s="13" t="s">
        <v>64</v>
      </c>
      <c r="P2" s="14" t="s">
        <v>94</v>
      </c>
      <c r="T2" s="14" t="s">
        <v>94</v>
      </c>
      <c r="X2" s="14" t="s">
        <v>94</v>
      </c>
      <c r="Y2" s="14"/>
    </row>
    <row r="3" customFormat="false" ht="12.75" hidden="false" customHeight="false" outlineLevel="0" collapsed="false">
      <c r="C3" s="14" t="s">
        <v>9</v>
      </c>
      <c r="D3" s="14"/>
      <c r="E3" s="14"/>
      <c r="F3" s="14"/>
      <c r="G3" s="14"/>
      <c r="H3" s="14"/>
      <c r="I3" s="14"/>
      <c r="J3" s="14"/>
      <c r="K3" s="13"/>
      <c r="L3" s="13" t="s">
        <v>10</v>
      </c>
      <c r="N3" s="13" t="s">
        <v>3</v>
      </c>
      <c r="P3" s="14" t="s">
        <v>95</v>
      </c>
      <c r="R3" s="13" t="s">
        <v>4</v>
      </c>
      <c r="T3" s="14" t="s">
        <v>95</v>
      </c>
      <c r="V3" s="13" t="s">
        <v>4</v>
      </c>
      <c r="X3" s="14" t="s">
        <v>95</v>
      </c>
      <c r="Y3" s="14"/>
    </row>
    <row r="4" customFormat="false" ht="13.5" hidden="false" customHeight="false" outlineLevel="0" collapsed="false">
      <c r="A4" s="13" t="s">
        <v>16</v>
      </c>
      <c r="B4" s="13"/>
      <c r="C4" s="15" t="s">
        <v>3</v>
      </c>
      <c r="D4" s="16" t="s">
        <v>17</v>
      </c>
      <c r="E4" s="15" t="s">
        <v>4</v>
      </c>
      <c r="F4" s="16" t="s">
        <v>17</v>
      </c>
      <c r="G4" s="15" t="s">
        <v>5</v>
      </c>
      <c r="H4" s="16" t="s">
        <v>17</v>
      </c>
      <c r="I4" s="15" t="s">
        <v>18</v>
      </c>
      <c r="J4" s="16" t="s">
        <v>17</v>
      </c>
      <c r="K4" s="17"/>
      <c r="L4" s="15" t="s">
        <v>19</v>
      </c>
      <c r="M4" s="13"/>
      <c r="N4" s="15" t="s">
        <v>96</v>
      </c>
      <c r="O4" s="13"/>
      <c r="P4" s="15" t="s">
        <v>3</v>
      </c>
      <c r="Q4" s="13"/>
      <c r="R4" s="15" t="s">
        <v>96</v>
      </c>
      <c r="S4" s="13"/>
      <c r="T4" s="15" t="s">
        <v>4</v>
      </c>
      <c r="U4" s="13"/>
      <c r="V4" s="15" t="s">
        <v>96</v>
      </c>
      <c r="W4" s="13"/>
      <c r="X4" s="15" t="s">
        <v>5</v>
      </c>
      <c r="Y4" s="15"/>
    </row>
    <row r="6" customFormat="false" ht="6" hidden="false" customHeight="true" outlineLevel="0" collapsed="false"/>
    <row r="7" customFormat="false" ht="12.75" hidden="false" customHeight="false" outlineLevel="0" collapsed="false">
      <c r="A7" s="18" t="n">
        <v>37163</v>
      </c>
      <c r="B7" s="19"/>
      <c r="C7" s="20" t="n">
        <v>27.62</v>
      </c>
      <c r="D7" s="21"/>
      <c r="E7" s="20" t="n">
        <v>30.88</v>
      </c>
      <c r="F7" s="21"/>
      <c r="G7" s="20" t="n">
        <v>31.24</v>
      </c>
      <c r="H7" s="21"/>
      <c r="I7" s="20" t="n">
        <v>20.43</v>
      </c>
      <c r="J7" s="22"/>
      <c r="K7" s="21"/>
      <c r="L7" s="23" t="n">
        <v>17413</v>
      </c>
      <c r="M7" s="24"/>
      <c r="N7" s="26" t="n">
        <f aca="false">L7/C7</f>
        <v>630.448950036206</v>
      </c>
      <c r="O7" s="24"/>
      <c r="P7" s="24"/>
      <c r="Q7" s="24"/>
      <c r="R7" s="26" t="n">
        <f aca="false">L7/E7</f>
        <v>563.892487046632</v>
      </c>
      <c r="S7" s="24"/>
      <c r="T7" s="24"/>
      <c r="U7" s="24"/>
      <c r="V7" s="26" t="n">
        <f aca="false">L7/G7</f>
        <v>557.394366197183</v>
      </c>
      <c r="W7" s="24"/>
      <c r="X7" s="24"/>
      <c r="Y7" s="24"/>
    </row>
    <row r="8" customFormat="false" ht="12.75" hidden="false" customHeight="true" outlineLevel="0" collapsed="false">
      <c r="A8" s="18" t="n">
        <v>37164</v>
      </c>
      <c r="B8" s="19"/>
      <c r="C8" s="20" t="n">
        <v>24.57</v>
      </c>
      <c r="D8" s="29" t="n">
        <f aca="false">C8-C7</f>
        <v>-3.05</v>
      </c>
      <c r="E8" s="20" t="n">
        <v>29.41</v>
      </c>
      <c r="F8" s="29" t="n">
        <f aca="false">E8-E7</f>
        <v>-1.47</v>
      </c>
      <c r="G8" s="20" t="n">
        <v>29.31</v>
      </c>
      <c r="H8" s="29" t="n">
        <f aca="false">G8-G7</f>
        <v>-1.93</v>
      </c>
      <c r="I8" s="30" t="n">
        <v>18.52</v>
      </c>
      <c r="J8" s="29" t="n">
        <f aca="false">I8-I7</f>
        <v>-1.91</v>
      </c>
      <c r="K8" s="29"/>
      <c r="L8" s="23" t="n">
        <v>17160</v>
      </c>
      <c r="M8" s="24"/>
      <c r="N8" s="26" t="n">
        <f aca="false">L8/C8</f>
        <v>698.412698412698</v>
      </c>
      <c r="O8" s="24"/>
      <c r="P8" s="24"/>
      <c r="Q8" s="24"/>
      <c r="R8" s="26" t="n">
        <f aca="false">L8/E8</f>
        <v>583.47500850051</v>
      </c>
      <c r="S8" s="24"/>
      <c r="T8" s="24"/>
      <c r="U8" s="24"/>
      <c r="V8" s="26" t="n">
        <f aca="false">L8/G8</f>
        <v>585.46571136131</v>
      </c>
      <c r="W8" s="24"/>
      <c r="X8" s="24"/>
      <c r="Y8" s="24"/>
    </row>
    <row r="9" customFormat="false" ht="12.75" hidden="false" customHeight="false" outlineLevel="0" collapsed="false">
      <c r="A9" s="31" t="n">
        <v>37165</v>
      </c>
      <c r="B9" s="32"/>
      <c r="C9" s="33" t="n">
        <v>26</v>
      </c>
      <c r="D9" s="34" t="n">
        <f aca="false">C9-C8</f>
        <v>1.43</v>
      </c>
      <c r="E9" s="33" t="n">
        <v>30.45</v>
      </c>
      <c r="F9" s="34" t="n">
        <f aca="false">E9-E8</f>
        <v>1.04</v>
      </c>
      <c r="G9" s="33" t="n">
        <v>31.09</v>
      </c>
      <c r="H9" s="34" t="n">
        <f aca="false">G9-G8</f>
        <v>1.78</v>
      </c>
      <c r="I9" s="33" t="n">
        <v>24.89</v>
      </c>
      <c r="J9" s="34" t="n">
        <f aca="false">I9-I8</f>
        <v>6.37</v>
      </c>
      <c r="K9" s="34"/>
      <c r="L9" s="35" t="n">
        <v>19598</v>
      </c>
      <c r="M9" s="36"/>
      <c r="N9" s="95" t="n">
        <f aca="false">L9/C9</f>
        <v>753.769230769231</v>
      </c>
      <c r="O9" s="38"/>
      <c r="P9" s="38"/>
      <c r="Q9" s="38"/>
      <c r="R9" s="95" t="n">
        <f aca="false">L9/E9</f>
        <v>643.612479474548</v>
      </c>
      <c r="S9" s="38"/>
      <c r="T9" s="38"/>
      <c r="U9" s="38"/>
      <c r="V9" s="95" t="n">
        <f aca="false">L9/G9</f>
        <v>630.36346091991</v>
      </c>
      <c r="W9" s="38"/>
      <c r="X9" s="38"/>
      <c r="Y9" s="38"/>
    </row>
    <row r="10" customFormat="false" ht="12.75" hidden="false" customHeight="false" outlineLevel="0" collapsed="false">
      <c r="A10" s="32" t="n">
        <f aca="false">A9+1</f>
        <v>37166</v>
      </c>
      <c r="B10" s="32"/>
      <c r="C10" s="33" t="n">
        <v>26.29</v>
      </c>
      <c r="D10" s="34" t="n">
        <f aca="false">C10-C9</f>
        <v>0.289999999999999</v>
      </c>
      <c r="E10" s="33" t="n">
        <v>30.64</v>
      </c>
      <c r="F10" s="34" t="n">
        <f aca="false">E10-E9</f>
        <v>0.190000000000001</v>
      </c>
      <c r="G10" s="33" t="n">
        <v>32.83</v>
      </c>
      <c r="H10" s="34" t="n">
        <f aca="false">G10-G9</f>
        <v>1.74</v>
      </c>
      <c r="I10" s="33" t="n">
        <v>24.77</v>
      </c>
      <c r="J10" s="34" t="n">
        <f aca="false">I10-I9</f>
        <v>-0.120000000000001</v>
      </c>
      <c r="K10" s="34"/>
      <c r="L10" s="35" t="n">
        <v>20010</v>
      </c>
      <c r="M10" s="36"/>
      <c r="N10" s="95" t="n">
        <f aca="false">L10/C10</f>
        <v>761.125903385318</v>
      </c>
      <c r="O10" s="38"/>
      <c r="P10" s="38"/>
      <c r="Q10" s="38"/>
      <c r="R10" s="95" t="n">
        <f aca="false">L10/E10</f>
        <v>653.067885117494</v>
      </c>
      <c r="S10" s="38"/>
      <c r="T10" s="38"/>
      <c r="U10" s="38"/>
      <c r="V10" s="95" t="n">
        <f aca="false">L10/G10</f>
        <v>609.503502893695</v>
      </c>
      <c r="W10" s="38"/>
      <c r="X10" s="38"/>
      <c r="Y10" s="38"/>
    </row>
    <row r="11" customFormat="false" ht="12.75" hidden="false" customHeight="false" outlineLevel="0" collapsed="false">
      <c r="A11" s="32" t="n">
        <f aca="false">A10+1</f>
        <v>37167</v>
      </c>
      <c r="B11" s="32"/>
      <c r="C11" s="33" t="n">
        <v>26.85</v>
      </c>
      <c r="D11" s="34" t="n">
        <f aca="false">C11-C10</f>
        <v>0.560000000000002</v>
      </c>
      <c r="E11" s="33" t="n">
        <v>28.76</v>
      </c>
      <c r="F11" s="34" t="n">
        <f aca="false">E11-E10</f>
        <v>-1.88</v>
      </c>
      <c r="G11" s="33" t="n">
        <v>30.24</v>
      </c>
      <c r="H11" s="34" t="n">
        <f aca="false">G11-G10</f>
        <v>-2.59</v>
      </c>
      <c r="I11" s="33" t="n">
        <v>29.84</v>
      </c>
      <c r="J11" s="34" t="n">
        <f aca="false">I11-I10</f>
        <v>5.07</v>
      </c>
      <c r="K11" s="34"/>
      <c r="L11" s="35" t="n">
        <v>20719</v>
      </c>
      <c r="M11" s="36"/>
      <c r="N11" s="95" t="n">
        <f aca="false">L11/C11</f>
        <v>771.657355679702</v>
      </c>
      <c r="O11" s="38"/>
      <c r="P11" s="38"/>
      <c r="Q11" s="38"/>
      <c r="R11" s="95" t="n">
        <f aca="false">L11/E11</f>
        <v>720.410292072323</v>
      </c>
      <c r="S11" s="38"/>
      <c r="T11" s="38"/>
      <c r="U11" s="38"/>
      <c r="V11" s="95" t="n">
        <f aca="false">L11/G11</f>
        <v>685.152116402117</v>
      </c>
      <c r="W11" s="38"/>
      <c r="X11" s="38"/>
      <c r="Y11" s="38"/>
    </row>
    <row r="12" customFormat="false" ht="12.75" hidden="false" customHeight="false" outlineLevel="0" collapsed="false">
      <c r="A12" s="32" t="n">
        <f aca="false">A11+1</f>
        <v>37168</v>
      </c>
      <c r="B12" s="32"/>
      <c r="C12" s="33" t="n">
        <v>27.33</v>
      </c>
      <c r="D12" s="34" t="n">
        <f aca="false">C12-C11</f>
        <v>0.479999999999997</v>
      </c>
      <c r="E12" s="33" t="n">
        <v>31.66</v>
      </c>
      <c r="F12" s="34" t="n">
        <f aca="false">E12-E11</f>
        <v>2.9</v>
      </c>
      <c r="G12" s="33" t="n">
        <v>33.67</v>
      </c>
      <c r="H12" s="34" t="n">
        <f aca="false">G12-G11</f>
        <v>3.43</v>
      </c>
      <c r="I12" s="33" t="n">
        <v>29.87</v>
      </c>
      <c r="J12" s="34" t="n">
        <f aca="false">I12-I11</f>
        <v>0.0300000000000011</v>
      </c>
      <c r="K12" s="34"/>
      <c r="L12" s="35" t="n">
        <v>21426</v>
      </c>
      <c r="M12" s="36"/>
      <c r="N12" s="95" t="n">
        <f aca="false">L12/C12</f>
        <v>783.97365532382</v>
      </c>
      <c r="O12" s="38"/>
      <c r="P12" s="38"/>
      <c r="Q12" s="38"/>
      <c r="R12" s="95" t="n">
        <f aca="false">L12/E12</f>
        <v>676.753000631712</v>
      </c>
      <c r="S12" s="38"/>
      <c r="T12" s="38"/>
      <c r="U12" s="38"/>
      <c r="V12" s="95" t="n">
        <f aca="false">L12/G12</f>
        <v>636.352836352836</v>
      </c>
      <c r="W12" s="38"/>
      <c r="X12" s="38"/>
      <c r="Y12" s="38"/>
    </row>
    <row r="13" customFormat="false" ht="12.75" hidden="false" customHeight="false" outlineLevel="0" collapsed="false">
      <c r="A13" s="32" t="n">
        <f aca="false">A12+1</f>
        <v>37169</v>
      </c>
      <c r="B13" s="32"/>
      <c r="C13" s="33" t="n">
        <v>26.83</v>
      </c>
      <c r="D13" s="34" t="n">
        <f aca="false">C13-C12</f>
        <v>-0.5</v>
      </c>
      <c r="E13" s="33" t="n">
        <v>30.86</v>
      </c>
      <c r="F13" s="34" t="n">
        <f aca="false">E13-E12</f>
        <v>-0.800000000000001</v>
      </c>
      <c r="G13" s="33" t="n">
        <v>32.61</v>
      </c>
      <c r="H13" s="34" t="n">
        <f aca="false">G13-G12</f>
        <v>-1.06</v>
      </c>
      <c r="I13" s="33" t="n">
        <v>28.61</v>
      </c>
      <c r="J13" s="34" t="n">
        <f aca="false">I13-I12</f>
        <v>-1.26</v>
      </c>
      <c r="K13" s="34"/>
      <c r="L13" s="35" t="n">
        <v>20585</v>
      </c>
      <c r="M13" s="36"/>
      <c r="N13" s="95" t="n">
        <f aca="false">L13/C13</f>
        <v>767.23816623183</v>
      </c>
      <c r="O13" s="38"/>
      <c r="P13" s="38"/>
      <c r="Q13" s="38"/>
      <c r="R13" s="95" t="n">
        <f aca="false">L13/E13</f>
        <v>667.044718081659</v>
      </c>
      <c r="S13" s="38"/>
      <c r="T13" s="38"/>
      <c r="U13" s="38"/>
      <c r="V13" s="95" t="n">
        <f aca="false">L13/G13</f>
        <v>631.248083409997</v>
      </c>
      <c r="W13" s="38"/>
      <c r="X13" s="38"/>
      <c r="Y13" s="38"/>
    </row>
    <row r="14" customFormat="false" ht="12.75" hidden="false" customHeight="false" outlineLevel="0" collapsed="false">
      <c r="A14" s="42" t="n">
        <f aca="false">A13+1</f>
        <v>37170</v>
      </c>
      <c r="B14" s="42"/>
      <c r="C14" s="30" t="n">
        <v>29.34</v>
      </c>
      <c r="D14" s="29" t="n">
        <f aca="false">C14-C13</f>
        <v>2.51</v>
      </c>
      <c r="E14" s="30" t="n">
        <v>33.24</v>
      </c>
      <c r="F14" s="29" t="n">
        <f aca="false">E14-E13</f>
        <v>2.38</v>
      </c>
      <c r="G14" s="30" t="n">
        <v>33.42</v>
      </c>
      <c r="H14" s="29" t="n">
        <f aca="false">G14-G13</f>
        <v>0.810000000000002</v>
      </c>
      <c r="I14" s="30" t="n">
        <v>24.44</v>
      </c>
      <c r="J14" s="29" t="n">
        <f aca="false">I14-I13</f>
        <v>-4.17</v>
      </c>
      <c r="K14" s="29"/>
      <c r="L14" s="23" t="n">
        <v>17836</v>
      </c>
      <c r="M14" s="43"/>
      <c r="N14" s="26" t="n">
        <f aca="false">L14/C14</f>
        <v>607.907293796864</v>
      </c>
      <c r="O14" s="24"/>
      <c r="P14" s="24"/>
      <c r="Q14" s="24"/>
      <c r="R14" s="26" t="n">
        <f aca="false">L14/E14</f>
        <v>536.582430806257</v>
      </c>
      <c r="S14" s="24"/>
      <c r="T14" s="24"/>
      <c r="U14" s="24"/>
      <c r="V14" s="26" t="n">
        <f aca="false">L14/G14</f>
        <v>533.692399760622</v>
      </c>
      <c r="W14" s="24"/>
      <c r="X14" s="24"/>
      <c r="Y14" s="24"/>
    </row>
    <row r="15" customFormat="false" ht="12.75" hidden="false" customHeight="false" outlineLevel="0" collapsed="false">
      <c r="A15" s="42" t="n">
        <f aca="false">A14+1</f>
        <v>37171</v>
      </c>
      <c r="B15" s="42"/>
      <c r="C15" s="30" t="n">
        <v>27.98</v>
      </c>
      <c r="D15" s="29" t="n">
        <f aca="false">C15-C14</f>
        <v>-1.36</v>
      </c>
      <c r="E15" s="30" t="n">
        <v>30.65</v>
      </c>
      <c r="F15" s="29" t="n">
        <f aca="false">E15-E14</f>
        <v>-2.59</v>
      </c>
      <c r="G15" s="30" t="n">
        <v>30.7</v>
      </c>
      <c r="H15" s="29" t="n">
        <f aca="false">G15-G14</f>
        <v>-2.72</v>
      </c>
      <c r="I15" s="30" t="n">
        <v>23.9</v>
      </c>
      <c r="J15" s="29" t="n">
        <f aca="false">I15-I14</f>
        <v>-0.540000000000003</v>
      </c>
      <c r="K15" s="29"/>
      <c r="L15" s="23" t="n">
        <v>17454</v>
      </c>
      <c r="M15" s="43"/>
      <c r="N15" s="26" t="n">
        <f aca="false">L15/C15</f>
        <v>623.802716225876</v>
      </c>
      <c r="O15" s="24"/>
      <c r="P15" s="24"/>
      <c r="Q15" s="24"/>
      <c r="R15" s="26" t="n">
        <f aca="false">L15/E15</f>
        <v>569.461663947798</v>
      </c>
      <c r="S15" s="24"/>
      <c r="T15" s="24"/>
      <c r="U15" s="24"/>
      <c r="V15" s="26" t="n">
        <f aca="false">L15/G15</f>
        <v>568.534201954397</v>
      </c>
      <c r="W15" s="24"/>
      <c r="X15" s="24"/>
      <c r="Y15" s="24"/>
    </row>
    <row r="16" customFormat="false" ht="12.75" hidden="false" customHeight="false" outlineLevel="0" collapsed="false">
      <c r="A16" s="32" t="n">
        <f aca="false">A15+1</f>
        <v>37172</v>
      </c>
      <c r="B16" s="32"/>
      <c r="C16" s="33" t="n">
        <v>29.94</v>
      </c>
      <c r="D16" s="34" t="n">
        <f aca="false">C16-C15</f>
        <v>1.96</v>
      </c>
      <c r="E16" s="33" t="n">
        <v>34.03</v>
      </c>
      <c r="F16" s="34" t="n">
        <f aca="false">E16-E15</f>
        <v>3.38</v>
      </c>
      <c r="G16" s="33" t="n">
        <v>34.16</v>
      </c>
      <c r="H16" s="34" t="n">
        <f aca="false">G16-G15</f>
        <v>3.46</v>
      </c>
      <c r="I16" s="33" t="n">
        <v>27.97</v>
      </c>
      <c r="J16" s="34" t="n">
        <f aca="false">I16-I15</f>
        <v>4.07</v>
      </c>
      <c r="K16" s="34"/>
      <c r="L16" s="35" t="n">
        <v>19350</v>
      </c>
      <c r="M16" s="36"/>
      <c r="N16" s="95" t="n">
        <f aca="false">L16/C16</f>
        <v>646.292585170341</v>
      </c>
      <c r="O16" s="38"/>
      <c r="P16" s="38"/>
      <c r="Q16" s="38"/>
      <c r="R16" s="95" t="n">
        <f aca="false">L16/E16</f>
        <v>568.615927123127</v>
      </c>
      <c r="S16" s="38"/>
      <c r="T16" s="38"/>
      <c r="U16" s="38"/>
      <c r="V16" s="95" t="n">
        <f aca="false">L16/G16</f>
        <v>566.451990632319</v>
      </c>
      <c r="W16" s="38"/>
      <c r="X16" s="38"/>
      <c r="Y16" s="38"/>
    </row>
    <row r="17" customFormat="false" ht="12.75" hidden="false" customHeight="false" outlineLevel="0" collapsed="false">
      <c r="A17" s="32" t="n">
        <f aca="false">A16+1</f>
        <v>37173</v>
      </c>
      <c r="C17" s="33" t="n">
        <v>29.38</v>
      </c>
      <c r="D17" s="34" t="n">
        <f aca="false">C17-C16</f>
        <v>-0.560000000000002</v>
      </c>
      <c r="E17" s="33" t="n">
        <v>33.87</v>
      </c>
      <c r="F17" s="34" t="n">
        <f aca="false">E17-E16</f>
        <v>-0.160000000000004</v>
      </c>
      <c r="G17" s="33" t="n">
        <v>34.11</v>
      </c>
      <c r="H17" s="34" t="n">
        <f aca="false">G17-G16</f>
        <v>-0.0499999999999972</v>
      </c>
      <c r="I17" s="33" t="n">
        <v>23.75</v>
      </c>
      <c r="J17" s="34" t="n">
        <f aca="false">I17-I16</f>
        <v>-4.22</v>
      </c>
      <c r="K17" s="34"/>
      <c r="L17" s="35" t="n">
        <v>19381</v>
      </c>
      <c r="M17" s="38"/>
      <c r="N17" s="95" t="n">
        <f aca="false">L17/C17</f>
        <v>659.666439754935</v>
      </c>
      <c r="O17" s="38"/>
      <c r="P17" s="38"/>
      <c r="Q17" s="38"/>
      <c r="R17" s="95" t="n">
        <f aca="false">L17/E17</f>
        <v>572.217301446708</v>
      </c>
      <c r="S17" s="38"/>
      <c r="T17" s="38"/>
      <c r="U17" s="38"/>
      <c r="V17" s="95" t="n">
        <f aca="false">L17/G17</f>
        <v>568.19114629141</v>
      </c>
      <c r="W17" s="38"/>
      <c r="X17" s="38"/>
      <c r="Y17" s="38"/>
    </row>
    <row r="18" customFormat="false" ht="12.75" hidden="false" customHeight="false" outlineLevel="0" collapsed="false">
      <c r="A18" s="32" t="n">
        <f aca="false">A17+1</f>
        <v>37174</v>
      </c>
      <c r="C18" s="44" t="n">
        <v>26.97</v>
      </c>
      <c r="D18" s="34" t="n">
        <f aca="false">C18-C17</f>
        <v>-2.41</v>
      </c>
      <c r="E18" s="44" t="n">
        <v>31.43</v>
      </c>
      <c r="F18" s="34" t="n">
        <f aca="false">E18-E17</f>
        <v>-2.44</v>
      </c>
      <c r="G18" s="44" t="n">
        <v>31.65</v>
      </c>
      <c r="H18" s="34" t="n">
        <f aca="false">G18-G17</f>
        <v>-2.46</v>
      </c>
      <c r="I18" s="33" t="n">
        <v>21.79</v>
      </c>
      <c r="J18" s="34" t="n">
        <f aca="false">I18-I17</f>
        <v>-1.96</v>
      </c>
      <c r="K18" s="34"/>
      <c r="L18" s="35" t="n">
        <v>19577</v>
      </c>
      <c r="M18" s="38"/>
      <c r="N18" s="95" t="n">
        <f aca="false">L18/C18</f>
        <v>725.880608083055</v>
      </c>
      <c r="O18" s="38"/>
      <c r="P18" s="38"/>
      <c r="Q18" s="38"/>
      <c r="R18" s="95" t="n">
        <f aca="false">L18/E18</f>
        <v>622.876232898505</v>
      </c>
      <c r="S18" s="38"/>
      <c r="T18" s="38"/>
      <c r="U18" s="38"/>
      <c r="V18" s="95" t="n">
        <f aca="false">L18/G18</f>
        <v>618.546603475514</v>
      </c>
      <c r="W18" s="38"/>
      <c r="X18" s="38"/>
      <c r="Y18" s="38"/>
    </row>
    <row r="19" customFormat="false" ht="12.75" hidden="false" customHeight="false" outlineLevel="0" collapsed="false">
      <c r="A19" s="32" t="n">
        <f aca="false">A18+1</f>
        <v>37175</v>
      </c>
      <c r="C19" s="44" t="n">
        <v>29.21</v>
      </c>
      <c r="D19" s="34" t="n">
        <f aca="false">C19-C18</f>
        <v>2.24</v>
      </c>
      <c r="E19" s="44" t="n">
        <v>33.35</v>
      </c>
      <c r="F19" s="34" t="n">
        <f aca="false">E19-E18</f>
        <v>1.92</v>
      </c>
      <c r="G19" s="44" t="n">
        <v>33.75</v>
      </c>
      <c r="H19" s="34" t="n">
        <f aca="false">G19-G18</f>
        <v>2.1</v>
      </c>
      <c r="I19" s="33" t="n">
        <v>22.62</v>
      </c>
      <c r="J19" s="34" t="n">
        <f aca="false">I19-I18</f>
        <v>0.830000000000002</v>
      </c>
      <c r="K19" s="45"/>
      <c r="L19" s="35" t="n">
        <v>20179</v>
      </c>
      <c r="M19" s="38"/>
      <c r="N19" s="95" t="n">
        <f aca="false">L19/C19</f>
        <v>690.825059910989</v>
      </c>
      <c r="O19" s="38"/>
      <c r="P19" s="38"/>
      <c r="Q19" s="38"/>
      <c r="R19" s="95" t="n">
        <f aca="false">L19/E19</f>
        <v>605.067466266867</v>
      </c>
      <c r="S19" s="38"/>
      <c r="T19" s="38"/>
      <c r="U19" s="38"/>
      <c r="V19" s="95" t="n">
        <f aca="false">L19/G19</f>
        <v>597.896296296296</v>
      </c>
      <c r="W19" s="38"/>
      <c r="X19" s="38"/>
      <c r="Y19" s="38"/>
    </row>
    <row r="20" customFormat="false" ht="12.75" hidden="false" customHeight="false" outlineLevel="0" collapsed="false">
      <c r="A20" s="32" t="n">
        <f aca="false">A19+1</f>
        <v>37176</v>
      </c>
      <c r="C20" s="44" t="n">
        <v>26.14</v>
      </c>
      <c r="D20" s="34" t="n">
        <f aca="false">C20-C19</f>
        <v>-3.07</v>
      </c>
      <c r="E20" s="44" t="n">
        <v>31.11</v>
      </c>
      <c r="F20" s="34" t="n">
        <f aca="false">E20-E19</f>
        <v>-2.24</v>
      </c>
      <c r="G20" s="44" t="n">
        <v>32.53</v>
      </c>
      <c r="H20" s="34" t="n">
        <f aca="false">G20-G19</f>
        <v>-1.22</v>
      </c>
      <c r="I20" s="44" t="n">
        <v>27.41</v>
      </c>
      <c r="J20" s="34" t="n">
        <f aca="false">I20-I19</f>
        <v>4.79</v>
      </c>
      <c r="K20" s="45"/>
      <c r="L20" s="35" t="n">
        <v>20201</v>
      </c>
      <c r="M20" s="38"/>
      <c r="N20" s="95" t="n">
        <f aca="false">L20/C20</f>
        <v>772.800306044376</v>
      </c>
      <c r="O20" s="38"/>
      <c r="P20" s="38"/>
      <c r="Q20" s="38"/>
      <c r="R20" s="95" t="n">
        <f aca="false">L20/E20</f>
        <v>649.341047894568</v>
      </c>
      <c r="S20" s="38"/>
      <c r="T20" s="38"/>
      <c r="U20" s="38"/>
      <c r="V20" s="95" t="n">
        <f aca="false">L20/G20</f>
        <v>620.996003688903</v>
      </c>
      <c r="W20" s="38"/>
      <c r="X20" s="38"/>
      <c r="Y20" s="38"/>
    </row>
    <row r="21" customFormat="false" ht="12.75" hidden="false" customHeight="false" outlineLevel="0" collapsed="false">
      <c r="A21" s="42" t="n">
        <f aca="false">A20+1</f>
        <v>37177</v>
      </c>
      <c r="B21" s="19"/>
      <c r="C21" s="20" t="n">
        <v>25.31</v>
      </c>
      <c r="D21" s="29" t="n">
        <f aca="false">C21-C20</f>
        <v>-0.830000000000002</v>
      </c>
      <c r="E21" s="20" t="n">
        <v>29.79</v>
      </c>
      <c r="F21" s="29" t="n">
        <f aca="false">E21-E20</f>
        <v>-1.32</v>
      </c>
      <c r="G21" s="20" t="n">
        <v>30.13</v>
      </c>
      <c r="H21" s="29" t="n">
        <f aca="false">G21-G20</f>
        <v>-2.4</v>
      </c>
      <c r="I21" s="20" t="n">
        <v>27.05</v>
      </c>
      <c r="J21" s="29" t="n">
        <f aca="false">I21-I20</f>
        <v>-0.359999999999999</v>
      </c>
      <c r="K21" s="21"/>
      <c r="L21" s="23" t="n">
        <v>18232</v>
      </c>
      <c r="M21" s="24"/>
      <c r="N21" s="26" t="n">
        <f aca="false">L21/C21</f>
        <v>720.347688660609</v>
      </c>
      <c r="O21" s="24"/>
      <c r="P21" s="24"/>
      <c r="Q21" s="24"/>
      <c r="R21" s="26" t="n">
        <f aca="false">L21/E21</f>
        <v>612.017455521987</v>
      </c>
      <c r="S21" s="24"/>
      <c r="T21" s="24"/>
      <c r="U21" s="24"/>
      <c r="V21" s="26" t="n">
        <f aca="false">L21/G21</f>
        <v>605.111184865583</v>
      </c>
      <c r="W21" s="24"/>
      <c r="X21" s="24"/>
      <c r="Y21" s="24"/>
    </row>
    <row r="22" customFormat="false" ht="12.75" hidden="false" customHeight="false" outlineLevel="0" collapsed="false">
      <c r="A22" s="42" t="n">
        <f aca="false">A21+1</f>
        <v>37178</v>
      </c>
      <c r="B22" s="19"/>
      <c r="C22" s="20" t="n">
        <v>24.52</v>
      </c>
      <c r="D22" s="29" t="n">
        <f aca="false">C22-C21</f>
        <v>-0.789999999999999</v>
      </c>
      <c r="E22" s="20" t="n">
        <v>29.21</v>
      </c>
      <c r="F22" s="29" t="n">
        <f aca="false">E22-E21</f>
        <v>-0.579999999999998</v>
      </c>
      <c r="G22" s="20" t="n">
        <v>29.49</v>
      </c>
      <c r="H22" s="29" t="n">
        <f aca="false">G22-G21</f>
        <v>-0.640000000000001</v>
      </c>
      <c r="I22" s="20" t="n">
        <v>22.46</v>
      </c>
      <c r="J22" s="29" t="n">
        <f aca="false">I22-I21</f>
        <v>-4.59</v>
      </c>
      <c r="K22" s="21"/>
      <c r="L22" s="23" t="n">
        <v>18545</v>
      </c>
      <c r="M22" s="24"/>
      <c r="N22" s="26" t="n">
        <f aca="false">L22/C22</f>
        <v>756.321370309951</v>
      </c>
      <c r="O22" s="24"/>
      <c r="P22" s="24"/>
      <c r="Q22" s="24"/>
      <c r="R22" s="26" t="n">
        <f aca="false">L22/E22</f>
        <v>634.885313248887</v>
      </c>
      <c r="S22" s="24"/>
      <c r="T22" s="24"/>
      <c r="U22" s="24"/>
      <c r="V22" s="26" t="n">
        <f aca="false">L22/G22</f>
        <v>628.857239742286</v>
      </c>
      <c r="W22" s="24"/>
      <c r="X22" s="24"/>
      <c r="Y22" s="24"/>
    </row>
    <row r="23" customFormat="false" ht="12.75" hidden="false" customHeight="false" outlineLevel="0" collapsed="false">
      <c r="A23" s="32" t="n">
        <f aca="false">A22+1</f>
        <v>37179</v>
      </c>
      <c r="C23" s="33" t="n">
        <v>27.41</v>
      </c>
      <c r="D23" s="34" t="n">
        <f aca="false">C23-C22</f>
        <v>2.89</v>
      </c>
      <c r="E23" s="33" t="n">
        <v>32</v>
      </c>
      <c r="F23" s="34" t="n">
        <f aca="false">E23-E22</f>
        <v>2.79</v>
      </c>
      <c r="G23" s="44" t="n">
        <v>32.99</v>
      </c>
      <c r="H23" s="34" t="n">
        <f aca="false">G23-G22</f>
        <v>3.5</v>
      </c>
      <c r="I23" s="33" t="n">
        <v>29</v>
      </c>
      <c r="J23" s="34" t="n">
        <f aca="false">I23-I22</f>
        <v>6.54</v>
      </c>
      <c r="K23" s="45"/>
      <c r="L23" s="35" t="n">
        <v>20175</v>
      </c>
      <c r="M23" s="38"/>
      <c r="N23" s="95" t="n">
        <f aca="false">L23/C23</f>
        <v>736.045238963882</v>
      </c>
      <c r="O23" s="38"/>
      <c r="P23" s="38"/>
      <c r="Q23" s="38"/>
      <c r="R23" s="95" t="n">
        <f aca="false">L23/E23</f>
        <v>630.46875</v>
      </c>
      <c r="S23" s="38"/>
      <c r="T23" s="38"/>
      <c r="U23" s="38"/>
      <c r="V23" s="95" t="n">
        <f aca="false">L23/G23</f>
        <v>611.548954228554</v>
      </c>
      <c r="W23" s="38"/>
      <c r="X23" s="38"/>
      <c r="Y23" s="38"/>
    </row>
    <row r="24" customFormat="false" ht="12.75" hidden="false" customHeight="false" outlineLevel="0" collapsed="false">
      <c r="A24" s="32" t="n">
        <f aca="false">A23+1</f>
        <v>37180</v>
      </c>
      <c r="C24" s="44" t="n">
        <v>27.48</v>
      </c>
      <c r="D24" s="34" t="n">
        <f aca="false">C24-C23</f>
        <v>0.0700000000000003</v>
      </c>
      <c r="E24" s="44" t="n">
        <v>32.87</v>
      </c>
      <c r="F24" s="34" t="n">
        <f aca="false">E24-E23</f>
        <v>0.869999999999997</v>
      </c>
      <c r="G24" s="44" t="n">
        <v>33.27</v>
      </c>
      <c r="H24" s="34" t="n">
        <f aca="false">G24-G23</f>
        <v>0.280000000000001</v>
      </c>
      <c r="I24" s="44" t="n">
        <v>23.82</v>
      </c>
      <c r="J24" s="34" t="n">
        <f aca="false">I24-I23</f>
        <v>-5.18</v>
      </c>
      <c r="K24" s="45"/>
      <c r="L24" s="35" t="n">
        <v>19790</v>
      </c>
      <c r="M24" s="38"/>
      <c r="N24" s="95" t="n">
        <f aca="false">L24/C24</f>
        <v>720.160116448326</v>
      </c>
      <c r="O24" s="38"/>
      <c r="P24" s="38"/>
      <c r="Q24" s="38"/>
      <c r="R24" s="95" t="n">
        <f aca="false">L24/E24</f>
        <v>602.06875570429</v>
      </c>
      <c r="S24" s="38"/>
      <c r="T24" s="38"/>
      <c r="U24" s="38"/>
      <c r="V24" s="95" t="n">
        <f aca="false">L24/G24</f>
        <v>594.83017733694</v>
      </c>
      <c r="W24" s="38"/>
      <c r="X24" s="38"/>
      <c r="Y24" s="38"/>
    </row>
    <row r="25" customFormat="false" ht="12.75" hidden="false" customHeight="false" outlineLevel="0" collapsed="false">
      <c r="A25" s="32" t="n">
        <f aca="false">A24+1</f>
        <v>37181</v>
      </c>
      <c r="C25" s="44" t="n">
        <v>28.15</v>
      </c>
      <c r="D25" s="34" t="n">
        <f aca="false">C25-C24</f>
        <v>0.669999999999998</v>
      </c>
      <c r="E25" s="44" t="n">
        <v>33.35</v>
      </c>
      <c r="F25" s="34" t="n">
        <f aca="false">E25-E24</f>
        <v>0.480000000000004</v>
      </c>
      <c r="G25" s="44" t="n">
        <v>33.71</v>
      </c>
      <c r="H25" s="34" t="n">
        <f aca="false">G25-G24</f>
        <v>0.439999999999998</v>
      </c>
      <c r="I25" s="33" t="n">
        <v>31</v>
      </c>
      <c r="J25" s="34" t="n">
        <f aca="false">I25-I24</f>
        <v>7.18</v>
      </c>
      <c r="K25" s="45"/>
      <c r="L25" s="35" t="n">
        <v>19878</v>
      </c>
      <c r="M25" s="38"/>
      <c r="N25" s="95" t="n">
        <f aca="false">L25/C25</f>
        <v>706.145648312611</v>
      </c>
      <c r="O25" s="38"/>
      <c r="P25" s="38"/>
      <c r="Q25" s="38"/>
      <c r="R25" s="95" t="n">
        <f aca="false">L25/E25</f>
        <v>596.041979010495</v>
      </c>
      <c r="S25" s="38"/>
      <c r="T25" s="38"/>
      <c r="U25" s="38"/>
      <c r="V25" s="95" t="n">
        <f aca="false">L25/G25</f>
        <v>589.676653811925</v>
      </c>
      <c r="W25" s="38"/>
      <c r="X25" s="38"/>
      <c r="Y25" s="38"/>
    </row>
    <row r="26" customFormat="false" ht="12.75" hidden="false" customHeight="false" outlineLevel="0" collapsed="false">
      <c r="A26" s="32" t="n">
        <f aca="false">A25+1</f>
        <v>37182</v>
      </c>
      <c r="C26" s="44" t="n">
        <v>28.53</v>
      </c>
      <c r="D26" s="34" t="n">
        <f aca="false">C26-C25</f>
        <v>0.380000000000003</v>
      </c>
      <c r="E26" s="44" t="n">
        <v>33.85</v>
      </c>
      <c r="F26" s="34" t="n">
        <f aca="false">E26-E25</f>
        <v>0.5</v>
      </c>
      <c r="G26" s="44" t="n">
        <v>34.73</v>
      </c>
      <c r="H26" s="34" t="n">
        <f aca="false">G26-G25</f>
        <v>1.02</v>
      </c>
      <c r="I26" s="44" t="n">
        <v>26.43</v>
      </c>
      <c r="J26" s="34" t="n">
        <f aca="false">I26-I25</f>
        <v>-4.57</v>
      </c>
      <c r="K26" s="45"/>
      <c r="L26" s="35" t="n">
        <v>19613</v>
      </c>
      <c r="M26" s="38"/>
      <c r="N26" s="95" t="n">
        <f aca="false">L26/C26</f>
        <v>687.45180511742</v>
      </c>
      <c r="O26" s="38"/>
      <c r="P26" s="38"/>
      <c r="Q26" s="38"/>
      <c r="R26" s="95" t="n">
        <f aca="false">L26/E26</f>
        <v>579.409158050222</v>
      </c>
      <c r="S26" s="38"/>
      <c r="T26" s="38"/>
      <c r="U26" s="38"/>
      <c r="V26" s="95" t="n">
        <f aca="false">L26/G26</f>
        <v>564.727900950187</v>
      </c>
      <c r="W26" s="38"/>
      <c r="X26" s="38"/>
      <c r="Y26" s="38"/>
    </row>
    <row r="27" customFormat="false" ht="12.75" hidden="false" customHeight="false" outlineLevel="0" collapsed="false">
      <c r="A27" s="32" t="n">
        <f aca="false">A26+1</f>
        <v>37183</v>
      </c>
      <c r="C27" s="44" t="n">
        <v>28.71</v>
      </c>
      <c r="D27" s="34" t="n">
        <f aca="false">C27-C26</f>
        <v>0.18</v>
      </c>
      <c r="E27" s="44" t="n">
        <v>33.76</v>
      </c>
      <c r="F27" s="34" t="n">
        <f aca="false">E27-E26</f>
        <v>-0.0900000000000034</v>
      </c>
      <c r="G27" s="44" t="n">
        <v>35.57</v>
      </c>
      <c r="H27" s="34" t="n">
        <f aca="false">G27-G26</f>
        <v>0.840000000000003</v>
      </c>
      <c r="I27" s="44" t="n">
        <v>24.24</v>
      </c>
      <c r="J27" s="34" t="n">
        <f aca="false">I27-I26</f>
        <v>-2.19</v>
      </c>
      <c r="K27" s="45"/>
      <c r="L27" s="35" t="n">
        <v>19124</v>
      </c>
      <c r="M27" s="38"/>
      <c r="N27" s="95" t="n">
        <f aca="false">L27/C27</f>
        <v>666.109369557645</v>
      </c>
      <c r="O27" s="38"/>
      <c r="P27" s="38"/>
      <c r="Q27" s="38"/>
      <c r="R27" s="95" t="n">
        <f aca="false">L27/E27</f>
        <v>566.469194312796</v>
      </c>
      <c r="S27" s="38"/>
      <c r="T27" s="38"/>
      <c r="U27" s="38"/>
      <c r="V27" s="95" t="n">
        <f aca="false">L27/G27</f>
        <v>537.64408209165</v>
      </c>
      <c r="W27" s="38"/>
      <c r="X27" s="38"/>
      <c r="Y27" s="38"/>
    </row>
    <row r="28" customFormat="false" ht="12.75" hidden="false" customHeight="false" outlineLevel="0" collapsed="false">
      <c r="A28" s="42" t="n">
        <f aca="false">A27+1</f>
        <v>37184</v>
      </c>
      <c r="B28" s="19"/>
      <c r="C28" s="20" t="n">
        <v>25.95</v>
      </c>
      <c r="D28" s="29" t="n">
        <f aca="false">C28-C27</f>
        <v>-2.76</v>
      </c>
      <c r="E28" s="30" t="n">
        <v>30.2</v>
      </c>
      <c r="F28" s="29" t="n">
        <f aca="false">E28-E27</f>
        <v>-3.56</v>
      </c>
      <c r="G28" s="20" t="n">
        <v>30.57</v>
      </c>
      <c r="H28" s="29" t="n">
        <f aca="false">G28-G27</f>
        <v>-5</v>
      </c>
      <c r="I28" s="20" t="n">
        <v>19.58</v>
      </c>
      <c r="J28" s="29" t="n">
        <f aca="false">I28-I27</f>
        <v>-4.66</v>
      </c>
      <c r="K28" s="21"/>
      <c r="L28" s="23" t="n">
        <v>17563</v>
      </c>
      <c r="M28" s="24"/>
      <c r="N28" s="26" t="n">
        <f aca="false">L28/C28</f>
        <v>676.801541425819</v>
      </c>
      <c r="O28" s="24"/>
      <c r="P28" s="24"/>
      <c r="Q28" s="24"/>
      <c r="R28" s="26" t="n">
        <f aca="false">L28/E28</f>
        <v>581.556291390729</v>
      </c>
      <c r="S28" s="24"/>
      <c r="T28" s="24"/>
      <c r="U28" s="24"/>
      <c r="V28" s="26" t="n">
        <f aca="false">L28/G28</f>
        <v>574.517500817795</v>
      </c>
      <c r="W28" s="24"/>
      <c r="X28" s="24"/>
      <c r="Y28" s="24"/>
    </row>
    <row r="29" customFormat="false" ht="12.75" hidden="false" customHeight="false" outlineLevel="0" collapsed="false">
      <c r="A29" s="42" t="n">
        <f aca="false">A28+1</f>
        <v>37185</v>
      </c>
      <c r="B29" s="19"/>
      <c r="C29" s="30" t="n">
        <v>24.9</v>
      </c>
      <c r="D29" s="29" t="n">
        <f aca="false">C29-C28</f>
        <v>-1.05</v>
      </c>
      <c r="E29" s="20" t="n">
        <v>29.47</v>
      </c>
      <c r="F29" s="29" t="n">
        <f aca="false">E29-E28</f>
        <v>-0.73</v>
      </c>
      <c r="G29" s="20" t="n">
        <v>29.78</v>
      </c>
      <c r="H29" s="29" t="n">
        <f aca="false">G29-G28</f>
        <v>-0.789999999999999</v>
      </c>
      <c r="I29" s="30" t="n">
        <v>19</v>
      </c>
      <c r="J29" s="29" t="n">
        <f aca="false">I29-I28</f>
        <v>-0.579999999999998</v>
      </c>
      <c r="K29" s="21"/>
      <c r="L29" s="23" t="n">
        <v>17485</v>
      </c>
      <c r="M29" s="24"/>
      <c r="N29" s="26" t="n">
        <f aca="false">L29/C29</f>
        <v>702.208835341366</v>
      </c>
      <c r="O29" s="24"/>
      <c r="P29" s="24"/>
      <c r="Q29" s="24"/>
      <c r="R29" s="26" t="n">
        <f aca="false">L29/E29</f>
        <v>593.315235833051</v>
      </c>
      <c r="S29" s="24"/>
      <c r="T29" s="24"/>
      <c r="U29" s="24"/>
      <c r="V29" s="26" t="n">
        <f aca="false">L29/G29</f>
        <v>587.139019476159</v>
      </c>
      <c r="W29" s="24"/>
      <c r="X29" s="24"/>
      <c r="Y29" s="24"/>
    </row>
    <row r="30" customFormat="false" ht="12.75" hidden="false" customHeight="false" outlineLevel="0" collapsed="false">
      <c r="A30" s="32" t="n">
        <f aca="false">A29+1</f>
        <v>37186</v>
      </c>
      <c r="C30" s="44" t="n">
        <v>28.01</v>
      </c>
      <c r="D30" s="34" t="n">
        <f aca="false">C30-C29</f>
        <v>3.11</v>
      </c>
      <c r="E30" s="44" t="n">
        <v>32.64</v>
      </c>
      <c r="F30" s="34" t="n">
        <f aca="false">E30-E29</f>
        <v>3.17</v>
      </c>
      <c r="G30" s="44" t="n">
        <v>33.57</v>
      </c>
      <c r="H30" s="34" t="n">
        <f aca="false">G30-G29</f>
        <v>3.79</v>
      </c>
      <c r="I30" s="44" t="n">
        <v>22.44</v>
      </c>
      <c r="J30" s="34" t="n">
        <f aca="false">I30-I29</f>
        <v>3.44</v>
      </c>
      <c r="K30" s="45"/>
      <c r="L30" s="35" t="n">
        <v>19065</v>
      </c>
      <c r="M30" s="38"/>
      <c r="N30" s="95" t="n">
        <f aca="false">L30/C30</f>
        <v>680.649767940021</v>
      </c>
      <c r="O30" s="38"/>
      <c r="P30" s="38"/>
      <c r="Q30" s="38"/>
      <c r="R30" s="95" t="n">
        <f aca="false">L30/E30</f>
        <v>584.099264705882</v>
      </c>
      <c r="S30" s="38"/>
      <c r="T30" s="38"/>
      <c r="U30" s="38"/>
      <c r="V30" s="95" t="n">
        <f aca="false">L30/G30</f>
        <v>567.917783735478</v>
      </c>
      <c r="W30" s="38"/>
      <c r="X30" s="38"/>
      <c r="Y30" s="38"/>
    </row>
    <row r="31" customFormat="false" ht="12.75" hidden="false" customHeight="false" outlineLevel="0" collapsed="false">
      <c r="A31" s="32" t="n">
        <f aca="false">A30+1</f>
        <v>37187</v>
      </c>
      <c r="C31" s="44" t="n">
        <v>27.47</v>
      </c>
      <c r="D31" s="34" t="n">
        <f aca="false">C31-C30</f>
        <v>-0.540000000000003</v>
      </c>
      <c r="E31" s="44" t="n">
        <v>32.93</v>
      </c>
      <c r="F31" s="34" t="n">
        <f aca="false">E31-E30</f>
        <v>0.289999999999999</v>
      </c>
      <c r="G31" s="44" t="n">
        <v>33.81</v>
      </c>
      <c r="H31" s="34" t="n">
        <f aca="false">G31-G30</f>
        <v>0.240000000000002</v>
      </c>
      <c r="I31" s="33" t="n">
        <v>24.5</v>
      </c>
      <c r="J31" s="34" t="n">
        <f aca="false">I31-I30</f>
        <v>2.06</v>
      </c>
      <c r="K31" s="45"/>
      <c r="L31" s="35" t="n">
        <v>19073</v>
      </c>
      <c r="M31" s="38"/>
      <c r="N31" s="95" t="n">
        <f aca="false">L31/C31</f>
        <v>694.321077539134</v>
      </c>
      <c r="O31" s="38"/>
      <c r="P31" s="38"/>
      <c r="Q31" s="38"/>
      <c r="R31" s="95" t="n">
        <f aca="false">L31/E31</f>
        <v>579.198299423019</v>
      </c>
      <c r="S31" s="38"/>
      <c r="T31" s="38"/>
      <c r="U31" s="38"/>
      <c r="V31" s="95" t="n">
        <f aca="false">L31/G31</f>
        <v>564.123040520556</v>
      </c>
      <c r="W31" s="38"/>
      <c r="X31" s="38"/>
      <c r="Y31" s="38"/>
    </row>
    <row r="32" customFormat="false" ht="12.75" hidden="false" customHeight="false" outlineLevel="0" collapsed="false">
      <c r="A32" s="32" t="n">
        <f aca="false">A31+1</f>
        <v>37188</v>
      </c>
      <c r="C32" s="44" t="n">
        <v>29.93</v>
      </c>
      <c r="D32" s="34" t="n">
        <f aca="false">C32-C31</f>
        <v>2.46</v>
      </c>
      <c r="E32" s="44" t="n">
        <v>35.52</v>
      </c>
      <c r="F32" s="34" t="n">
        <f aca="false">E32-E31</f>
        <v>2.59</v>
      </c>
      <c r="G32" s="44" t="n">
        <v>36.75</v>
      </c>
      <c r="H32" s="34" t="n">
        <f aca="false">G32-G31</f>
        <v>2.94</v>
      </c>
      <c r="I32" s="33" t="n">
        <v>31.5</v>
      </c>
      <c r="J32" s="34" t="n">
        <f aca="false">I32-I31</f>
        <v>7</v>
      </c>
      <c r="K32" s="45"/>
      <c r="L32" s="35" t="n">
        <v>19276</v>
      </c>
      <c r="M32" s="38"/>
      <c r="N32" s="95" t="n">
        <f aca="false">L32/C32</f>
        <v>644.036084196458</v>
      </c>
      <c r="O32" s="38"/>
      <c r="P32" s="38"/>
      <c r="Q32" s="38"/>
      <c r="R32" s="95" t="n">
        <f aca="false">L32/E32</f>
        <v>542.68018018018</v>
      </c>
      <c r="S32" s="38"/>
      <c r="T32" s="38"/>
      <c r="U32" s="38"/>
      <c r="V32" s="95" t="n">
        <f aca="false">L32/G32</f>
        <v>524.517006802721</v>
      </c>
      <c r="W32" s="38"/>
      <c r="X32" s="38"/>
      <c r="Y32" s="38"/>
    </row>
    <row r="33" customFormat="false" ht="12.75" hidden="false" customHeight="false" outlineLevel="0" collapsed="false">
      <c r="A33" s="32" t="n">
        <f aca="false">A32+1</f>
        <v>37189</v>
      </c>
      <c r="C33" s="44" t="n">
        <v>32.19</v>
      </c>
      <c r="D33" s="34" t="n">
        <f aca="false">C33-C32</f>
        <v>2.26</v>
      </c>
      <c r="E33" s="44" t="n">
        <v>38.55</v>
      </c>
      <c r="F33" s="34" t="n">
        <f aca="false">E33-E32</f>
        <v>3.02999999999999</v>
      </c>
      <c r="G33" s="44" t="n">
        <v>41.23</v>
      </c>
      <c r="H33" s="34" t="n">
        <f aca="false">G33-G32</f>
        <v>4.48</v>
      </c>
      <c r="I33" s="44"/>
      <c r="J33" s="50"/>
      <c r="K33" s="45"/>
      <c r="L33" s="35" t="n">
        <v>19094</v>
      </c>
      <c r="M33" s="38"/>
      <c r="N33" s="95" t="n">
        <f aca="false">L33/C33</f>
        <v>593.165579372476</v>
      </c>
      <c r="O33" s="38"/>
      <c r="P33" s="36" t="n">
        <f aca="false">L33/N32</f>
        <v>29.6474071384105</v>
      </c>
      <c r="Q33" s="38"/>
      <c r="R33" s="95" t="n">
        <f aca="false">L33/E33</f>
        <v>495.304798962387</v>
      </c>
      <c r="S33" s="38"/>
      <c r="T33" s="36" t="n">
        <f aca="false">L33/R32</f>
        <v>35.1846275160822</v>
      </c>
      <c r="U33" s="38"/>
      <c r="V33" s="95" t="n">
        <f aca="false">L33/G33</f>
        <v>463.109386369149</v>
      </c>
      <c r="W33" s="38"/>
      <c r="X33" s="36" t="n">
        <f aca="false">L33/$V$32</f>
        <v>36.4030141108114</v>
      </c>
      <c r="Y33" s="38"/>
    </row>
    <row r="34" customFormat="false" ht="12.75" hidden="false" customHeight="false" outlineLevel="0" collapsed="false">
      <c r="A34" s="32" t="n">
        <f aca="false">A33+1</f>
        <v>37190</v>
      </c>
      <c r="C34" s="44" t="n">
        <v>34.56</v>
      </c>
      <c r="D34" s="34" t="n">
        <f aca="false">C34-C33</f>
        <v>2.37</v>
      </c>
      <c r="E34" s="33" t="n">
        <v>40</v>
      </c>
      <c r="F34" s="34" t="n">
        <f aca="false">E34-E33</f>
        <v>1.45</v>
      </c>
      <c r="G34" s="44" t="n">
        <v>40.67</v>
      </c>
      <c r="H34" s="34" t="n">
        <f aca="false">G34-G33</f>
        <v>-0.559999999999995</v>
      </c>
      <c r="I34" s="44"/>
      <c r="J34" s="50"/>
      <c r="K34" s="45"/>
      <c r="L34" s="35" t="n">
        <v>18917</v>
      </c>
      <c r="M34" s="38"/>
      <c r="N34" s="95" t="n">
        <f aca="false">L34/C34</f>
        <v>547.366898148148</v>
      </c>
      <c r="O34" s="38"/>
      <c r="P34" s="36" t="n">
        <f aca="false">L34/$N$33</f>
        <v>31.8916010265005</v>
      </c>
      <c r="Q34" s="38"/>
      <c r="R34" s="95" t="n">
        <f aca="false">L34/E34</f>
        <v>472.925</v>
      </c>
      <c r="S34" s="38"/>
      <c r="T34" s="36" t="n">
        <f aca="false">L34/$R$33</f>
        <v>38.1926442861632</v>
      </c>
      <c r="U34" s="38"/>
      <c r="V34" s="95" t="n">
        <f aca="false">L34/G34</f>
        <v>465.134005409393</v>
      </c>
      <c r="W34" s="38"/>
      <c r="X34" s="36" t="n">
        <f aca="false">L34/$V$33</f>
        <v>40.8478008798575</v>
      </c>
      <c r="Y34" s="38"/>
    </row>
    <row r="35" customFormat="false" ht="12.75" hidden="false" customHeight="false" outlineLevel="0" collapsed="false">
      <c r="A35" s="42" t="n">
        <f aca="false">A34+1</f>
        <v>37191</v>
      </c>
      <c r="B35" s="19"/>
      <c r="C35" s="20" t="n">
        <v>32.28</v>
      </c>
      <c r="D35" s="29" t="n">
        <f aca="false">C35-C34</f>
        <v>-2.28</v>
      </c>
      <c r="E35" s="20" t="n">
        <v>37.37</v>
      </c>
      <c r="F35" s="29" t="n">
        <f aca="false">E35-E34</f>
        <v>-2.63</v>
      </c>
      <c r="G35" s="20" t="n">
        <v>37.62</v>
      </c>
      <c r="H35" s="29" t="n">
        <f aca="false">G35-G34</f>
        <v>-3.05</v>
      </c>
      <c r="I35" s="20"/>
      <c r="J35" s="22"/>
      <c r="K35" s="21"/>
      <c r="L35" s="23" t="n">
        <v>18338</v>
      </c>
      <c r="M35" s="24"/>
      <c r="N35" s="26" t="n">
        <f aca="false">L35/C35</f>
        <v>568.091697645601</v>
      </c>
      <c r="O35" s="24"/>
      <c r="P35" s="43" t="n">
        <f aca="false">L35/$N$33</f>
        <v>30.9154823504766</v>
      </c>
      <c r="Q35" s="24"/>
      <c r="R35" s="26" t="n">
        <f aca="false">L35/E35</f>
        <v>490.714476853091</v>
      </c>
      <c r="S35" s="24"/>
      <c r="T35" s="43" t="n">
        <f aca="false">L35/$R$33</f>
        <v>37.0236671205614</v>
      </c>
      <c r="U35" s="24"/>
      <c r="V35" s="26" t="n">
        <f aca="false">L35/G35</f>
        <v>487.453482190324</v>
      </c>
      <c r="W35" s="24"/>
      <c r="X35" s="43" t="n">
        <f aca="false">L35/$V$33</f>
        <v>39.5975563004085</v>
      </c>
      <c r="Y35" s="24"/>
    </row>
    <row r="36" customFormat="false" ht="12.75" hidden="false" customHeight="false" outlineLevel="0" collapsed="false">
      <c r="A36" s="42" t="n">
        <f aca="false">A35+1</f>
        <v>37192</v>
      </c>
      <c r="B36" s="19"/>
      <c r="C36" s="20" t="n">
        <v>31.33</v>
      </c>
      <c r="D36" s="29" t="n">
        <f aca="false">C36-C35</f>
        <v>-0.950000000000003</v>
      </c>
      <c r="E36" s="20" t="n">
        <v>36.69</v>
      </c>
      <c r="F36" s="29" t="n">
        <f aca="false">E36-E35</f>
        <v>-0.68</v>
      </c>
      <c r="G36" s="30" t="n">
        <v>36.9</v>
      </c>
      <c r="H36" s="29" t="n">
        <f aca="false">G36-G35</f>
        <v>-0.719999999999999</v>
      </c>
      <c r="I36" s="20"/>
      <c r="J36" s="22"/>
      <c r="K36" s="21"/>
      <c r="L36" s="23" t="n">
        <v>18700</v>
      </c>
      <c r="M36" s="24"/>
      <c r="N36" s="26" t="n">
        <f aca="false">L36/C36</f>
        <v>596.872007660389</v>
      </c>
      <c r="O36" s="24"/>
      <c r="P36" s="43" t="n">
        <f aca="false">L36/$N$33</f>
        <v>31.5257672567299</v>
      </c>
      <c r="Q36" s="24"/>
      <c r="R36" s="26" t="n">
        <f aca="false">L36/E36</f>
        <v>509.675660943036</v>
      </c>
      <c r="S36" s="24"/>
      <c r="T36" s="43" t="n">
        <f aca="false">L36/$R$33</f>
        <v>37.7545302189169</v>
      </c>
      <c r="U36" s="24"/>
      <c r="V36" s="26" t="n">
        <f aca="false">L36/G36</f>
        <v>506.775067750678</v>
      </c>
      <c r="W36" s="24"/>
      <c r="X36" s="43" t="n">
        <f aca="false">L36/$V$33</f>
        <v>40.379229077197</v>
      </c>
      <c r="Y36" s="24"/>
    </row>
    <row r="37" customFormat="false" ht="12.75" hidden="false" customHeight="false" outlineLevel="0" collapsed="false">
      <c r="A37" s="32" t="n">
        <f aca="false">A36+1</f>
        <v>37193</v>
      </c>
      <c r="C37" s="44" t="n">
        <v>34.34</v>
      </c>
      <c r="D37" s="34" t="n">
        <f aca="false">C37-C36</f>
        <v>3.01000000000001</v>
      </c>
      <c r="E37" s="44" t="n">
        <v>37.84</v>
      </c>
      <c r="F37" s="34" t="n">
        <f aca="false">E37-E36</f>
        <v>1.15000000000001</v>
      </c>
      <c r="G37" s="44" t="n">
        <v>43.58</v>
      </c>
      <c r="H37" s="34" t="n">
        <f aca="false">G37-G36</f>
        <v>6.68</v>
      </c>
      <c r="I37" s="44"/>
      <c r="J37" s="50"/>
      <c r="K37" s="45"/>
      <c r="L37" s="35" t="n">
        <v>19628</v>
      </c>
      <c r="M37" s="38"/>
      <c r="N37" s="95" t="n">
        <f aca="false">L37/C37</f>
        <v>571.578334304019</v>
      </c>
      <c r="O37" s="38"/>
      <c r="P37" s="36" t="n">
        <f aca="false">L37/$N$33</f>
        <v>33.0902545302189</v>
      </c>
      <c r="Q37" s="38"/>
      <c r="R37" s="95" t="n">
        <f aca="false">L37/E37</f>
        <v>518.710359408034</v>
      </c>
      <c r="S37" s="38"/>
      <c r="T37" s="36" t="n">
        <f aca="false">L37/$R$33</f>
        <v>39.6281240180161</v>
      </c>
      <c r="U37" s="38"/>
      <c r="V37" s="95" t="n">
        <f aca="false">L37/G37</f>
        <v>450.390087195962</v>
      </c>
      <c r="W37" s="38"/>
      <c r="X37" s="36" t="n">
        <f aca="false">L37/$V$33</f>
        <v>42.3830753116162</v>
      </c>
      <c r="Y37" s="38"/>
    </row>
    <row r="38" customFormat="false" ht="12.75" hidden="false" customHeight="false" outlineLevel="0" collapsed="false">
      <c r="A38" s="32" t="n">
        <f aca="false">A37+1</f>
        <v>37194</v>
      </c>
      <c r="C38" s="44" t="n">
        <v>37.47</v>
      </c>
      <c r="D38" s="34" t="n">
        <f aca="false">C38-C37</f>
        <v>3.13</v>
      </c>
      <c r="E38" s="44" t="n">
        <v>44.03</v>
      </c>
      <c r="F38" s="34" t="n">
        <f aca="false">E38-E37</f>
        <v>6.19</v>
      </c>
      <c r="G38" s="44" t="n">
        <v>44.68</v>
      </c>
      <c r="H38" s="34" t="n">
        <f aca="false">G38-G37</f>
        <v>1.1</v>
      </c>
      <c r="I38" s="44"/>
      <c r="J38" s="50"/>
      <c r="K38" s="45"/>
      <c r="L38" s="35" t="n">
        <v>19310</v>
      </c>
      <c r="M38" s="38"/>
      <c r="N38" s="95" t="n">
        <f aca="false">L38/C38</f>
        <v>515.34560982119</v>
      </c>
      <c r="O38" s="38"/>
      <c r="P38" s="36" t="n">
        <f aca="false">L38/$N$37</f>
        <v>33.7836458121052</v>
      </c>
      <c r="Q38" s="38"/>
      <c r="R38" s="95" t="n">
        <f aca="false">L38/E38</f>
        <v>438.564615035203</v>
      </c>
      <c r="S38" s="38"/>
      <c r="T38" s="36" t="n">
        <f aca="false">L38/$R$37</f>
        <v>37.2269411045445</v>
      </c>
      <c r="U38" s="38"/>
      <c r="V38" s="95" t="n">
        <f aca="false">L38/G38</f>
        <v>432.18442256043</v>
      </c>
      <c r="W38" s="38"/>
      <c r="X38" s="36" t="n">
        <f aca="false">L38/$V$37</f>
        <v>42.8739453841451</v>
      </c>
      <c r="Y38" s="38"/>
    </row>
    <row r="39" customFormat="false" ht="12.75" hidden="false" customHeight="false" outlineLevel="0" collapsed="false">
      <c r="A39" s="32" t="n">
        <f aca="false">A38+1</f>
        <v>37195</v>
      </c>
      <c r="C39" s="51" t="n">
        <v>33.32</v>
      </c>
      <c r="D39" s="34" t="n">
        <f aca="false">C39-C38</f>
        <v>-4.15</v>
      </c>
      <c r="E39" s="51" t="n">
        <v>40.36</v>
      </c>
      <c r="F39" s="34" t="n">
        <f aca="false">E39-E38</f>
        <v>-3.67</v>
      </c>
      <c r="G39" s="51" t="n">
        <v>40.95</v>
      </c>
      <c r="H39" s="34" t="n">
        <f aca="false">G39-G38</f>
        <v>-3.73</v>
      </c>
      <c r="I39" s="51"/>
      <c r="J39" s="52"/>
      <c r="K39" s="53"/>
      <c r="L39" s="54" t="n">
        <v>19485</v>
      </c>
      <c r="M39" s="55"/>
      <c r="N39" s="95" t="n">
        <f aca="false">L39/C39</f>
        <v>584.783913565426</v>
      </c>
      <c r="O39" s="38"/>
      <c r="P39" s="36" t="n">
        <f aca="false">L39/$N$38</f>
        <v>37.8095779388918</v>
      </c>
      <c r="Q39" s="38"/>
      <c r="R39" s="95" t="n">
        <f aca="false">L39/E39</f>
        <v>482.779980178394</v>
      </c>
      <c r="S39" s="38"/>
      <c r="T39" s="36" t="n">
        <f aca="false">L39/$R$38</f>
        <v>44.4290290005179</v>
      </c>
      <c r="U39" s="38"/>
      <c r="V39" s="95" t="n">
        <f aca="false">L39/G39</f>
        <v>475.824175824176</v>
      </c>
      <c r="W39" s="38"/>
      <c r="X39" s="36" t="n">
        <f aca="false">L39/$V$38</f>
        <v>45.0849197307095</v>
      </c>
      <c r="Y39" s="38"/>
    </row>
    <row r="40" customFormat="false" ht="13.5" hidden="false" customHeight="false" outlineLevel="0" collapsed="false">
      <c r="A40" s="32"/>
      <c r="C40" s="57"/>
      <c r="D40" s="58"/>
      <c r="E40" s="57"/>
      <c r="F40" s="58"/>
      <c r="G40" s="57"/>
      <c r="H40" s="58"/>
      <c r="I40" s="57"/>
      <c r="J40" s="59"/>
      <c r="K40" s="58"/>
      <c r="L40" s="60"/>
      <c r="M40" s="60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</row>
    <row r="41" customFormat="false" ht="12.75" hidden="false" customHeight="false" outlineLevel="0" collapsed="false">
      <c r="A41" s="62" t="s">
        <v>58</v>
      </c>
      <c r="B41" s="63"/>
      <c r="C41" s="64" t="n">
        <f aca="false">AVERAGE(C9:C13)</f>
        <v>26.66</v>
      </c>
      <c r="D41" s="64" t="n">
        <f aca="false">AVERAGE(D9:D13)</f>
        <v>0.452</v>
      </c>
      <c r="E41" s="64" t="n">
        <f aca="false">AVERAGE(E9:E13)</f>
        <v>30.474</v>
      </c>
      <c r="F41" s="64" t="n">
        <f aca="false">AVERAGE(F9:F13)</f>
        <v>0.29</v>
      </c>
      <c r="G41" s="64" t="n">
        <f aca="false">AVERAGE(G9:G13)</f>
        <v>32.088</v>
      </c>
      <c r="H41" s="64" t="n">
        <f aca="false">AVERAGE(H9:H13)</f>
        <v>0.66</v>
      </c>
      <c r="I41" s="64" t="n">
        <f aca="false">AVERAGE(I9:I13)</f>
        <v>27.596</v>
      </c>
      <c r="J41" s="64" t="n">
        <f aca="false">AVERAGE(J9:J13)</f>
        <v>2.018</v>
      </c>
      <c r="K41" s="64"/>
      <c r="L41" s="65" t="n">
        <f aca="false">AVERAGE(L9:L13)</f>
        <v>20467.6</v>
      </c>
      <c r="M41" s="64"/>
      <c r="N41" s="96" t="n">
        <f aca="false">AVERAGE(N9:N13)</f>
        <v>767.55286227798</v>
      </c>
      <c r="O41" s="38"/>
      <c r="P41" s="38"/>
      <c r="Q41" s="38"/>
      <c r="R41" s="70"/>
      <c r="S41" s="38"/>
      <c r="T41" s="38"/>
      <c r="U41" s="38"/>
      <c r="V41" s="70"/>
      <c r="W41" s="38"/>
      <c r="X41" s="38"/>
      <c r="Y41" s="38"/>
    </row>
    <row r="42" customFormat="false" ht="12.75" hidden="false" customHeight="false" outlineLevel="0" collapsed="false">
      <c r="A42" s="67" t="s">
        <v>59</v>
      </c>
      <c r="B42" s="68"/>
      <c r="C42" s="69" t="n">
        <f aca="false">AVERAGE(C16:C20)</f>
        <v>28.328</v>
      </c>
      <c r="D42" s="69" t="n">
        <f aca="false">AVERAGE(D16:D20)</f>
        <v>-0.368</v>
      </c>
      <c r="E42" s="69" t="n">
        <f aca="false">AVERAGE(E16:E20)</f>
        <v>32.758</v>
      </c>
      <c r="F42" s="69" t="n">
        <f aca="false">AVERAGE(F16:F20)</f>
        <v>0.0920000000000002</v>
      </c>
      <c r="G42" s="69" t="n">
        <f aca="false">AVERAGE(G16:G20)</f>
        <v>33.24</v>
      </c>
      <c r="H42" s="69" t="n">
        <f aca="false">AVERAGE(H16:H20)</f>
        <v>0.366</v>
      </c>
      <c r="I42" s="69" t="n">
        <f aca="false">AVERAGE(I16:I20)</f>
        <v>24.708</v>
      </c>
      <c r="J42" s="69" t="n">
        <f aca="false">AVERAGE(J16:J20)</f>
        <v>0.702</v>
      </c>
      <c r="K42" s="69"/>
      <c r="L42" s="70" t="n">
        <f aca="false">AVERAGE(L16:L20)</f>
        <v>19737.6</v>
      </c>
      <c r="M42" s="69"/>
      <c r="N42" s="97" t="n">
        <f aca="false">AVERAGE(N16:N20)</f>
        <v>699.092999792739</v>
      </c>
      <c r="O42" s="38"/>
      <c r="P42" s="38"/>
      <c r="Q42" s="38"/>
      <c r="R42" s="70"/>
      <c r="S42" s="38"/>
      <c r="T42" s="38"/>
      <c r="U42" s="38"/>
      <c r="V42" s="70"/>
      <c r="W42" s="38"/>
      <c r="X42" s="38"/>
      <c r="Y42" s="38"/>
    </row>
    <row r="43" customFormat="false" ht="12.75" hidden="false" customHeight="false" outlineLevel="0" collapsed="false">
      <c r="A43" s="67" t="s">
        <v>60</v>
      </c>
      <c r="B43" s="68"/>
      <c r="C43" s="69" t="n">
        <f aca="false">AVERAGE(C23:C27)</f>
        <v>28.056</v>
      </c>
      <c r="D43" s="69" t="n">
        <f aca="false">AVERAGE(D23:D27)</f>
        <v>0.838</v>
      </c>
      <c r="E43" s="69" t="n">
        <f aca="false">AVERAGE(E23:E27)</f>
        <v>33.166</v>
      </c>
      <c r="F43" s="69" t="n">
        <f aca="false">AVERAGE(F23:F27)</f>
        <v>0.91</v>
      </c>
      <c r="G43" s="69" t="n">
        <f aca="false">AVERAGE(G23:G27)</f>
        <v>34.054</v>
      </c>
      <c r="H43" s="69" t="n">
        <f aca="false">AVERAGE(H23:H27)</f>
        <v>1.216</v>
      </c>
      <c r="I43" s="69" t="n">
        <f aca="false">AVERAGE(I23:I27)</f>
        <v>26.898</v>
      </c>
      <c r="J43" s="69" t="n">
        <f aca="false">AVERAGE(J23:J27)</f>
        <v>0.356</v>
      </c>
      <c r="K43" s="69"/>
      <c r="L43" s="70" t="n">
        <f aca="false">AVERAGE(L23:L27)</f>
        <v>19716</v>
      </c>
      <c r="M43" s="69"/>
      <c r="N43" s="97" t="n">
        <f aca="false">AVERAGE(N23:N27)</f>
        <v>703.182435679977</v>
      </c>
      <c r="O43" s="38"/>
      <c r="P43" s="38"/>
      <c r="Q43" s="38"/>
      <c r="R43" s="70"/>
      <c r="S43" s="38"/>
      <c r="T43" s="38"/>
      <c r="U43" s="38"/>
      <c r="V43" s="70"/>
      <c r="W43" s="38"/>
      <c r="X43" s="38"/>
      <c r="Y43" s="38"/>
    </row>
    <row r="44" customFormat="false" ht="12.75" hidden="false" customHeight="false" outlineLevel="0" collapsed="false">
      <c r="A44" s="67" t="s">
        <v>61</v>
      </c>
      <c r="B44" s="68"/>
      <c r="C44" s="69" t="n">
        <f aca="false">AVERAGE(C30:C34)</f>
        <v>30.432</v>
      </c>
      <c r="D44" s="69" t="n">
        <f aca="false">AVERAGE(D30:D34)</f>
        <v>1.932</v>
      </c>
      <c r="E44" s="69" t="n">
        <f aca="false">AVERAGE(E30:E34)</f>
        <v>35.928</v>
      </c>
      <c r="F44" s="69" t="n">
        <f aca="false">AVERAGE(F30:F34)</f>
        <v>2.106</v>
      </c>
      <c r="G44" s="51" t="n">
        <f aca="false">AVERAGE(G30:G34)</f>
        <v>37.206</v>
      </c>
      <c r="H44" s="69" t="n">
        <f aca="false">AVERAGE(H30:H34)</f>
        <v>2.178</v>
      </c>
      <c r="I44" s="69" t="n">
        <f aca="false">AVERAGE(I30:I34)</f>
        <v>26.1466666666667</v>
      </c>
      <c r="J44" s="69" t="n">
        <f aca="false">AVERAGE(J30:J34)</f>
        <v>4.16666666666667</v>
      </c>
      <c r="K44" s="53"/>
      <c r="L44" s="70" t="n">
        <f aca="false">AVERAGE(L24:L28)</f>
        <v>19193.6</v>
      </c>
      <c r="M44" s="70"/>
      <c r="N44" s="97" t="n">
        <f aca="false">AVERAGE(N24:N28)</f>
        <v>691.333696172364</v>
      </c>
      <c r="O44" s="38"/>
      <c r="P44" s="38"/>
      <c r="Q44" s="38"/>
      <c r="R44" s="70"/>
      <c r="S44" s="38"/>
      <c r="T44" s="38"/>
      <c r="U44" s="38"/>
      <c r="V44" s="70"/>
      <c r="W44" s="38"/>
      <c r="X44" s="38"/>
      <c r="Y44" s="38"/>
    </row>
    <row r="45" customFormat="false" ht="13.5" hidden="false" customHeight="false" outlineLevel="0" collapsed="false">
      <c r="A45" s="72" t="s">
        <v>62</v>
      </c>
      <c r="B45" s="73"/>
      <c r="C45" s="94"/>
      <c r="D45" s="74"/>
      <c r="E45" s="74"/>
      <c r="F45" s="74"/>
      <c r="G45" s="94"/>
      <c r="H45" s="74"/>
      <c r="I45" s="94"/>
      <c r="J45" s="94"/>
      <c r="K45" s="98"/>
      <c r="L45" s="76"/>
      <c r="M45" s="76"/>
      <c r="N45" s="99"/>
      <c r="O45" s="38"/>
      <c r="P45" s="38"/>
      <c r="Q45" s="38"/>
      <c r="R45" s="70"/>
      <c r="S45" s="38"/>
      <c r="T45" s="38"/>
      <c r="U45" s="38"/>
      <c r="V45" s="70"/>
      <c r="W45" s="38"/>
      <c r="X45" s="38"/>
      <c r="Y45" s="38"/>
    </row>
    <row r="46" customFormat="false" ht="13.5" hidden="false" customHeight="false" outlineLevel="0" collapsed="false">
      <c r="A46" s="78" t="s">
        <v>63</v>
      </c>
      <c r="B46" s="79"/>
      <c r="C46" s="80" t="n">
        <f aca="false">AVERAGE(C9:C39)</f>
        <v>28.8425806451613</v>
      </c>
      <c r="D46" s="80" t="n">
        <f aca="false">AVERAGE(D9:D39)</f>
        <v>0.282258064516129</v>
      </c>
      <c r="E46" s="80" t="n">
        <f aca="false">AVERAGE(E9:E39)</f>
        <v>33.5638709677419</v>
      </c>
      <c r="F46" s="80" t="n">
        <f aca="false">AVERAGE(F9:F39)</f>
        <v>0.353225806451613</v>
      </c>
      <c r="G46" s="80" t="n">
        <f aca="false">AVERAGE(G9:G39)</f>
        <v>34.5406451612903</v>
      </c>
      <c r="H46" s="80" t="n">
        <f aca="false">AVERAGE(H9:H39)</f>
        <v>0.375483870967742</v>
      </c>
      <c r="I46" s="80" t="n">
        <f aca="false">AVERAGE(I9:I39)</f>
        <v>25.4533333333333</v>
      </c>
      <c r="J46" s="80" t="n">
        <f aca="false">AVERAGE(J9:J39)</f>
        <v>0.540833333333333</v>
      </c>
      <c r="K46" s="81"/>
      <c r="L46" s="82" t="n">
        <f aca="false">AVERAGE(L9:L39)</f>
        <v>19277.6451612903</v>
      </c>
      <c r="M46" s="83"/>
      <c r="N46" s="100" t="n">
        <f aca="false">AVERAGE(N9:N39)</f>
        <v>675.249738861511</v>
      </c>
      <c r="O46" s="38"/>
      <c r="P46" s="38"/>
      <c r="Q46" s="38"/>
      <c r="R46" s="101"/>
      <c r="S46" s="38"/>
      <c r="T46" s="38"/>
      <c r="U46" s="38"/>
      <c r="V46" s="101"/>
      <c r="W46" s="38"/>
      <c r="X46" s="38"/>
      <c r="Y46" s="38"/>
    </row>
    <row r="47" customFormat="false" ht="13.5" hidden="false" customHeight="false" outlineLevel="0" collapsed="false">
      <c r="A47" s="86"/>
      <c r="B47" s="73"/>
      <c r="C47" s="87"/>
      <c r="D47" s="88"/>
      <c r="E47" s="87"/>
      <c r="F47" s="88"/>
      <c r="G47" s="87"/>
      <c r="H47" s="88"/>
      <c r="I47" s="87"/>
      <c r="J47" s="89"/>
      <c r="K47" s="88"/>
      <c r="L47" s="73"/>
      <c r="M47" s="73"/>
      <c r="N47" s="102"/>
      <c r="R47" s="68"/>
      <c r="V47" s="68"/>
    </row>
  </sheetData>
  <mergeCells count="1">
    <mergeCell ref="C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B49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2.28"/>
    <col collapsed="false" customWidth="true" hidden="false" outlineLevel="0" max="3" min="3" style="10" width="9.14"/>
    <col collapsed="false" customWidth="true" hidden="false" outlineLevel="0" max="4" min="4" style="11" width="6.28"/>
    <col collapsed="false" customWidth="true" hidden="false" outlineLevel="0" max="5" min="5" style="10" width="9.14"/>
    <col collapsed="false" customWidth="true" hidden="false" outlineLevel="0" max="6" min="6" style="11" width="5.85"/>
    <col collapsed="false" customWidth="true" hidden="false" outlineLevel="0" max="7" min="7" style="10" width="9.56"/>
    <col collapsed="false" customWidth="true" hidden="false" outlineLevel="0" max="8" min="8" style="11" width="6.7"/>
    <col collapsed="false" customWidth="true" hidden="false" outlineLevel="0" max="9" min="9" style="10" width="8.28"/>
    <col collapsed="false" customWidth="true" hidden="false" outlineLevel="0" max="10" min="10" style="12" width="7.28"/>
    <col collapsed="false" customWidth="true" hidden="false" outlineLevel="0" max="11" min="11" style="11" width="2.13"/>
    <col collapsed="false" customWidth="true" hidden="false" outlineLevel="0" max="12" min="12" style="0" width="10.13"/>
    <col collapsed="false" customWidth="true" hidden="false" outlineLevel="0" max="13" min="13" style="0" width="1.7"/>
    <col collapsed="false" customWidth="true" hidden="false" outlineLevel="0" max="14" min="14" style="0" width="9.7"/>
    <col collapsed="false" customWidth="true" hidden="false" outlineLevel="0" max="15" min="15" style="0" width="1.7"/>
    <col collapsed="false" customWidth="true" hidden="false" outlineLevel="0" max="16" min="16" style="0" width="9.56"/>
    <col collapsed="false" customWidth="true" hidden="false" outlineLevel="0" max="17" min="17" style="0" width="1.7"/>
    <col collapsed="false" customWidth="true" hidden="false" outlineLevel="0" max="18" min="18" style="0" width="8.85"/>
    <col collapsed="false" customWidth="true" hidden="false" outlineLevel="0" max="19" min="19" style="0" width="1.7"/>
    <col collapsed="false" customWidth="true" hidden="false" outlineLevel="0" max="20" min="20" style="0" width="9.85"/>
    <col collapsed="false" customWidth="true" hidden="false" outlineLevel="0" max="21" min="21" style="0" width="1.56"/>
    <col collapsed="false" customWidth="true" hidden="false" outlineLevel="0" max="22" min="22" style="0" width="8.99"/>
    <col collapsed="false" customWidth="true" hidden="false" outlineLevel="0" max="23" min="23" style="0" width="1.85"/>
    <col collapsed="false" customWidth="true" hidden="false" outlineLevel="0" max="24" min="24" style="0" width="9.28"/>
    <col collapsed="false" customWidth="true" hidden="false" outlineLevel="0" max="25" min="25" style="0" width="1.56"/>
  </cols>
  <sheetData>
    <row r="2" customFormat="false" ht="12.75" hidden="false" customHeight="false" outlineLevel="0" collapsed="false">
      <c r="L2" s="13" t="s">
        <v>64</v>
      </c>
      <c r="P2" s="14" t="s">
        <v>94</v>
      </c>
      <c r="T2" s="14" t="s">
        <v>94</v>
      </c>
      <c r="X2" s="14" t="s">
        <v>94</v>
      </c>
      <c r="Y2" s="14"/>
    </row>
    <row r="3" customFormat="false" ht="12.75" hidden="false" customHeight="false" outlineLevel="0" collapsed="false">
      <c r="C3" s="14" t="s">
        <v>9</v>
      </c>
      <c r="D3" s="14"/>
      <c r="E3" s="14"/>
      <c r="F3" s="14"/>
      <c r="G3" s="14"/>
      <c r="H3" s="14"/>
      <c r="I3" s="14"/>
      <c r="J3" s="14"/>
      <c r="K3" s="13"/>
      <c r="L3" s="13" t="s">
        <v>10</v>
      </c>
      <c r="N3" s="13" t="s">
        <v>3</v>
      </c>
      <c r="P3" s="14" t="s">
        <v>95</v>
      </c>
      <c r="R3" s="13" t="s">
        <v>4</v>
      </c>
      <c r="T3" s="14" t="s">
        <v>95</v>
      </c>
      <c r="V3" s="13" t="s">
        <v>4</v>
      </c>
      <c r="X3" s="14" t="s">
        <v>95</v>
      </c>
      <c r="Y3" s="14"/>
    </row>
    <row r="4" customFormat="false" ht="13.5" hidden="false" customHeight="false" outlineLevel="0" collapsed="false">
      <c r="A4" s="13" t="s">
        <v>16</v>
      </c>
      <c r="B4" s="13"/>
      <c r="C4" s="15" t="s">
        <v>3</v>
      </c>
      <c r="D4" s="16" t="s">
        <v>17</v>
      </c>
      <c r="E4" s="15" t="s">
        <v>4</v>
      </c>
      <c r="F4" s="16" t="s">
        <v>17</v>
      </c>
      <c r="G4" s="15" t="s">
        <v>5</v>
      </c>
      <c r="H4" s="16" t="s">
        <v>17</v>
      </c>
      <c r="I4" s="15" t="s">
        <v>18</v>
      </c>
      <c r="J4" s="16" t="s">
        <v>17</v>
      </c>
      <c r="K4" s="17"/>
      <c r="L4" s="15" t="s">
        <v>19</v>
      </c>
      <c r="M4" s="13"/>
      <c r="N4" s="15" t="s">
        <v>96</v>
      </c>
      <c r="O4" s="13"/>
      <c r="P4" s="15" t="s">
        <v>3</v>
      </c>
      <c r="Q4" s="13"/>
      <c r="R4" s="15" t="s">
        <v>96</v>
      </c>
      <c r="S4" s="13"/>
      <c r="T4" s="15" t="s">
        <v>4</v>
      </c>
      <c r="U4" s="13"/>
      <c r="V4" s="15" t="s">
        <v>96</v>
      </c>
      <c r="W4" s="13"/>
      <c r="X4" s="15" t="s">
        <v>5</v>
      </c>
      <c r="Y4" s="15"/>
      <c r="Z4" s="15" t="s">
        <v>97</v>
      </c>
      <c r="AA4" s="15" t="s">
        <v>98</v>
      </c>
      <c r="AB4" s="15" t="s">
        <v>99</v>
      </c>
    </row>
    <row r="6" customFormat="false" ht="6" hidden="false" customHeight="true" outlineLevel="0" collapsed="false"/>
    <row r="7" customFormat="false" ht="12.75" hidden="false" customHeight="false" outlineLevel="0" collapsed="false">
      <c r="A7" s="18" t="n">
        <v>37191</v>
      </c>
      <c r="B7" s="19"/>
      <c r="C7" s="20" t="n">
        <v>32.28</v>
      </c>
      <c r="D7" s="29" t="n">
        <f aca="false">C7-C6</f>
        <v>32.28</v>
      </c>
      <c r="E7" s="20" t="n">
        <v>37.37</v>
      </c>
      <c r="F7" s="29" t="n">
        <f aca="false">E7-E6</f>
        <v>37.37</v>
      </c>
      <c r="G7" s="20" t="n">
        <v>37.62</v>
      </c>
      <c r="H7" s="29" t="n">
        <f aca="false">G7-G6</f>
        <v>37.62</v>
      </c>
      <c r="I7" s="20"/>
      <c r="J7" s="22"/>
      <c r="K7" s="21"/>
      <c r="L7" s="23" t="n">
        <v>18338</v>
      </c>
      <c r="M7" s="24"/>
      <c r="N7" s="26" t="n">
        <f aca="false">L7/C7</f>
        <v>568.091697645601</v>
      </c>
      <c r="O7" s="24"/>
      <c r="P7" s="43" t="n">
        <f aca="false">L7/N7</f>
        <v>32.28</v>
      </c>
      <c r="Q7" s="24"/>
      <c r="R7" s="26" t="n">
        <f aca="false">L7/E7</f>
        <v>490.714476853091</v>
      </c>
      <c r="S7" s="24"/>
      <c r="T7" s="43" t="n">
        <f aca="false">L7/R7</f>
        <v>37.37</v>
      </c>
      <c r="U7" s="24"/>
      <c r="V7" s="26" t="n">
        <f aca="false">L7/G7</f>
        <v>487.453482190324</v>
      </c>
      <c r="W7" s="24"/>
      <c r="X7" s="43" t="n">
        <f aca="false">L7/V7</f>
        <v>37.62</v>
      </c>
      <c r="Y7" s="24"/>
      <c r="Z7" s="43"/>
    </row>
    <row r="8" customFormat="false" ht="12.75" hidden="false" customHeight="true" outlineLevel="0" collapsed="false">
      <c r="A8" s="42" t="n">
        <f aca="false">A7+1</f>
        <v>37192</v>
      </c>
      <c r="B8" s="19"/>
      <c r="C8" s="20" t="n">
        <v>31.33</v>
      </c>
      <c r="D8" s="29" t="n">
        <f aca="false">C8-C7</f>
        <v>-0.950000000000003</v>
      </c>
      <c r="E8" s="20" t="n">
        <v>36.69</v>
      </c>
      <c r="F8" s="29" t="n">
        <f aca="false">E8-E7</f>
        <v>-0.68</v>
      </c>
      <c r="G8" s="30" t="n">
        <v>36.9</v>
      </c>
      <c r="H8" s="29" t="n">
        <f aca="false">G8-G7</f>
        <v>-0.719999999999999</v>
      </c>
      <c r="I8" s="20"/>
      <c r="J8" s="22"/>
      <c r="K8" s="21"/>
      <c r="L8" s="23" t="n">
        <v>18700</v>
      </c>
      <c r="M8" s="24"/>
      <c r="N8" s="26" t="n">
        <f aca="false">L8/C8</f>
        <v>596.872007660389</v>
      </c>
      <c r="O8" s="24"/>
      <c r="P8" s="43" t="n">
        <f aca="false">L8/N8</f>
        <v>31.33</v>
      </c>
      <c r="Q8" s="24"/>
      <c r="R8" s="26" t="n">
        <f aca="false">L8/E8</f>
        <v>509.675660943036</v>
      </c>
      <c r="S8" s="24"/>
      <c r="T8" s="43" t="n">
        <f aca="false">L8/R8</f>
        <v>36.69</v>
      </c>
      <c r="U8" s="24"/>
      <c r="V8" s="26" t="n">
        <f aca="false">L8/G8</f>
        <v>506.775067750678</v>
      </c>
      <c r="W8" s="24"/>
      <c r="X8" s="43" t="n">
        <f aca="false">L8/V8</f>
        <v>36.9</v>
      </c>
      <c r="Y8" s="24"/>
      <c r="Z8" s="103" t="n">
        <f aca="false">T8-P8</f>
        <v>5.36</v>
      </c>
      <c r="AA8" s="103" t="n">
        <f aca="false">X8-T8</f>
        <v>0.210000000000001</v>
      </c>
      <c r="AB8" s="103" t="n">
        <f aca="false">X8-P8</f>
        <v>5.57</v>
      </c>
    </row>
    <row r="9" customFormat="false" ht="12.75" hidden="false" customHeight="false" outlineLevel="0" collapsed="false">
      <c r="A9" s="32" t="n">
        <f aca="false">A8+1</f>
        <v>37193</v>
      </c>
      <c r="B9" s="32"/>
      <c r="C9" s="44" t="n">
        <v>34.34</v>
      </c>
      <c r="D9" s="34" t="n">
        <f aca="false">C9-C8</f>
        <v>3.01000000000001</v>
      </c>
      <c r="E9" s="44" t="n">
        <v>37.84</v>
      </c>
      <c r="F9" s="34" t="n">
        <f aca="false">E9-E8</f>
        <v>1.15000000000001</v>
      </c>
      <c r="G9" s="44" t="n">
        <v>43.58</v>
      </c>
      <c r="H9" s="34" t="n">
        <f aca="false">G9-G8</f>
        <v>6.68</v>
      </c>
      <c r="I9" s="44" t="n">
        <f aca="false">'Nov Data'!I9</f>
        <v>31.19</v>
      </c>
      <c r="J9" s="50"/>
      <c r="K9" s="45"/>
      <c r="L9" s="35" t="n">
        <v>19628</v>
      </c>
      <c r="M9" s="38"/>
      <c r="N9" s="95" t="n">
        <f aca="false">L9/C9</f>
        <v>571.578334304019</v>
      </c>
      <c r="O9" s="38"/>
      <c r="P9" s="104" t="n">
        <f aca="false">L9/N9</f>
        <v>34.34</v>
      </c>
      <c r="Q9" s="38"/>
      <c r="R9" s="95" t="n">
        <f aca="false">L9/E9</f>
        <v>518.710359408034</v>
      </c>
      <c r="S9" s="38"/>
      <c r="T9" s="104" t="n">
        <f aca="false">L9/R9</f>
        <v>37.84</v>
      </c>
      <c r="U9" s="38"/>
      <c r="V9" s="95" t="n">
        <f aca="false">L9/G9</f>
        <v>450.390087195962</v>
      </c>
      <c r="W9" s="38"/>
      <c r="X9" s="104" t="n">
        <f aca="false">L9/V9</f>
        <v>43.58</v>
      </c>
      <c r="Y9" s="38"/>
      <c r="Z9" s="9" t="n">
        <f aca="false">T9-P9</f>
        <v>3.5</v>
      </c>
      <c r="AA9" s="9" t="n">
        <f aca="false">X9-T9</f>
        <v>5.74</v>
      </c>
      <c r="AB9" s="9" t="n">
        <f aca="false">X9-P9</f>
        <v>9.24</v>
      </c>
    </row>
    <row r="10" customFormat="false" ht="12.75" hidden="false" customHeight="false" outlineLevel="0" collapsed="false">
      <c r="A10" s="32" t="n">
        <f aca="false">A9+1</f>
        <v>37194</v>
      </c>
      <c r="B10" s="32"/>
      <c r="C10" s="44" t="n">
        <v>37.47</v>
      </c>
      <c r="D10" s="34" t="n">
        <f aca="false">C10-C9</f>
        <v>3.13</v>
      </c>
      <c r="E10" s="44" t="n">
        <v>44.03</v>
      </c>
      <c r="F10" s="34" t="n">
        <f aca="false">E10-E9</f>
        <v>6.19</v>
      </c>
      <c r="G10" s="44" t="n">
        <v>44.68</v>
      </c>
      <c r="H10" s="34" t="n">
        <f aca="false">G10-G9</f>
        <v>1.1</v>
      </c>
      <c r="I10" s="44" t="n">
        <f aca="false">'Nov Data'!I10</f>
        <v>27.54</v>
      </c>
      <c r="J10" s="105" t="n">
        <f aca="false">'Nov Data'!J10</f>
        <v>-3.65</v>
      </c>
      <c r="K10" s="45"/>
      <c r="L10" s="35" t="n">
        <v>19310</v>
      </c>
      <c r="M10" s="38"/>
      <c r="N10" s="95" t="n">
        <f aca="false">L10/C10</f>
        <v>515.34560982119</v>
      </c>
      <c r="O10" s="38"/>
      <c r="P10" s="104" t="n">
        <f aca="false">L10/N10</f>
        <v>37.47</v>
      </c>
      <c r="Q10" s="38"/>
      <c r="R10" s="95" t="n">
        <f aca="false">L10/E10</f>
        <v>438.564615035203</v>
      </c>
      <c r="S10" s="38"/>
      <c r="T10" s="104" t="n">
        <f aca="false">L10/R10</f>
        <v>44.03</v>
      </c>
      <c r="U10" s="38"/>
      <c r="V10" s="95" t="n">
        <f aca="false">L10/G10</f>
        <v>432.18442256043</v>
      </c>
      <c r="W10" s="38"/>
      <c r="X10" s="104" t="n">
        <f aca="false">L10/V10</f>
        <v>44.68</v>
      </c>
      <c r="Y10" s="38"/>
      <c r="Z10" s="9" t="n">
        <f aca="false">T10-P10</f>
        <v>6.56000000000001</v>
      </c>
      <c r="AA10" s="9" t="n">
        <f aca="false">X10-T10</f>
        <v>0.649999999999999</v>
      </c>
      <c r="AB10" s="9" t="n">
        <f aca="false">X10-P10</f>
        <v>7.21000000000001</v>
      </c>
    </row>
    <row r="11" customFormat="false" ht="12.75" hidden="false" customHeight="false" outlineLevel="0" collapsed="false">
      <c r="A11" s="32" t="n">
        <f aca="false">A10+1</f>
        <v>37195</v>
      </c>
      <c r="B11" s="32"/>
      <c r="C11" s="51" t="n">
        <v>33.32</v>
      </c>
      <c r="D11" s="34" t="n">
        <f aca="false">C11-C10</f>
        <v>-4.15</v>
      </c>
      <c r="E11" s="51" t="n">
        <v>40.36</v>
      </c>
      <c r="F11" s="34" t="n">
        <f aca="false">E11-E10</f>
        <v>-3.67</v>
      </c>
      <c r="G11" s="51" t="n">
        <v>40.95</v>
      </c>
      <c r="H11" s="34" t="n">
        <f aca="false">G11-G10</f>
        <v>-3.73</v>
      </c>
      <c r="I11" s="44" t="n">
        <f aca="false">'Nov Data'!I11</f>
        <v>22.26</v>
      </c>
      <c r="J11" s="105" t="n">
        <f aca="false">'Nov Data'!J11</f>
        <v>-5.28</v>
      </c>
      <c r="K11" s="53"/>
      <c r="L11" s="54" t="n">
        <v>19485</v>
      </c>
      <c r="M11" s="55"/>
      <c r="N11" s="95" t="n">
        <f aca="false">L11/C11</f>
        <v>584.783913565426</v>
      </c>
      <c r="O11" s="38"/>
      <c r="P11" s="104" t="n">
        <f aca="false">L11/$N$11</f>
        <v>33.32</v>
      </c>
      <c r="Q11" s="38"/>
      <c r="R11" s="95" t="n">
        <f aca="false">L11/E11</f>
        <v>482.779980178394</v>
      </c>
      <c r="S11" s="38"/>
      <c r="T11" s="104" t="n">
        <f aca="false">L11/$R$11</f>
        <v>40.36</v>
      </c>
      <c r="U11" s="38"/>
      <c r="V11" s="95" t="n">
        <f aca="false">L11/G11</f>
        <v>475.824175824176</v>
      </c>
      <c r="W11" s="38"/>
      <c r="X11" s="104" t="n">
        <f aca="false">L11/$V$11</f>
        <v>40.95</v>
      </c>
      <c r="Y11" s="38"/>
      <c r="Z11" s="9" t="n">
        <f aca="false">T11-P11</f>
        <v>7.04</v>
      </c>
      <c r="AA11" s="9" t="n">
        <f aca="false">X11-T11</f>
        <v>0.590000000000003</v>
      </c>
      <c r="AB11" s="9" t="n">
        <f aca="false">X11-P11</f>
        <v>7.63</v>
      </c>
    </row>
    <row r="12" customFormat="false" ht="12.75" hidden="false" customHeight="false" outlineLevel="0" collapsed="false">
      <c r="A12" s="32" t="n">
        <f aca="false">A11+1</f>
        <v>37196</v>
      </c>
      <c r="B12" s="32"/>
      <c r="C12" s="33" t="n">
        <v>31.75</v>
      </c>
      <c r="D12" s="34" t="n">
        <f aca="false">C12-C11</f>
        <v>-1.57</v>
      </c>
      <c r="E12" s="33" t="n">
        <v>40.32</v>
      </c>
      <c r="F12" s="34" t="n">
        <f aca="false">E12-E11</f>
        <v>-0.0399999999999992</v>
      </c>
      <c r="G12" s="33" t="n">
        <v>40.98</v>
      </c>
      <c r="H12" s="34" t="n">
        <f aca="false">G12-G11</f>
        <v>0.029999999999994</v>
      </c>
      <c r="I12" s="44" t="n">
        <f aca="false">'Nov Data'!I12</f>
        <v>25.5</v>
      </c>
      <c r="J12" s="105" t="n">
        <f aca="false">'Nov Data'!J12</f>
        <v>3.24</v>
      </c>
      <c r="K12" s="34"/>
      <c r="L12" s="35" t="n">
        <v>19408</v>
      </c>
      <c r="M12" s="36"/>
      <c r="N12" s="95" t="n">
        <f aca="false">L12/C12</f>
        <v>611.275590551181</v>
      </c>
      <c r="O12" s="38"/>
      <c r="P12" s="104" t="n">
        <f aca="false">L12/$N$11</f>
        <v>33.1883274313575</v>
      </c>
      <c r="Q12" s="38"/>
      <c r="R12" s="95" t="n">
        <f aca="false">L12/E12</f>
        <v>481.349206349206</v>
      </c>
      <c r="S12" s="38"/>
      <c r="T12" s="104" t="n">
        <f aca="false">L12/$R$11</f>
        <v>40.2005070567103</v>
      </c>
      <c r="U12" s="38"/>
      <c r="V12" s="95" t="n">
        <f aca="false">L12/G12</f>
        <v>473.596876525134</v>
      </c>
      <c r="W12" s="38"/>
      <c r="X12" s="104" t="n">
        <f aca="false">L12/$V$11</f>
        <v>40.7881755196305</v>
      </c>
      <c r="Y12" s="38"/>
      <c r="Z12" s="9" t="n">
        <f aca="false">T12-P12</f>
        <v>7.01217962535283</v>
      </c>
      <c r="AA12" s="9" t="n">
        <f aca="false">X12-T12</f>
        <v>0.587668462920206</v>
      </c>
      <c r="AB12" s="9" t="n">
        <f aca="false">X12-P12</f>
        <v>7.59984808827304</v>
      </c>
    </row>
    <row r="13" customFormat="false" ht="12.75" hidden="false" customHeight="false" outlineLevel="0" collapsed="false">
      <c r="A13" s="32" t="n">
        <f aca="false">A12+1</f>
        <v>37197</v>
      </c>
      <c r="B13" s="32"/>
      <c r="C13" s="33" t="n">
        <v>31.96</v>
      </c>
      <c r="D13" s="34" t="n">
        <f aca="false">C13-C12</f>
        <v>0.210000000000001</v>
      </c>
      <c r="E13" s="33" t="n">
        <v>39.39</v>
      </c>
      <c r="F13" s="34" t="n">
        <f aca="false">E13-E12</f>
        <v>-0.93</v>
      </c>
      <c r="G13" s="33" t="n">
        <v>40.83</v>
      </c>
      <c r="H13" s="34" t="n">
        <f aca="false">G13-G12</f>
        <v>-0.149999999999999</v>
      </c>
      <c r="I13" s="44" t="n">
        <f aca="false">'Nov Data'!I13</f>
        <v>20.1</v>
      </c>
      <c r="J13" s="105" t="n">
        <f aca="false">'Nov Data'!J13</f>
        <v>-5.4</v>
      </c>
      <c r="K13" s="34"/>
      <c r="L13" s="35" t="n">
        <v>19122</v>
      </c>
      <c r="M13" s="36"/>
      <c r="N13" s="95" t="n">
        <f aca="false">L13/C13</f>
        <v>598.310387984981</v>
      </c>
      <c r="O13" s="38"/>
      <c r="P13" s="104" t="n">
        <f aca="false">L13/$N$12</f>
        <v>31.2821259274526</v>
      </c>
      <c r="Q13" s="38"/>
      <c r="R13" s="95" t="n">
        <f aca="false">L13/E13</f>
        <v>485.453160700685</v>
      </c>
      <c r="S13" s="38"/>
      <c r="T13" s="104" t="n">
        <f aca="false">L13/$R$12</f>
        <v>39.725836768343</v>
      </c>
      <c r="U13" s="38"/>
      <c r="V13" s="95" t="n">
        <f aca="false">L13/G13</f>
        <v>468.332108743571</v>
      </c>
      <c r="W13" s="38"/>
      <c r="X13" s="104" t="n">
        <f aca="false">L13/$V$12</f>
        <v>40.3761108821105</v>
      </c>
      <c r="Y13" s="38"/>
      <c r="Z13" s="9" t="n">
        <f aca="false">T13-P13</f>
        <v>8.44371084089036</v>
      </c>
      <c r="AA13" s="9" t="n">
        <f aca="false">X13-T13</f>
        <v>0.650274113767516</v>
      </c>
      <c r="AB13" s="9" t="n">
        <f aca="false">X13-P13</f>
        <v>9.09398495465787</v>
      </c>
    </row>
    <row r="14" customFormat="false" ht="12.75" hidden="false" customHeight="false" outlineLevel="0" collapsed="false">
      <c r="A14" s="42" t="n">
        <f aca="false">A13+1</f>
        <v>37198</v>
      </c>
      <c r="B14" s="42"/>
      <c r="C14" s="30" t="n">
        <v>29.52</v>
      </c>
      <c r="D14" s="29" t="n">
        <f aca="false">C14-C13</f>
        <v>-2.44</v>
      </c>
      <c r="E14" s="30" t="n">
        <v>36.14</v>
      </c>
      <c r="F14" s="29" t="n">
        <f aca="false">E14-E13</f>
        <v>-3.25</v>
      </c>
      <c r="G14" s="30" t="n">
        <v>36.46</v>
      </c>
      <c r="H14" s="29" t="n">
        <f aca="false">G14-G13</f>
        <v>-4.37</v>
      </c>
      <c r="I14" s="20" t="n">
        <f aca="false">'Nov Data'!I14</f>
        <v>21.29</v>
      </c>
      <c r="J14" s="106" t="n">
        <f aca="false">'Nov Data'!J14</f>
        <v>1.19</v>
      </c>
      <c r="K14" s="29"/>
      <c r="L14" s="23" t="n">
        <v>16843</v>
      </c>
      <c r="M14" s="43"/>
      <c r="N14" s="26" t="n">
        <f aca="false">L14/C14</f>
        <v>570.562330623306</v>
      </c>
      <c r="O14" s="24"/>
      <c r="P14" s="43" t="n">
        <f aca="false">L14/$N$13</f>
        <v>28.1509402782136</v>
      </c>
      <c r="Q14" s="24"/>
      <c r="R14" s="26" t="n">
        <f aca="false">L14/E14</f>
        <v>466.048699501937</v>
      </c>
      <c r="S14" s="24"/>
      <c r="T14" s="43" t="n">
        <f aca="false">L14/$R$13</f>
        <v>34.695417320364</v>
      </c>
      <c r="U14" s="24"/>
      <c r="V14" s="26" t="n">
        <f aca="false">L14/G14</f>
        <v>461.958310477235</v>
      </c>
      <c r="W14" s="24"/>
      <c r="X14" s="43" t="n">
        <f aca="false">L14/$V$13</f>
        <v>35.9637951051145</v>
      </c>
      <c r="Y14" s="24"/>
      <c r="Z14" s="103" t="n">
        <f aca="false">T14-P14</f>
        <v>6.5444770421504</v>
      </c>
      <c r="AA14" s="103" t="n">
        <f aca="false">X14-T14</f>
        <v>1.26837778475055</v>
      </c>
      <c r="AB14" s="103" t="n">
        <f aca="false">X14-P14</f>
        <v>7.81285482690095</v>
      </c>
    </row>
    <row r="15" customFormat="false" ht="12.75" hidden="false" customHeight="false" outlineLevel="0" collapsed="false">
      <c r="A15" s="42" t="n">
        <f aca="false">A14+1</f>
        <v>37199</v>
      </c>
      <c r="B15" s="42"/>
      <c r="C15" s="30" t="n">
        <v>26.75</v>
      </c>
      <c r="D15" s="29" t="n">
        <f aca="false">C15-C14</f>
        <v>-2.77</v>
      </c>
      <c r="E15" s="30" t="n">
        <v>32.93</v>
      </c>
      <c r="F15" s="29" t="n">
        <f aca="false">E15-E14</f>
        <v>-3.21</v>
      </c>
      <c r="G15" s="30" t="n">
        <v>33.48</v>
      </c>
      <c r="H15" s="29" t="n">
        <f aca="false">G15-G14</f>
        <v>-2.98</v>
      </c>
      <c r="I15" s="20" t="n">
        <f aca="false">'Nov Data'!I15</f>
        <v>21.73</v>
      </c>
      <c r="J15" s="106" t="n">
        <f aca="false">'Nov Data'!J15</f>
        <v>0.440000000000001</v>
      </c>
      <c r="K15" s="29"/>
      <c r="L15" s="23" t="n">
        <v>16392</v>
      </c>
      <c r="M15" s="43"/>
      <c r="N15" s="26" t="n">
        <f aca="false">L15/C15</f>
        <v>612.785046728972</v>
      </c>
      <c r="O15" s="24"/>
      <c r="P15" s="43" t="n">
        <f aca="false">L15/$N$14</f>
        <v>28.7295517425637</v>
      </c>
      <c r="Q15" s="24"/>
      <c r="R15" s="26" t="n">
        <f aca="false">L15/E15</f>
        <v>497.783176434862</v>
      </c>
      <c r="S15" s="24"/>
      <c r="T15" s="43" t="n">
        <f aca="false">L15/$R$14</f>
        <v>35.1722899720952</v>
      </c>
      <c r="U15" s="24"/>
      <c r="V15" s="26" t="n">
        <f aca="false">L15/G15</f>
        <v>489.605734767025</v>
      </c>
      <c r="W15" s="24"/>
      <c r="X15" s="43" t="n">
        <f aca="false">L15/$V$14</f>
        <v>35.4837214272992</v>
      </c>
      <c r="Y15" s="24"/>
      <c r="Z15" s="103" t="n">
        <f aca="false">T15-P15</f>
        <v>6.44273822953156</v>
      </c>
      <c r="AA15" s="103" t="n">
        <f aca="false">X15-T15</f>
        <v>0.311431455203937</v>
      </c>
      <c r="AB15" s="103" t="n">
        <f aca="false">X15-P15</f>
        <v>6.7541696847355</v>
      </c>
    </row>
    <row r="16" customFormat="false" ht="12.75" hidden="false" customHeight="false" outlineLevel="0" collapsed="false">
      <c r="A16" s="32" t="n">
        <f aca="false">A15+1</f>
        <v>37200</v>
      </c>
      <c r="B16" s="32"/>
      <c r="C16" s="33" t="n">
        <v>32.29</v>
      </c>
      <c r="D16" s="90" t="n">
        <f aca="false">C16-C15</f>
        <v>5.54</v>
      </c>
      <c r="E16" s="33" t="n">
        <v>39.08</v>
      </c>
      <c r="F16" s="90" t="n">
        <f aca="false">E16-E15</f>
        <v>6.15</v>
      </c>
      <c r="G16" s="33" t="n">
        <v>39.18</v>
      </c>
      <c r="H16" s="90" t="n">
        <f aca="false">G16-G15</f>
        <v>5.7</v>
      </c>
      <c r="I16" s="44" t="n">
        <f aca="false">'Nov Data'!I16</f>
        <v>27.81</v>
      </c>
      <c r="J16" s="105" t="n">
        <f aca="false">'Nov Data'!J16</f>
        <v>6.08</v>
      </c>
      <c r="K16" s="34"/>
      <c r="L16" s="35" t="n">
        <v>19452</v>
      </c>
      <c r="M16" s="36"/>
      <c r="N16" s="95" t="n">
        <f aca="false">L16/C16</f>
        <v>602.415608547538</v>
      </c>
      <c r="O16" s="38"/>
      <c r="P16" s="104" t="n">
        <f aca="false">L16/$N$13</f>
        <v>32.5115531848133</v>
      </c>
      <c r="Q16" s="38"/>
      <c r="R16" s="95" t="n">
        <f aca="false">L16/E16</f>
        <v>497.748208802457</v>
      </c>
      <c r="S16" s="38"/>
      <c r="T16" s="104" t="n">
        <f aca="false">L16/$R$13</f>
        <v>40.0697772199561</v>
      </c>
      <c r="U16" s="38"/>
      <c r="V16" s="95" t="n">
        <f aca="false">L16/G16</f>
        <v>496.477794793262</v>
      </c>
      <c r="W16" s="38"/>
      <c r="X16" s="104" t="n">
        <f aca="false">L16/$V$13</f>
        <v>41.5346281769689</v>
      </c>
      <c r="Y16" s="38"/>
      <c r="Z16" s="9" t="n">
        <f aca="false">T16-P16</f>
        <v>7.55822403514276</v>
      </c>
      <c r="AA16" s="9" t="n">
        <f aca="false">X16-T16</f>
        <v>1.46485095701286</v>
      </c>
      <c r="AB16" s="9" t="n">
        <f aca="false">X16-P16</f>
        <v>9.02307499215563</v>
      </c>
    </row>
    <row r="17" customFormat="false" ht="12.75" hidden="false" customHeight="false" outlineLevel="0" collapsed="false">
      <c r="A17" s="32" t="n">
        <f aca="false">A16+1</f>
        <v>37201</v>
      </c>
      <c r="C17" s="33" t="n">
        <v>32.13</v>
      </c>
      <c r="D17" s="90" t="n">
        <f aca="false">C17-C16</f>
        <v>-0.159999999999997</v>
      </c>
      <c r="E17" s="33" t="n">
        <v>38.27</v>
      </c>
      <c r="F17" s="90" t="n">
        <f aca="false">E17-E16</f>
        <v>-0.809999999999995</v>
      </c>
      <c r="G17" s="33" t="n">
        <v>38.45</v>
      </c>
      <c r="H17" s="90" t="n">
        <f aca="false">G17-G16</f>
        <v>-0.729999999999997</v>
      </c>
      <c r="I17" s="44" t="n">
        <f aca="false">'Nov Data'!I17</f>
        <v>24.98</v>
      </c>
      <c r="J17" s="105" t="n">
        <f aca="false">'Nov Data'!J17</f>
        <v>-2.83</v>
      </c>
      <c r="K17" s="34"/>
      <c r="L17" s="35" t="n">
        <v>19509</v>
      </c>
      <c r="M17" s="38"/>
      <c r="N17" s="95" t="n">
        <f aca="false">L17/C17</f>
        <v>607.18954248366</v>
      </c>
      <c r="O17" s="38"/>
      <c r="P17" s="104" t="n">
        <f aca="false">L17/$N$16</f>
        <v>32.3846190623072</v>
      </c>
      <c r="Q17" s="38"/>
      <c r="R17" s="95" t="n">
        <f aca="false">L17/E17</f>
        <v>509.772667886073</v>
      </c>
      <c r="S17" s="38"/>
      <c r="T17" s="104" t="n">
        <f aca="false">L17/$R$16</f>
        <v>39.1945157310302</v>
      </c>
      <c r="U17" s="38"/>
      <c r="V17" s="95" t="n">
        <f aca="false">L17/G17</f>
        <v>507.386215864759</v>
      </c>
      <c r="W17" s="38"/>
      <c r="X17" s="104" t="n">
        <f aca="false">L17/$V$16</f>
        <v>39.2948087600247</v>
      </c>
      <c r="Y17" s="38"/>
      <c r="Z17" s="9" t="n">
        <f aca="false">T17-P17</f>
        <v>6.80989666872301</v>
      </c>
      <c r="AA17" s="9" t="n">
        <f aca="false">X17-T17</f>
        <v>0.10029302899445</v>
      </c>
      <c r="AB17" s="9" t="n">
        <f aca="false">X17-P17</f>
        <v>6.91018969771746</v>
      </c>
    </row>
    <row r="18" customFormat="false" ht="12.75" hidden="false" customHeight="false" outlineLevel="0" collapsed="false">
      <c r="A18" s="32" t="n">
        <f aca="false">A17+1</f>
        <v>37202</v>
      </c>
      <c r="C18" s="44" t="n">
        <v>28.54</v>
      </c>
      <c r="D18" s="90" t="n">
        <f aca="false">C18-C17</f>
        <v>-3.59</v>
      </c>
      <c r="E18" s="44" t="n">
        <v>35.08</v>
      </c>
      <c r="F18" s="90" t="n">
        <f aca="false">E18-E17</f>
        <v>-3.19000000000001</v>
      </c>
      <c r="G18" s="44" t="n">
        <v>37.63</v>
      </c>
      <c r="H18" s="90" t="n">
        <f aca="false">G18-G17</f>
        <v>-0.82</v>
      </c>
      <c r="I18" s="44" t="n">
        <f aca="false">'Nov Data'!I18</f>
        <v>27.3</v>
      </c>
      <c r="J18" s="105" t="n">
        <f aca="false">'Nov Data'!J18</f>
        <v>2.32</v>
      </c>
      <c r="K18" s="34"/>
      <c r="L18" s="35" t="n">
        <v>19287</v>
      </c>
      <c r="M18" s="38"/>
      <c r="N18" s="95" t="n">
        <f aca="false">L18/C18</f>
        <v>675.788367203924</v>
      </c>
      <c r="O18" s="38"/>
      <c r="P18" s="104" t="n">
        <f aca="false">L18/$N$17</f>
        <v>31.7643810548977</v>
      </c>
      <c r="Q18" s="38"/>
      <c r="R18" s="95" t="n">
        <f aca="false">L18/E18</f>
        <v>549.800456100342</v>
      </c>
      <c r="S18" s="38"/>
      <c r="T18" s="104" t="n">
        <f aca="false">L18/$R$17</f>
        <v>37.8345117638013</v>
      </c>
      <c r="U18" s="38"/>
      <c r="V18" s="95" t="n">
        <f aca="false">L18/G18</f>
        <v>512.543183630082</v>
      </c>
      <c r="W18" s="38"/>
      <c r="X18" s="104" t="n">
        <f aca="false">L18/$V$17</f>
        <v>38.0124634783946</v>
      </c>
      <c r="Y18" s="38"/>
      <c r="Z18" s="9" t="n">
        <f aca="false">T18-P18</f>
        <v>6.07013070890358</v>
      </c>
      <c r="AA18" s="9" t="n">
        <f aca="false">X18-T18</f>
        <v>0.17795171459327</v>
      </c>
      <c r="AB18" s="9" t="n">
        <f aca="false">X18-P18</f>
        <v>6.24808242349685</v>
      </c>
    </row>
    <row r="19" customFormat="false" ht="12.75" hidden="false" customHeight="false" outlineLevel="0" collapsed="false">
      <c r="A19" s="32" t="n">
        <f aca="false">A18+1</f>
        <v>37203</v>
      </c>
      <c r="C19" s="44" t="n">
        <v>27.33</v>
      </c>
      <c r="D19" s="90" t="n">
        <f aca="false">C19-C18</f>
        <v>-1.21</v>
      </c>
      <c r="E19" s="44" t="n">
        <v>33.07</v>
      </c>
      <c r="F19" s="90" t="n">
        <f aca="false">E19-E18</f>
        <v>-2.01</v>
      </c>
      <c r="G19" s="44" t="n">
        <v>38.23</v>
      </c>
      <c r="H19" s="90" t="n">
        <f aca="false">G19-G18</f>
        <v>0.599999999999994</v>
      </c>
      <c r="I19" s="44" t="n">
        <f aca="false">'Nov Data'!I19</f>
        <v>21.63</v>
      </c>
      <c r="J19" s="105" t="n">
        <f aca="false">'Nov Data'!J19</f>
        <v>-5.67</v>
      </c>
      <c r="K19" s="45"/>
      <c r="L19" s="35" t="n">
        <v>19296</v>
      </c>
      <c r="M19" s="38"/>
      <c r="N19" s="95" t="n">
        <f aca="false">L19/C19</f>
        <v>706.037321624589</v>
      </c>
      <c r="O19" s="38"/>
      <c r="P19" s="104" t="n">
        <f aca="false">L19/$N$18</f>
        <v>28.5533177788147</v>
      </c>
      <c r="Q19" s="38"/>
      <c r="R19" s="95" t="n">
        <f aca="false">L19/E19</f>
        <v>583.489567583913</v>
      </c>
      <c r="S19" s="38"/>
      <c r="T19" s="104" t="n">
        <f aca="false">L19/$R$18</f>
        <v>35.0963695753616</v>
      </c>
      <c r="U19" s="38"/>
      <c r="V19" s="95" t="n">
        <f aca="false">L19/G19</f>
        <v>504.734501700235</v>
      </c>
      <c r="W19" s="38"/>
      <c r="X19" s="104" t="n">
        <f aca="false">L19/$V$18</f>
        <v>37.6475594960336</v>
      </c>
      <c r="Y19" s="38"/>
      <c r="Z19" s="9" t="n">
        <f aca="false">T19-P19</f>
        <v>6.54305179654689</v>
      </c>
      <c r="AA19" s="9" t="n">
        <f aca="false">X19-T19</f>
        <v>2.55118992067196</v>
      </c>
      <c r="AB19" s="9" t="n">
        <f aca="false">X19-P19</f>
        <v>9.09424171721885</v>
      </c>
    </row>
    <row r="20" customFormat="false" ht="12.75" hidden="false" customHeight="false" outlineLevel="0" collapsed="false">
      <c r="A20" s="32" t="n">
        <f aca="false">A19+1</f>
        <v>37204</v>
      </c>
      <c r="C20" s="44" t="n">
        <v>26.99</v>
      </c>
      <c r="D20" s="90" t="n">
        <f aca="false">C20-C19</f>
        <v>-0.34</v>
      </c>
      <c r="E20" s="44" t="n">
        <v>33.53</v>
      </c>
      <c r="F20" s="90" t="n">
        <f aca="false">E20-E19</f>
        <v>0.460000000000001</v>
      </c>
      <c r="G20" s="44" t="n">
        <v>38.79</v>
      </c>
      <c r="H20" s="90" t="n">
        <f aca="false">G20-G19</f>
        <v>0.560000000000002</v>
      </c>
      <c r="I20" s="44" t="n">
        <f aca="false">'Nov Data'!I20</f>
        <v>21.46</v>
      </c>
      <c r="J20" s="105" t="n">
        <f aca="false">'Nov Data'!J20</f>
        <v>-0.169999999999998</v>
      </c>
      <c r="K20" s="45"/>
      <c r="L20" s="35" t="n">
        <v>19081</v>
      </c>
      <c r="M20" s="38"/>
      <c r="N20" s="95" t="n">
        <f aca="false">L20/C20</f>
        <v>706.965542793627</v>
      </c>
      <c r="O20" s="38"/>
      <c r="P20" s="104" t="n">
        <f aca="false">L20/$N$19</f>
        <v>27.0254835199005</v>
      </c>
      <c r="Q20" s="38"/>
      <c r="R20" s="95" t="n">
        <f aca="false">L20/E20</f>
        <v>569.072472412765</v>
      </c>
      <c r="S20" s="38"/>
      <c r="T20" s="104" t="n">
        <f aca="false">L20/$R$19</f>
        <v>32.7015272595357</v>
      </c>
      <c r="U20" s="38"/>
      <c r="V20" s="95" t="n">
        <f aca="false">L20/G20</f>
        <v>491.905130188193</v>
      </c>
      <c r="W20" s="38"/>
      <c r="X20" s="104" t="n">
        <f aca="false">L20/$V$19</f>
        <v>37.8040334784411</v>
      </c>
      <c r="Y20" s="38"/>
      <c r="Z20" s="9" t="n">
        <f aca="false">T20-P20</f>
        <v>5.67604373963516</v>
      </c>
      <c r="AA20" s="9" t="n">
        <f aca="false">X20-T20</f>
        <v>5.10250621890548</v>
      </c>
      <c r="AB20" s="9" t="n">
        <f aca="false">X20-P20</f>
        <v>10.7785499585406</v>
      </c>
    </row>
    <row r="21" customFormat="false" ht="12.75" hidden="false" customHeight="false" outlineLevel="0" collapsed="false">
      <c r="A21" s="42" t="n">
        <f aca="false">A20+1</f>
        <v>37205</v>
      </c>
      <c r="B21" s="19"/>
      <c r="C21" s="30" t="n">
        <v>24.5</v>
      </c>
      <c r="D21" s="29" t="n">
        <f aca="false">C21-C20</f>
        <v>-2.49</v>
      </c>
      <c r="E21" s="20" t="n">
        <v>29.35</v>
      </c>
      <c r="F21" s="29" t="n">
        <f aca="false">E21-E20</f>
        <v>-4.18</v>
      </c>
      <c r="G21" s="20" t="n">
        <v>35.04</v>
      </c>
      <c r="H21" s="29" t="n">
        <f aca="false">G21-G20</f>
        <v>-3.75</v>
      </c>
      <c r="I21" s="20" t="n">
        <f aca="false">'Nov Data'!I21</f>
        <v>20.63</v>
      </c>
      <c r="J21" s="106" t="n">
        <f aca="false">'Nov Data'!J21</f>
        <v>-0.830000000000002</v>
      </c>
      <c r="K21" s="21"/>
      <c r="L21" s="23" t="n">
        <v>17373</v>
      </c>
      <c r="M21" s="24"/>
      <c r="N21" s="26" t="n">
        <f aca="false">L21/C21</f>
        <v>709.102040816327</v>
      </c>
      <c r="O21" s="24"/>
      <c r="P21" s="43" t="n">
        <f aca="false">L21/$N$20</f>
        <v>24.5740406687281</v>
      </c>
      <c r="Q21" s="24"/>
      <c r="R21" s="26" t="n">
        <f aca="false">L21/E21</f>
        <v>591.925042589438</v>
      </c>
      <c r="S21" s="24"/>
      <c r="T21" s="43" t="n">
        <f aca="false">L21/$R$20</f>
        <v>30.5286248100204</v>
      </c>
      <c r="U21" s="24"/>
      <c r="V21" s="26" t="n">
        <f aca="false">L21/G21</f>
        <v>495.804794520548</v>
      </c>
      <c r="W21" s="24"/>
      <c r="X21" s="43" t="n">
        <f aca="false">L21/$V$20</f>
        <v>35.3177857554636</v>
      </c>
      <c r="Y21" s="24"/>
      <c r="Z21" s="103" t="n">
        <f aca="false">T21-P21</f>
        <v>5.95458414129239</v>
      </c>
      <c r="AA21" s="103" t="n">
        <f aca="false">X21-T21</f>
        <v>4.78916094544311</v>
      </c>
      <c r="AB21" s="103" t="n">
        <f aca="false">X21-P21</f>
        <v>10.7437450867355</v>
      </c>
    </row>
    <row r="22" customFormat="false" ht="12.75" hidden="false" customHeight="false" outlineLevel="0" collapsed="false">
      <c r="A22" s="42" t="n">
        <f aca="false">A21+1</f>
        <v>37206</v>
      </c>
      <c r="B22" s="19"/>
      <c r="C22" s="20" t="n">
        <v>23.34</v>
      </c>
      <c r="D22" s="29" t="n">
        <f aca="false">C22-C21</f>
        <v>-1.16</v>
      </c>
      <c r="E22" s="20" t="n">
        <v>28.26</v>
      </c>
      <c r="F22" s="29" t="n">
        <f aca="false">E22-E21</f>
        <v>-1.09</v>
      </c>
      <c r="G22" s="20" t="n">
        <v>31.26</v>
      </c>
      <c r="H22" s="29" t="n">
        <f aca="false">G22-G21</f>
        <v>-3.78</v>
      </c>
      <c r="I22" s="20" t="n">
        <f aca="false">'Nov Data'!I22</f>
        <v>22.34</v>
      </c>
      <c r="J22" s="106" t="n">
        <f aca="false">'Nov Data'!J22</f>
        <v>1.71</v>
      </c>
      <c r="K22" s="21"/>
      <c r="L22" s="23" t="n">
        <v>16349</v>
      </c>
      <c r="M22" s="24"/>
      <c r="N22" s="26" t="n">
        <f aca="false">L22/C22</f>
        <v>700.471293916024</v>
      </c>
      <c r="O22" s="24"/>
      <c r="P22" s="43" t="n">
        <f aca="false">L22/$N$21</f>
        <v>23.0559201059115</v>
      </c>
      <c r="Q22" s="24"/>
      <c r="R22" s="26" t="n">
        <f aca="false">L22/E22</f>
        <v>578.520877565464</v>
      </c>
      <c r="S22" s="24"/>
      <c r="T22" s="43" t="n">
        <f aca="false">L22/$R$21</f>
        <v>27.6200512289184</v>
      </c>
      <c r="U22" s="24"/>
      <c r="V22" s="26" t="n">
        <f aca="false">L22/G22</f>
        <v>523.000639795265</v>
      </c>
      <c r="W22" s="24"/>
      <c r="X22" s="43" t="n">
        <f aca="false">L22/$V$21</f>
        <v>32.9746710412709</v>
      </c>
      <c r="Y22" s="24"/>
      <c r="Z22" s="103" t="n">
        <f aca="false">T22-P22</f>
        <v>4.56413112300697</v>
      </c>
      <c r="AA22" s="103" t="n">
        <f aca="false">X22-T22</f>
        <v>5.3546198123525</v>
      </c>
      <c r="AB22" s="103" t="n">
        <f aca="false">X22-P22</f>
        <v>9.91875093535947</v>
      </c>
    </row>
    <row r="23" customFormat="false" ht="12.75" hidden="false" customHeight="false" outlineLevel="0" collapsed="false">
      <c r="A23" s="32" t="n">
        <f aca="false">A22+1</f>
        <v>37207</v>
      </c>
      <c r="C23" s="33" t="n">
        <v>28.02</v>
      </c>
      <c r="D23" s="90" t="n">
        <f aca="false">C23-C22</f>
        <v>4.68</v>
      </c>
      <c r="E23" s="33" t="n">
        <v>33.77</v>
      </c>
      <c r="F23" s="90" t="n">
        <f aca="false">E23-E22</f>
        <v>5.51</v>
      </c>
      <c r="G23" s="44" t="n">
        <v>41.87</v>
      </c>
      <c r="H23" s="90" t="n">
        <f aca="false">G23-G22</f>
        <v>10.61</v>
      </c>
      <c r="I23" s="44" t="n">
        <f aca="false">'Nov Data'!I23</f>
        <v>27.93</v>
      </c>
      <c r="J23" s="105" t="n">
        <f aca="false">'Nov Data'!J23</f>
        <v>5.59</v>
      </c>
      <c r="K23" s="45"/>
      <c r="L23" s="35" t="n">
        <v>19690</v>
      </c>
      <c r="M23" s="38"/>
      <c r="N23" s="95" t="n">
        <f aca="false">L23/C23</f>
        <v>702.712348322627</v>
      </c>
      <c r="O23" s="38"/>
      <c r="P23" s="104" t="n">
        <f aca="false">L23/$N$21</f>
        <v>27.7675128072296</v>
      </c>
      <c r="Q23" s="38"/>
      <c r="R23" s="95" t="n">
        <f aca="false">L23/E23</f>
        <v>583.061889250814</v>
      </c>
      <c r="S23" s="38"/>
      <c r="T23" s="104" t="n">
        <f aca="false">L23/$R$21</f>
        <v>33.2643469751914</v>
      </c>
      <c r="U23" s="38"/>
      <c r="V23" s="95" t="n">
        <f aca="false">L23/G23</f>
        <v>470.265106281347</v>
      </c>
      <c r="W23" s="38"/>
      <c r="X23" s="104" t="n">
        <f aca="false">L23/$V$21</f>
        <v>39.7132101536868</v>
      </c>
      <c r="Y23" s="38"/>
      <c r="Z23" s="9" t="n">
        <f aca="false">T23-P23</f>
        <v>5.49683416796178</v>
      </c>
      <c r="AA23" s="9" t="n">
        <f aca="false">X23-T23</f>
        <v>6.44886317849537</v>
      </c>
      <c r="AB23" s="9" t="n">
        <f aca="false">X23-P23</f>
        <v>11.9456973464571</v>
      </c>
    </row>
    <row r="24" customFormat="false" ht="12.75" hidden="false" customHeight="false" outlineLevel="0" collapsed="false">
      <c r="A24" s="32" t="n">
        <f aca="false">A23+1</f>
        <v>37208</v>
      </c>
      <c r="C24" s="44" t="n">
        <v>27.72</v>
      </c>
      <c r="D24" s="90" t="n">
        <f aca="false">C24-C23</f>
        <v>-0.300000000000001</v>
      </c>
      <c r="E24" s="44" t="n">
        <v>34.59</v>
      </c>
      <c r="F24" s="90" t="n">
        <f aca="false">E24-E23</f>
        <v>0.82</v>
      </c>
      <c r="G24" s="44" t="n">
        <v>40.67</v>
      </c>
      <c r="H24" s="90" t="n">
        <f aca="false">G24-G23</f>
        <v>-1.2</v>
      </c>
      <c r="I24" s="44" t="n">
        <f aca="false">'Nov Data'!I24</f>
        <v>26.31</v>
      </c>
      <c r="J24" s="105" t="n">
        <f aca="false">'Nov Data'!J24</f>
        <v>-1.62</v>
      </c>
      <c r="K24" s="45"/>
      <c r="L24" s="35" t="n">
        <v>19604</v>
      </c>
      <c r="M24" s="38"/>
      <c r="N24" s="95" t="n">
        <f aca="false">L24/C24</f>
        <v>707.215007215007</v>
      </c>
      <c r="O24" s="38"/>
      <c r="P24" s="104" t="n">
        <f aca="false">L24/$N$23</f>
        <v>27.8976170644997</v>
      </c>
      <c r="Q24" s="38"/>
      <c r="R24" s="95" t="n">
        <f aca="false">L24/E24</f>
        <v>566.75339693553</v>
      </c>
      <c r="S24" s="38"/>
      <c r="T24" s="104" t="n">
        <f aca="false">L24/$R$23</f>
        <v>33.6225027932961</v>
      </c>
      <c r="U24" s="38"/>
      <c r="V24" s="95" t="n">
        <f aca="false">L24/G24</f>
        <v>482.026063437423</v>
      </c>
      <c r="W24" s="38"/>
      <c r="X24" s="104" t="n">
        <f aca="false">L24/$V$23</f>
        <v>41.687124428644</v>
      </c>
      <c r="Y24" s="38"/>
      <c r="Z24" s="9" t="n">
        <f aca="false">T24-P24</f>
        <v>5.72488572879635</v>
      </c>
      <c r="AA24" s="9" t="n">
        <f aca="false">X24-T24</f>
        <v>8.06462163534788</v>
      </c>
      <c r="AB24" s="9" t="n">
        <f aca="false">X24-P24</f>
        <v>13.7895073641442</v>
      </c>
    </row>
    <row r="25" customFormat="false" ht="12.75" hidden="false" customHeight="false" outlineLevel="0" collapsed="false">
      <c r="A25" s="32" t="n">
        <f aca="false">A24+1</f>
        <v>37209</v>
      </c>
      <c r="C25" s="44" t="n">
        <v>27.32</v>
      </c>
      <c r="D25" s="90" t="n">
        <f aca="false">C25-C24</f>
        <v>-0.399999999999999</v>
      </c>
      <c r="E25" s="44" t="n">
        <v>33.14</v>
      </c>
      <c r="F25" s="90" t="n">
        <f aca="false">E25-E24</f>
        <v>-1.45</v>
      </c>
      <c r="G25" s="44" t="n">
        <v>40.44</v>
      </c>
      <c r="H25" s="90" t="n">
        <f aca="false">G25-G24</f>
        <v>-0.230000000000004</v>
      </c>
      <c r="I25" s="44" t="n">
        <f aca="false">'Nov Data'!I25</f>
        <v>25.69</v>
      </c>
      <c r="J25" s="105" t="n">
        <f aca="false">'Nov Data'!J25</f>
        <v>-0.619999999999997</v>
      </c>
      <c r="K25" s="45"/>
      <c r="L25" s="35" t="n">
        <v>19406</v>
      </c>
      <c r="M25" s="38"/>
      <c r="N25" s="95" t="n">
        <f aca="false">L25/C25</f>
        <v>710.322108345534</v>
      </c>
      <c r="O25" s="38"/>
      <c r="P25" s="104" t="n">
        <f aca="false">L25/$N$24</f>
        <v>27.4400285655989</v>
      </c>
      <c r="Q25" s="38"/>
      <c r="R25" s="95" t="n">
        <f aca="false">L25/E25</f>
        <v>585.576342788171</v>
      </c>
      <c r="S25" s="38"/>
      <c r="T25" s="104" t="n">
        <f aca="false">L25/$R$24</f>
        <v>34.2406417057743</v>
      </c>
      <c r="U25" s="38"/>
      <c r="V25" s="95" t="n">
        <f aca="false">L25/G25</f>
        <v>479.871414441147</v>
      </c>
      <c r="W25" s="38"/>
      <c r="X25" s="104" t="n">
        <f aca="false">L25/$V$24</f>
        <v>40.2592338298307</v>
      </c>
      <c r="Y25" s="38"/>
      <c r="Z25" s="9" t="n">
        <f aca="false">T25-P25</f>
        <v>6.80061314017548</v>
      </c>
      <c r="AA25" s="9" t="n">
        <f aca="false">X25-T25</f>
        <v>6.01859212405631</v>
      </c>
      <c r="AB25" s="9" t="n">
        <f aca="false">X25-P25</f>
        <v>12.8192052642318</v>
      </c>
    </row>
    <row r="26" customFormat="false" ht="12.75" hidden="false" customHeight="false" outlineLevel="0" collapsed="false">
      <c r="A26" s="32" t="n">
        <f aca="false">A25+1</f>
        <v>37210</v>
      </c>
      <c r="C26" s="33" t="n">
        <v>26.4</v>
      </c>
      <c r="D26" s="90" t="n">
        <f aca="false">C26-C25</f>
        <v>-0.920000000000002</v>
      </c>
      <c r="E26" s="44" t="n">
        <v>34.09</v>
      </c>
      <c r="F26" s="90" t="n">
        <f aca="false">E26-E25</f>
        <v>0.950000000000003</v>
      </c>
      <c r="G26" s="44" t="n">
        <v>40.32</v>
      </c>
      <c r="H26" s="90" t="n">
        <f aca="false">G26-G25</f>
        <v>-0.119999999999997</v>
      </c>
      <c r="I26" s="44" t="n">
        <f aca="false">'Nov Data'!I26</f>
        <v>24.79</v>
      </c>
      <c r="J26" s="105" t="n">
        <f aca="false">'Nov Data'!J26</f>
        <v>-0.900000000000002</v>
      </c>
      <c r="K26" s="45"/>
      <c r="L26" s="35" t="n">
        <v>19329</v>
      </c>
      <c r="M26" s="38"/>
      <c r="N26" s="95" t="n">
        <f aca="false">L26/C26</f>
        <v>732.159090909091</v>
      </c>
      <c r="O26" s="38"/>
      <c r="P26" s="104" t="n">
        <f aca="false">L26/$N$24</f>
        <v>27.331150785554</v>
      </c>
      <c r="Q26" s="38"/>
      <c r="R26" s="95" t="n">
        <f aca="false">L26/E26</f>
        <v>566.999119976533</v>
      </c>
      <c r="S26" s="38"/>
      <c r="T26" s="104" t="n">
        <f aca="false">L26/$R$24</f>
        <v>34.1047801469088</v>
      </c>
      <c r="U26" s="38"/>
      <c r="V26" s="95" t="n">
        <f aca="false">L26/G26</f>
        <v>479.389880952381</v>
      </c>
      <c r="W26" s="38"/>
      <c r="X26" s="104" t="n">
        <f aca="false">L26/$V$24</f>
        <v>40.0994914303203</v>
      </c>
      <c r="Y26" s="38"/>
      <c r="Z26" s="9" t="n">
        <f aca="false">T26-P26</f>
        <v>6.77362936135484</v>
      </c>
      <c r="AA26" s="9" t="n">
        <f aca="false">X26-T26</f>
        <v>5.99471128341154</v>
      </c>
      <c r="AB26" s="9" t="n">
        <f aca="false">X26-P26</f>
        <v>12.7683406447664</v>
      </c>
    </row>
    <row r="27" customFormat="false" ht="12.75" hidden="false" customHeight="false" outlineLevel="0" collapsed="false">
      <c r="A27" s="32" t="n">
        <f aca="false">A26+1</f>
        <v>37211</v>
      </c>
      <c r="C27" s="44" t="n">
        <v>25.57</v>
      </c>
      <c r="D27" s="90" t="n">
        <f aca="false">C27-C26</f>
        <v>-0.829999999999998</v>
      </c>
      <c r="E27" s="44" t="n">
        <v>32.78</v>
      </c>
      <c r="F27" s="90" t="n">
        <f aca="false">E27-E26</f>
        <v>-1.31</v>
      </c>
      <c r="G27" s="44" t="n">
        <v>46.99</v>
      </c>
      <c r="H27" s="90" t="n">
        <f aca="false">G27-G26</f>
        <v>6.67</v>
      </c>
      <c r="I27" s="44" t="n">
        <f aca="false">'Nov Data'!I27</f>
        <v>29.49</v>
      </c>
      <c r="J27" s="105" t="n">
        <f aca="false">'Nov Data'!J27</f>
        <v>4.7</v>
      </c>
      <c r="K27" s="45"/>
      <c r="L27" s="35" t="n">
        <v>18972</v>
      </c>
      <c r="M27" s="38"/>
      <c r="N27" s="95" t="n">
        <f aca="false">L27/C27</f>
        <v>741.96323816973</v>
      </c>
      <c r="O27" s="38"/>
      <c r="P27" s="104" t="n">
        <f aca="false">L27/$N$45</f>
        <v>26.3912598540145</v>
      </c>
      <c r="Q27" s="38"/>
      <c r="R27" s="95" t="n">
        <f aca="false">L27/E27</f>
        <v>578.767541183649</v>
      </c>
      <c r="S27" s="38"/>
      <c r="T27" s="104" t="n">
        <f aca="false">L27/$R$45</f>
        <v>32.9242583876102</v>
      </c>
      <c r="U27" s="38"/>
      <c r="V27" s="95" t="n">
        <f aca="false">L27/G27</f>
        <v>403.745477761226</v>
      </c>
      <c r="W27" s="38"/>
      <c r="X27" s="104" t="n">
        <f aca="false">L27/$V$45</f>
        <v>40.9709688949444</v>
      </c>
      <c r="Y27" s="38"/>
      <c r="Z27" s="9" t="n">
        <f aca="false">T27-P27</f>
        <v>6.53299853359567</v>
      </c>
      <c r="AA27" s="9" t="n">
        <f aca="false">X27-T27</f>
        <v>8.04671050733423</v>
      </c>
      <c r="AB27" s="9" t="n">
        <f aca="false">X27-P27</f>
        <v>14.5797090409299</v>
      </c>
    </row>
    <row r="28" customFormat="false" ht="12.75" hidden="false" customHeight="false" outlineLevel="0" collapsed="false">
      <c r="A28" s="42" t="n">
        <f aca="false">A27+1</f>
        <v>37212</v>
      </c>
      <c r="B28" s="19"/>
      <c r="C28" s="20" t="n">
        <v>24.02</v>
      </c>
      <c r="D28" s="29" t="n">
        <f aca="false">C28-C27</f>
        <v>-1.55</v>
      </c>
      <c r="E28" s="30" t="n">
        <v>29.92</v>
      </c>
      <c r="F28" s="29" t="n">
        <f aca="false">E28-E27</f>
        <v>-2.86</v>
      </c>
      <c r="G28" s="20" t="n">
        <v>32.82</v>
      </c>
      <c r="H28" s="29" t="n">
        <f aca="false">G28-G27</f>
        <v>-14.17</v>
      </c>
      <c r="I28" s="20" t="n">
        <f aca="false">'Nov Data'!I28</f>
        <v>21.45</v>
      </c>
      <c r="J28" s="106" t="n">
        <f aca="false">'Nov Data'!J28</f>
        <v>-8.04</v>
      </c>
      <c r="K28" s="21"/>
      <c r="L28" s="23" t="n">
        <v>16801</v>
      </c>
      <c r="M28" s="24"/>
      <c r="N28" s="26" t="n">
        <f aca="false">L28/C28</f>
        <v>699.458784346378</v>
      </c>
      <c r="O28" s="24"/>
      <c r="P28" s="43" t="n">
        <f aca="false">L28/$N$45</f>
        <v>23.3712606371125</v>
      </c>
      <c r="Q28" s="24"/>
      <c r="R28" s="26" t="n">
        <f aca="false">L28/E28</f>
        <v>561.530748663102</v>
      </c>
      <c r="S28" s="24"/>
      <c r="T28" s="43" t="n">
        <f aca="false">L28/$R$45</f>
        <v>29.1566764268522</v>
      </c>
      <c r="U28" s="24"/>
      <c r="V28" s="26" t="n">
        <f aca="false">L28/G28</f>
        <v>511.913467397928</v>
      </c>
      <c r="W28" s="24"/>
      <c r="X28" s="43" t="n">
        <f aca="false">L28/$V$45</f>
        <v>36.2825874132385</v>
      </c>
      <c r="Y28" s="24"/>
      <c r="Z28" s="103" t="n">
        <f aca="false">T28-P28</f>
        <v>5.78541578973966</v>
      </c>
      <c r="AA28" s="103" t="n">
        <f aca="false">X28-T28</f>
        <v>7.12591098638638</v>
      </c>
      <c r="AB28" s="103" t="n">
        <f aca="false">X28-P28</f>
        <v>12.911326776126</v>
      </c>
    </row>
    <row r="29" customFormat="false" ht="12.75" hidden="false" customHeight="false" outlineLevel="0" collapsed="false">
      <c r="A29" s="42" t="n">
        <f aca="false">A28+1</f>
        <v>37213</v>
      </c>
      <c r="B29" s="19"/>
      <c r="C29" s="30" t="n">
        <v>22.54</v>
      </c>
      <c r="D29" s="29" t="n">
        <f aca="false">C29-C28</f>
        <v>-1.48</v>
      </c>
      <c r="E29" s="20" t="n">
        <v>26.35</v>
      </c>
      <c r="F29" s="29" t="n">
        <f aca="false">E29-E28</f>
        <v>-3.57</v>
      </c>
      <c r="G29" s="20" t="n">
        <v>29.67</v>
      </c>
      <c r="H29" s="29" t="n">
        <f aca="false">G29-G28</f>
        <v>-3.15</v>
      </c>
      <c r="I29" s="20" t="n">
        <f aca="false">'Nov Data'!I29</f>
        <v>18.76</v>
      </c>
      <c r="J29" s="106" t="n">
        <f aca="false">'Nov Data'!J29</f>
        <v>-2.69</v>
      </c>
      <c r="K29" s="21"/>
      <c r="L29" s="23" t="n">
        <v>16319</v>
      </c>
      <c r="M29" s="24"/>
      <c r="N29" s="26" t="n">
        <f aca="false">L29/C29</f>
        <v>724.001774622893</v>
      </c>
      <c r="O29" s="24"/>
      <c r="P29" s="43" t="n">
        <f aca="false">L29/$N$45</f>
        <v>22.700767950541</v>
      </c>
      <c r="Q29" s="24"/>
      <c r="R29" s="26" t="n">
        <f aca="false">L29/E29</f>
        <v>619.316888045541</v>
      </c>
      <c r="S29" s="24"/>
      <c r="T29" s="43" t="n">
        <f aca="false">L29/$R$45</f>
        <v>28.320207285864</v>
      </c>
      <c r="U29" s="24"/>
      <c r="V29" s="26" t="n">
        <f aca="false">L29/G29</f>
        <v>550.016852039097</v>
      </c>
      <c r="W29" s="24"/>
      <c r="X29" s="43" t="n">
        <f aca="false">L29/$V$45</f>
        <v>35.2416846614273</v>
      </c>
      <c r="Y29" s="24"/>
      <c r="Z29" s="103" t="n">
        <f aca="false">T29-P29</f>
        <v>5.61943933532299</v>
      </c>
      <c r="AA29" s="103" t="n">
        <f aca="false">X29-T29</f>
        <v>6.92147737556331</v>
      </c>
      <c r="AB29" s="103" t="n">
        <f aca="false">X29-P29</f>
        <v>12.5409167108863</v>
      </c>
    </row>
    <row r="30" customFormat="false" ht="12.75" hidden="false" customHeight="false" outlineLevel="0" collapsed="false">
      <c r="A30" s="32" t="n">
        <f aca="false">A29+1</f>
        <v>37214</v>
      </c>
      <c r="C30" s="44" t="n">
        <v>24.52</v>
      </c>
      <c r="D30" s="90" t="n">
        <f aca="false">C30-C29</f>
        <v>1.98</v>
      </c>
      <c r="E30" s="44" t="n">
        <v>28.65</v>
      </c>
      <c r="F30" s="90" t="n">
        <f aca="false">E30-E29</f>
        <v>2.3</v>
      </c>
      <c r="G30" s="44" t="n">
        <v>31.82</v>
      </c>
      <c r="H30" s="90" t="n">
        <f aca="false">G30-G29</f>
        <v>2.15</v>
      </c>
      <c r="I30" s="44" t="n">
        <f aca="false">'Nov Data'!I30</f>
        <v>25.16</v>
      </c>
      <c r="J30" s="105" t="n">
        <f aca="false">'Nov Data'!J30</f>
        <v>6.4</v>
      </c>
      <c r="K30" s="45"/>
      <c r="L30" s="35" t="n">
        <v>19374</v>
      </c>
      <c r="M30" s="38"/>
      <c r="N30" s="95" t="n">
        <f aca="false">L30/C30</f>
        <v>790.130505709625</v>
      </c>
      <c r="O30" s="38"/>
      <c r="P30" s="104" t="n">
        <f aca="false">L30/$N$45</f>
        <v>26.9504674473792</v>
      </c>
      <c r="Q30" s="38"/>
      <c r="R30" s="95" t="n">
        <f aca="false">L30/E30</f>
        <v>676.230366492147</v>
      </c>
      <c r="S30" s="38"/>
      <c r="T30" s="104" t="n">
        <f aca="false">L30/$R$45</f>
        <v>33.6218944761522</v>
      </c>
      <c r="U30" s="38"/>
      <c r="V30" s="95" t="n">
        <f aca="false">L30/G30</f>
        <v>608.862350722816</v>
      </c>
      <c r="W30" s="38"/>
      <c r="X30" s="104" t="n">
        <f aca="false">L30/$V$45</f>
        <v>41.8391077045464</v>
      </c>
      <c r="Y30" s="38"/>
      <c r="Z30" s="9" t="n">
        <f aca="false">T30-P30</f>
        <v>6.67142702877307</v>
      </c>
      <c r="AA30" s="9" t="n">
        <f aca="false">X30-T30</f>
        <v>8.21721322839412</v>
      </c>
      <c r="AB30" s="9" t="n">
        <f aca="false">X30-P30</f>
        <v>14.8886402571672</v>
      </c>
    </row>
    <row r="31" customFormat="false" ht="12.75" hidden="false" customHeight="false" outlineLevel="0" collapsed="false">
      <c r="A31" s="32" t="n">
        <f aca="false">A30+1</f>
        <v>37215</v>
      </c>
      <c r="C31" s="44" t="n">
        <v>25.35</v>
      </c>
      <c r="D31" s="90" t="n">
        <f aca="false">C31-C30</f>
        <v>0.830000000000002</v>
      </c>
      <c r="E31" s="44" t="n">
        <v>29.37</v>
      </c>
      <c r="F31" s="90" t="n">
        <f aca="false">E31-E30</f>
        <v>0.720000000000002</v>
      </c>
      <c r="G31" s="44" t="n">
        <v>32.06</v>
      </c>
      <c r="H31" s="90" t="n">
        <f aca="false">G31-G30</f>
        <v>0.240000000000002</v>
      </c>
      <c r="I31" s="44" t="n">
        <f aca="false">'Nov Data'!I31</f>
        <v>26.15</v>
      </c>
      <c r="J31" s="105" t="n">
        <f aca="false">'Nov Data'!J31</f>
        <v>0.989999999999998</v>
      </c>
      <c r="K31" s="45"/>
      <c r="L31" s="35" t="n">
        <v>19533</v>
      </c>
      <c r="M31" s="38"/>
      <c r="N31" s="95" t="n">
        <f aca="false">L31/C31</f>
        <v>770.532544378698</v>
      </c>
      <c r="O31" s="38"/>
      <c r="P31" s="104" t="n">
        <f aca="false">L31/$N$46</f>
        <v>25.1335811429778</v>
      </c>
      <c r="Q31" s="38"/>
      <c r="R31" s="95" t="n">
        <f aca="false">L31/E31</f>
        <v>665.066394279877</v>
      </c>
      <c r="S31" s="38"/>
      <c r="T31" s="104" t="n">
        <f aca="false">L31/$R$46</f>
        <v>30.232216703513</v>
      </c>
      <c r="U31" s="38"/>
      <c r="V31" s="95" t="n">
        <f aca="false">L31/G31</f>
        <v>609.263880224579</v>
      </c>
      <c r="W31" s="38"/>
      <c r="X31" s="104" t="n">
        <f aca="false">L31/$V$46</f>
        <v>32.1979892158026</v>
      </c>
      <c r="Y31" s="38"/>
      <c r="Z31" s="9" t="n">
        <f aca="false">T31-P31</f>
        <v>5.09863556053515</v>
      </c>
      <c r="AA31" s="9" t="n">
        <f aca="false">X31-T31</f>
        <v>1.96577251228966</v>
      </c>
      <c r="AB31" s="9" t="n">
        <f aca="false">X31-P31</f>
        <v>7.06440807282481</v>
      </c>
    </row>
    <row r="32" customFormat="false" ht="12.75" hidden="false" customHeight="false" outlineLevel="0" collapsed="false">
      <c r="A32" s="32" t="n">
        <f aca="false">A31+1</f>
        <v>37216</v>
      </c>
      <c r="C32" s="44" t="n">
        <v>24.67</v>
      </c>
      <c r="D32" s="90" t="n">
        <f aca="false">C32-C31</f>
        <v>-0.68</v>
      </c>
      <c r="E32" s="44" t="n">
        <v>31.13</v>
      </c>
      <c r="F32" s="90" t="n">
        <f aca="false">E32-E31</f>
        <v>1.76</v>
      </c>
      <c r="G32" s="44" t="n">
        <v>32.45</v>
      </c>
      <c r="H32" s="90" t="n">
        <f aca="false">G32-G31</f>
        <v>0.390000000000001</v>
      </c>
      <c r="I32" s="44"/>
      <c r="J32" s="44"/>
      <c r="K32" s="45"/>
      <c r="L32" s="35" t="n">
        <v>19389</v>
      </c>
      <c r="M32" s="38"/>
      <c r="N32" s="95" t="n">
        <f aca="false">L32/C32</f>
        <v>785.934333198217</v>
      </c>
      <c r="O32" s="38"/>
      <c r="P32" s="104" t="n">
        <f aca="false">L32/$N$46</f>
        <v>24.9482928777554</v>
      </c>
      <c r="Q32" s="38"/>
      <c r="R32" s="95" t="n">
        <f aca="false">L32/E32</f>
        <v>622.839704465146</v>
      </c>
      <c r="S32" s="38"/>
      <c r="T32" s="104" t="n">
        <f aca="false">L32/$R$46</f>
        <v>30.0093405859014</v>
      </c>
      <c r="U32" s="38"/>
      <c r="V32" s="95" t="n">
        <f aca="false">L32/G32</f>
        <v>597.503852080123</v>
      </c>
      <c r="W32" s="38"/>
      <c r="X32" s="104" t="n">
        <f aca="false">L32/$V$46</f>
        <v>31.9606211490911</v>
      </c>
      <c r="Y32" s="38"/>
      <c r="Z32" s="9" t="n">
        <f aca="false">T32-P32</f>
        <v>5.06104770814601</v>
      </c>
      <c r="AA32" s="9" t="n">
        <f aca="false">X32-T32</f>
        <v>1.95128056318969</v>
      </c>
      <c r="AB32" s="9" t="n">
        <f aca="false">X32-P32</f>
        <v>7.0123282713357</v>
      </c>
    </row>
    <row r="33" customFormat="false" ht="12.75" hidden="false" customHeight="false" outlineLevel="0" collapsed="false">
      <c r="A33" s="32" t="n">
        <f aca="false">A32+1</f>
        <v>37217</v>
      </c>
      <c r="C33" s="44" t="n">
        <v>21.28</v>
      </c>
      <c r="D33" s="90" t="n">
        <f aca="false">C33-C32</f>
        <v>-3.39</v>
      </c>
      <c r="E33" s="44" t="n">
        <v>25.71</v>
      </c>
      <c r="F33" s="90" t="n">
        <f aca="false">E33-E32</f>
        <v>-5.42</v>
      </c>
      <c r="G33" s="44" t="n">
        <v>26.19</v>
      </c>
      <c r="H33" s="90" t="n">
        <f aca="false">G33-G32</f>
        <v>-6.26</v>
      </c>
      <c r="I33" s="44"/>
      <c r="J33" s="50"/>
      <c r="K33" s="45"/>
      <c r="L33" s="35" t="n">
        <v>15920</v>
      </c>
      <c r="M33" s="38"/>
      <c r="N33" s="95" t="n">
        <f aca="false">L33/C33</f>
        <v>748.12030075188</v>
      </c>
      <c r="O33" s="38"/>
      <c r="P33" s="104" t="n">
        <f aca="false">L33/$N$46</f>
        <v>20.4846470995857</v>
      </c>
      <c r="Q33" s="38"/>
      <c r="R33" s="95" t="n">
        <f aca="false">L33/E33</f>
        <v>619.214313496694</v>
      </c>
      <c r="S33" s="38"/>
      <c r="T33" s="104" t="n">
        <f aca="false">L33/$R$46</f>
        <v>24.6401930026072</v>
      </c>
      <c r="U33" s="38"/>
      <c r="V33" s="95" t="n">
        <f aca="false">L33/G33</f>
        <v>607.865597556319</v>
      </c>
      <c r="W33" s="38"/>
      <c r="X33" s="104" t="n">
        <f aca="false">L33/$V$46</f>
        <v>26.2423584864372</v>
      </c>
      <c r="Y33" s="38"/>
      <c r="Z33" s="9" t="n">
        <f aca="false">T33-P33</f>
        <v>4.15554590302153</v>
      </c>
      <c r="AA33" s="9" t="n">
        <f aca="false">X33-T33</f>
        <v>1.60216548383</v>
      </c>
      <c r="AB33" s="9" t="n">
        <f aca="false">X33-P33</f>
        <v>5.75771138685153</v>
      </c>
    </row>
    <row r="34" customFormat="false" ht="12.75" hidden="false" customHeight="false" outlineLevel="0" collapsed="false">
      <c r="A34" s="32" t="n">
        <f aca="false">A33+1</f>
        <v>37218</v>
      </c>
      <c r="C34" s="44" t="n">
        <v>21.62</v>
      </c>
      <c r="D34" s="90" t="n">
        <f aca="false">C34-C33</f>
        <v>0.34</v>
      </c>
      <c r="E34" s="33" t="n">
        <v>26.43</v>
      </c>
      <c r="F34" s="90" t="n">
        <f aca="false">E34-E33</f>
        <v>0.719999999999999</v>
      </c>
      <c r="G34" s="44" t="n">
        <v>28.05</v>
      </c>
      <c r="H34" s="90" t="n">
        <f aca="false">G34-G33</f>
        <v>1.86</v>
      </c>
      <c r="I34" s="44"/>
      <c r="J34" s="50"/>
      <c r="K34" s="45"/>
      <c r="L34" s="35" t="n">
        <f aca="false">'Nov Data'!L34</f>
        <v>17104</v>
      </c>
      <c r="M34" s="38"/>
      <c r="N34" s="95" t="n">
        <f aca="false">L34/C34</f>
        <v>791.119333950046</v>
      </c>
      <c r="O34" s="38"/>
      <c r="P34" s="104" t="n">
        <f aca="false">L34/$N$46</f>
        <v>22.0081283914141</v>
      </c>
      <c r="Q34" s="38"/>
      <c r="R34" s="95" t="n">
        <f aca="false">L34/E34</f>
        <v>647.143397654181</v>
      </c>
      <c r="S34" s="38"/>
      <c r="T34" s="104" t="n">
        <f aca="false">L34/$R$46</f>
        <v>26.4727299696353</v>
      </c>
      <c r="U34" s="38"/>
      <c r="V34" s="95" t="n">
        <f aca="false">L34/G34</f>
        <v>609.768270944742</v>
      </c>
      <c r="W34" s="38"/>
      <c r="X34" s="104" t="n">
        <f aca="false">L34/$V$46</f>
        <v>28.1940514793983</v>
      </c>
      <c r="Y34" s="38"/>
      <c r="Z34" s="9" t="n">
        <f aca="false">T34-P34</f>
        <v>4.46460157822112</v>
      </c>
      <c r="AA34" s="9" t="n">
        <f aca="false">X34-T34</f>
        <v>1.72132150976308</v>
      </c>
      <c r="AB34" s="9" t="n">
        <f aca="false">X34-P34</f>
        <v>6.18592308798421</v>
      </c>
    </row>
    <row r="35" customFormat="false" ht="12.75" hidden="false" customHeight="false" outlineLevel="0" collapsed="false">
      <c r="A35" s="42" t="n">
        <f aca="false">A34+1</f>
        <v>37219</v>
      </c>
      <c r="B35" s="19"/>
      <c r="C35" s="20" t="n">
        <v>21.73</v>
      </c>
      <c r="D35" s="29" t="n">
        <f aca="false">C35-C34</f>
        <v>0.109999999999999</v>
      </c>
      <c r="E35" s="20" t="n">
        <v>26.06</v>
      </c>
      <c r="F35" s="29" t="n">
        <f aca="false">E35-E34</f>
        <v>-0.370000000000001</v>
      </c>
      <c r="G35" s="30" t="n">
        <v>27.8</v>
      </c>
      <c r="H35" s="29" t="n">
        <f aca="false">G35-G34</f>
        <v>-0.25</v>
      </c>
      <c r="I35" s="20"/>
      <c r="J35" s="22"/>
      <c r="K35" s="21"/>
      <c r="L35" s="23" t="n">
        <v>16226</v>
      </c>
      <c r="M35" s="24"/>
      <c r="N35" s="26" t="n">
        <f aca="false">L35/C35</f>
        <v>746.709618039577</v>
      </c>
      <c r="O35" s="24"/>
      <c r="P35" s="43" t="n">
        <f aca="false">L35/$N$46</f>
        <v>20.8783846631832</v>
      </c>
      <c r="Q35" s="24"/>
      <c r="R35" s="26" t="n">
        <f aca="false">L35/E35</f>
        <v>622.640061396777</v>
      </c>
      <c r="S35" s="24"/>
      <c r="T35" s="43" t="n">
        <f aca="false">L35/$R$46</f>
        <v>25.1138047525317</v>
      </c>
      <c r="U35" s="24"/>
      <c r="V35" s="26" t="n">
        <f aca="false">L35/G35</f>
        <v>583.669064748201</v>
      </c>
      <c r="W35" s="24"/>
      <c r="X35" s="43" t="n">
        <f aca="false">L35/$V$46</f>
        <v>26.7467656281991</v>
      </c>
      <c r="Y35" s="24"/>
      <c r="Z35" s="103" t="n">
        <f aca="false">T35-P35</f>
        <v>4.23542008934846</v>
      </c>
      <c r="AA35" s="103" t="n">
        <f aca="false">X35-T35</f>
        <v>1.63296087566743</v>
      </c>
      <c r="AB35" s="103" t="n">
        <f aca="false">X35-P35</f>
        <v>5.86838096501589</v>
      </c>
    </row>
    <row r="36" customFormat="false" ht="12.75" hidden="false" customHeight="false" outlineLevel="0" collapsed="false">
      <c r="A36" s="42" t="n">
        <f aca="false">A35+1</f>
        <v>37220</v>
      </c>
      <c r="B36" s="19"/>
      <c r="C36" s="30" t="n">
        <v>21.3</v>
      </c>
      <c r="D36" s="29" t="n">
        <f aca="false">C36-C35</f>
        <v>-0.43</v>
      </c>
      <c r="E36" s="20" t="n">
        <v>25.51</v>
      </c>
      <c r="F36" s="29" t="n">
        <f aca="false">E36-E35</f>
        <v>-0.549999999999997</v>
      </c>
      <c r="G36" s="30" t="n">
        <v>26.07</v>
      </c>
      <c r="H36" s="29" t="n">
        <f aca="false">G36-G35</f>
        <v>-1.73</v>
      </c>
      <c r="I36" s="20"/>
      <c r="J36" s="22"/>
      <c r="K36" s="21"/>
      <c r="L36" s="23" t="n">
        <v>16482</v>
      </c>
      <c r="M36" s="24"/>
      <c r="N36" s="26" t="n">
        <f aca="false">L36/C36</f>
        <v>773.802816901408</v>
      </c>
      <c r="O36" s="24"/>
      <c r="P36" s="43" t="n">
        <f aca="false">L36/$N$46</f>
        <v>21.2077860235786</v>
      </c>
      <c r="Q36" s="24"/>
      <c r="R36" s="26" t="n">
        <f aca="false">L36/E36</f>
        <v>646.09956879655</v>
      </c>
      <c r="S36" s="24"/>
      <c r="T36" s="43" t="n">
        <f aca="false">L36/$R$46</f>
        <v>25.5100289616188</v>
      </c>
      <c r="U36" s="24"/>
      <c r="V36" s="26" t="n">
        <f aca="false">L36/G36</f>
        <v>632.220943613349</v>
      </c>
      <c r="W36" s="24"/>
      <c r="X36" s="43" t="n">
        <f aca="false">L36/$V$46</f>
        <v>27.1687533023529</v>
      </c>
      <c r="Y36" s="24"/>
      <c r="Z36" s="103" t="n">
        <f aca="false">T36-P36</f>
        <v>4.30224293804026</v>
      </c>
      <c r="AA36" s="103" t="n">
        <f aca="false">X36-T36</f>
        <v>1.65872434073405</v>
      </c>
      <c r="AB36" s="103" t="n">
        <f aca="false">X36-P36</f>
        <v>5.96096727877431</v>
      </c>
    </row>
    <row r="37" customFormat="false" ht="12.75" hidden="false" customHeight="false" outlineLevel="0" collapsed="false">
      <c r="A37" s="32" t="n">
        <f aca="false">A36+1</f>
        <v>37221</v>
      </c>
      <c r="C37" s="44" t="n">
        <v>27.85</v>
      </c>
      <c r="D37" s="90" t="n">
        <f aca="false">C37-C36</f>
        <v>6.55</v>
      </c>
      <c r="E37" s="44" t="n">
        <v>33.31</v>
      </c>
      <c r="F37" s="90" t="n">
        <f aca="false">E37-E36</f>
        <v>7.8</v>
      </c>
      <c r="G37" s="44" t="n">
        <v>35.25</v>
      </c>
      <c r="H37" s="90" t="n">
        <f aca="false">G37-G36</f>
        <v>9.18</v>
      </c>
      <c r="I37" s="44"/>
      <c r="J37" s="50"/>
      <c r="K37" s="45"/>
      <c r="L37" s="35" t="n">
        <f aca="false">'Nov Data'!L37</f>
        <v>19263</v>
      </c>
      <c r="M37" s="38"/>
      <c r="N37" s="95" t="n">
        <f aca="false">L37/C37</f>
        <v>691.669658886894</v>
      </c>
      <c r="O37" s="38"/>
      <c r="P37" s="104" t="n">
        <f aca="false">L37/$N$46</f>
        <v>24.7861656456858</v>
      </c>
      <c r="Q37" s="38"/>
      <c r="R37" s="95" t="n">
        <f aca="false">L37/E37</f>
        <v>578.294806364455</v>
      </c>
      <c r="S37" s="38"/>
      <c r="T37" s="104" t="n">
        <f aca="false">L37/$R$46</f>
        <v>29.8143239829914</v>
      </c>
      <c r="U37" s="38"/>
      <c r="V37" s="95" t="n">
        <f aca="false">L37/G37</f>
        <v>546.468085106383</v>
      </c>
      <c r="W37" s="38"/>
      <c r="X37" s="104" t="n">
        <f aca="false">L37/$V$46</f>
        <v>31.7529240907186</v>
      </c>
      <c r="Y37" s="38"/>
      <c r="Z37" s="9" t="n">
        <f aca="false">T37-P37</f>
        <v>5.02815833730551</v>
      </c>
      <c r="AA37" s="9" t="n">
        <f aca="false">X37-T37</f>
        <v>1.93860010772721</v>
      </c>
      <c r="AB37" s="9" t="n">
        <f aca="false">X37-P37</f>
        <v>6.96675844503273</v>
      </c>
    </row>
    <row r="38" customFormat="false" ht="12.75" hidden="false" customHeight="false" outlineLevel="0" collapsed="false">
      <c r="A38" s="32" t="n">
        <f aca="false">A37+1</f>
        <v>37222</v>
      </c>
      <c r="C38" s="44" t="n">
        <v>26.16</v>
      </c>
      <c r="D38" s="90" t="n">
        <f aca="false">C38-C37</f>
        <v>-1.69</v>
      </c>
      <c r="E38" s="44" t="n">
        <v>32.49</v>
      </c>
      <c r="F38" s="90" t="n">
        <f aca="false">E38-E37</f>
        <v>-0.82</v>
      </c>
      <c r="G38" s="44" t="n">
        <v>33.65</v>
      </c>
      <c r="H38" s="90" t="n">
        <f aca="false">G38-G37</f>
        <v>-1.6</v>
      </c>
      <c r="I38" s="44"/>
      <c r="J38" s="50"/>
      <c r="K38" s="45"/>
      <c r="L38" s="35" t="n">
        <f aca="false">'Nov Data'!L38</f>
        <v>19278</v>
      </c>
      <c r="M38" s="38"/>
      <c r="N38" s="95" t="n">
        <f aca="false">L38/C38</f>
        <v>736.926605504587</v>
      </c>
      <c r="O38" s="38"/>
      <c r="P38" s="104" t="n">
        <f aca="false">L38/$N$47</f>
        <v>24.9317187916656</v>
      </c>
      <c r="Q38" s="38"/>
      <c r="R38" s="95" t="n">
        <f aca="false">L38/E38</f>
        <v>593.351800554017</v>
      </c>
      <c r="S38" s="38"/>
      <c r="T38" s="104" t="n">
        <f aca="false">L38/$R$47</f>
        <v>30.9148016706807</v>
      </c>
      <c r="U38" s="38"/>
      <c r="V38" s="95" t="n">
        <f aca="false">L38/G38</f>
        <v>572.897473997028</v>
      </c>
      <c r="W38" s="38"/>
      <c r="X38" s="104" t="n">
        <f aca="false">L38/$V$47</f>
        <v>33.1569274876695</v>
      </c>
      <c r="Y38" s="38"/>
      <c r="Z38" s="9" t="n">
        <f aca="false">T38-P38</f>
        <v>5.98308287901509</v>
      </c>
      <c r="AA38" s="9" t="n">
        <f aca="false">X38-T38</f>
        <v>2.2421258169888</v>
      </c>
      <c r="AB38" s="9" t="n">
        <f aca="false">X38-P38</f>
        <v>8.22520869600389</v>
      </c>
    </row>
    <row r="39" customFormat="false" ht="12.75" hidden="false" customHeight="false" outlineLevel="0" collapsed="false">
      <c r="A39" s="32" t="n">
        <f aca="false">A38+1</f>
        <v>37223</v>
      </c>
      <c r="C39" s="69" t="n">
        <v>22.4</v>
      </c>
      <c r="D39" s="90" t="n">
        <f aca="false">C39-C38</f>
        <v>-3.76</v>
      </c>
      <c r="E39" s="51" t="n">
        <v>27.37</v>
      </c>
      <c r="F39" s="90" t="n">
        <f aca="false">E39-E38</f>
        <v>-5.12</v>
      </c>
      <c r="G39" s="51" t="n">
        <v>29.68</v>
      </c>
      <c r="H39" s="90" t="n">
        <f aca="false">G39-G38</f>
        <v>-3.97</v>
      </c>
      <c r="I39" s="51"/>
      <c r="J39" s="52"/>
      <c r="K39" s="53"/>
      <c r="L39" s="35" t="n">
        <f aca="false">'Nov Data'!L39</f>
        <v>19299</v>
      </c>
      <c r="M39" s="55"/>
      <c r="N39" s="95" t="n">
        <f aca="false">L39/C39</f>
        <v>861.5625</v>
      </c>
      <c r="O39" s="55"/>
      <c r="P39" s="104" t="n">
        <f aca="false">L39/$N$47</f>
        <v>24.9588775267328</v>
      </c>
      <c r="Q39" s="55"/>
      <c r="R39" s="95" t="n">
        <f aca="false">L39/E39</f>
        <v>705.115089514066</v>
      </c>
      <c r="S39" s="55"/>
      <c r="T39" s="104" t="n">
        <f aca="false">L39/$R$47</f>
        <v>30.9484779252239</v>
      </c>
      <c r="U39" s="55"/>
      <c r="V39" s="95" t="n">
        <f aca="false">L39/G39</f>
        <v>650.235849056604</v>
      </c>
      <c r="W39" s="55"/>
      <c r="X39" s="104" t="n">
        <f aca="false">L39/$V$47</f>
        <v>33.1930461450635</v>
      </c>
      <c r="Y39" s="38"/>
    </row>
    <row r="40" customFormat="false" ht="12.75" hidden="false" customHeight="false" outlineLevel="0" collapsed="false">
      <c r="A40" s="32" t="n">
        <f aca="false">A39+1</f>
        <v>37224</v>
      </c>
      <c r="C40" s="69" t="n">
        <v>26</v>
      </c>
      <c r="D40" s="90" t="n">
        <f aca="false">C40-C39</f>
        <v>3.6</v>
      </c>
      <c r="E40" s="51" t="n">
        <v>30.97</v>
      </c>
      <c r="F40" s="90" t="n">
        <f aca="false">E40-E39</f>
        <v>3.6</v>
      </c>
      <c r="G40" s="51" t="n">
        <v>34.54</v>
      </c>
      <c r="H40" s="90" t="n">
        <f aca="false">G40-G39</f>
        <v>4.86</v>
      </c>
      <c r="I40" s="51"/>
      <c r="J40" s="52"/>
      <c r="K40" s="53"/>
      <c r="L40" s="35" t="n">
        <f aca="false">'Nov Data'!L40</f>
        <v>19296</v>
      </c>
      <c r="M40" s="55"/>
      <c r="N40" s="95" t="n">
        <f aca="false">L40/C40</f>
        <v>742.153846153846</v>
      </c>
      <c r="O40" s="55"/>
      <c r="P40" s="104" t="n">
        <f aca="false">L40/$N$47</f>
        <v>24.9549977074375</v>
      </c>
      <c r="Q40" s="55"/>
      <c r="R40" s="95" t="n">
        <f aca="false">L40/E40</f>
        <v>623.054568937682</v>
      </c>
      <c r="S40" s="55"/>
      <c r="T40" s="104" t="n">
        <f aca="false">L40/$R$47</f>
        <v>30.9436670317178</v>
      </c>
      <c r="U40" s="55"/>
      <c r="V40" s="95" t="n">
        <f aca="false">L40/G40</f>
        <v>558.65662999421</v>
      </c>
      <c r="W40" s="55"/>
      <c r="X40" s="104" t="n">
        <f aca="false">L40/$V$47</f>
        <v>33.1878863368644</v>
      </c>
      <c r="Y40" s="38"/>
    </row>
    <row r="41" customFormat="false" ht="12.75" hidden="false" customHeight="false" outlineLevel="0" collapsed="false">
      <c r="A41" s="32" t="n">
        <f aca="false">A40+1</f>
        <v>37225</v>
      </c>
      <c r="C41" s="51" t="n">
        <v>22.72</v>
      </c>
      <c r="D41" s="90" t="n">
        <f aca="false">C41-C40</f>
        <v>-3.28</v>
      </c>
      <c r="E41" s="51" t="n">
        <v>30.65</v>
      </c>
      <c r="F41" s="90" t="n">
        <f aca="false">E41-E40</f>
        <v>-0.32</v>
      </c>
      <c r="G41" s="51" t="n">
        <v>32.73</v>
      </c>
      <c r="H41" s="90" t="n">
        <f aca="false">G41-G40</f>
        <v>-1.81</v>
      </c>
      <c r="I41" s="51"/>
      <c r="J41" s="52"/>
      <c r="K41" s="53"/>
      <c r="L41" s="35" t="n">
        <f aca="false">'Nov Data'!L41</f>
        <v>18945</v>
      </c>
      <c r="M41" s="55"/>
      <c r="N41" s="95" t="n">
        <f aca="false">L41/C41</f>
        <v>833.846830985916</v>
      </c>
      <c r="O41" s="56"/>
      <c r="P41" s="107" t="n">
        <f aca="false">L41/$N$47</f>
        <v>24.5010588498862</v>
      </c>
      <c r="Q41" s="56"/>
      <c r="R41" s="95" t="n">
        <f aca="false">L41/E41</f>
        <v>618.107667210441</v>
      </c>
      <c r="S41" s="56"/>
      <c r="T41" s="107" t="n">
        <f aca="false">L41/$R$47</f>
        <v>30.3807924914953</v>
      </c>
      <c r="U41" s="56"/>
      <c r="V41" s="95" t="n">
        <f aca="false">L41/G41</f>
        <v>578.826764436297</v>
      </c>
      <c r="W41" s="56"/>
      <c r="X41" s="107" t="n">
        <f aca="false">L41/$V$47</f>
        <v>32.5841887775651</v>
      </c>
      <c r="Y41" s="38"/>
    </row>
    <row r="42" customFormat="false" ht="13.5" hidden="false" customHeight="false" outlineLevel="0" collapsed="false">
      <c r="A42" s="32"/>
      <c r="C42" s="57"/>
      <c r="D42" s="58"/>
      <c r="E42" s="57"/>
      <c r="F42" s="58"/>
      <c r="G42" s="57"/>
      <c r="H42" s="58"/>
      <c r="I42" s="57"/>
      <c r="J42" s="59"/>
      <c r="K42" s="58"/>
      <c r="L42" s="60"/>
      <c r="M42" s="60"/>
      <c r="N42" s="3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38"/>
    </row>
    <row r="43" customFormat="false" ht="12.75" hidden="false" customHeight="false" outlineLevel="0" collapsed="false">
      <c r="A43" s="62" t="s">
        <v>58</v>
      </c>
      <c r="B43" s="63"/>
      <c r="C43" s="64" t="n">
        <f aca="false">AVERAGE(C9:C13)</f>
        <v>33.768</v>
      </c>
      <c r="D43" s="64" t="n">
        <f aca="false">AVERAGE(D9:D13)</f>
        <v>0.126000000000001</v>
      </c>
      <c r="E43" s="64" t="n">
        <f aca="false">AVERAGE(E9:E13)</f>
        <v>40.388</v>
      </c>
      <c r="F43" s="64" t="n">
        <f aca="false">AVERAGE(F9:F13)</f>
        <v>0.540000000000001</v>
      </c>
      <c r="G43" s="64" t="n">
        <f aca="false">AVERAGE(G9:G13)</f>
        <v>42.204</v>
      </c>
      <c r="H43" s="64" t="n">
        <f aca="false">AVERAGE(H9:H13)</f>
        <v>0.786</v>
      </c>
      <c r="I43" s="64" t="n">
        <f aca="false">AVERAGE(I9:I13)</f>
        <v>25.318</v>
      </c>
      <c r="J43" s="64" t="n">
        <f aca="false">AVERAGE(J9:J13)</f>
        <v>-2.7725</v>
      </c>
      <c r="K43" s="64"/>
      <c r="L43" s="65" t="n">
        <f aca="false">AVERAGE(L9:L13)</f>
        <v>19390.6</v>
      </c>
      <c r="M43" s="64"/>
      <c r="N43" s="109" t="n">
        <f aca="false">AVERAGE(N9:N13)</f>
        <v>576.258767245359</v>
      </c>
      <c r="O43" s="65"/>
      <c r="P43" s="109" t="n">
        <f aca="false">AVERAGE(P9:P13)</f>
        <v>33.920090671762</v>
      </c>
      <c r="Q43" s="109"/>
      <c r="R43" s="109" t="n">
        <f aca="false">AVERAGE(R9:R13)</f>
        <v>481.371464334305</v>
      </c>
      <c r="S43" s="109"/>
      <c r="T43" s="109" t="n">
        <f aca="false">AVERAGE(T9:T13)</f>
        <v>40.4312687650106</v>
      </c>
      <c r="U43" s="109" t="e">
        <f aca="false">AVERAGE(U9:U13)</f>
        <v>#DIV/0!</v>
      </c>
      <c r="V43" s="109" t="n">
        <f aca="false">AVERAGE(V9:V13)</f>
        <v>460.065534169854</v>
      </c>
      <c r="W43" s="109"/>
      <c r="X43" s="110" t="n">
        <f aca="false">AVERAGE(X9:X13)</f>
        <v>42.0748572803482</v>
      </c>
      <c r="Y43" s="38"/>
    </row>
    <row r="44" customFormat="false" ht="12.75" hidden="false" customHeight="false" outlineLevel="0" collapsed="false">
      <c r="A44" s="67" t="s">
        <v>59</v>
      </c>
      <c r="B44" s="68"/>
      <c r="C44" s="69" t="n">
        <f aca="false">AVERAGE(C16:C20)</f>
        <v>29.456</v>
      </c>
      <c r="D44" s="69" t="n">
        <f aca="false">AVERAGE(D16:D20)</f>
        <v>0.0479999999999997</v>
      </c>
      <c r="E44" s="69" t="n">
        <f aca="false">AVERAGE(E16:E20)</f>
        <v>35.806</v>
      </c>
      <c r="F44" s="69" t="n">
        <f aca="false">AVERAGE(F16:F20)</f>
        <v>0.12</v>
      </c>
      <c r="G44" s="69" t="n">
        <f aca="false">AVERAGE(G16:G20)</f>
        <v>38.456</v>
      </c>
      <c r="H44" s="69" t="n">
        <f aca="false">AVERAGE(H16:H20)</f>
        <v>1.062</v>
      </c>
      <c r="I44" s="69" t="n">
        <f aca="false">AVERAGE(I16:I20)</f>
        <v>24.636</v>
      </c>
      <c r="J44" s="69" t="n">
        <f aca="false">AVERAGE(J16:J20)</f>
        <v>-0.0539999999999999</v>
      </c>
      <c r="K44" s="69"/>
      <c r="L44" s="70" t="n">
        <f aca="false">AVERAGE(L16:L20)</f>
        <v>19325</v>
      </c>
      <c r="M44" s="69"/>
      <c r="N44" s="111" t="n">
        <f aca="false">AVERAGE(N16:N20)</f>
        <v>659.679276530668</v>
      </c>
      <c r="O44" s="70"/>
      <c r="P44" s="111" t="n">
        <f aca="false">AVERAGE(P16:P20)</f>
        <v>30.4478709201467</v>
      </c>
      <c r="Q44" s="111"/>
      <c r="R44" s="111" t="n">
        <f aca="false">AVERAGE(R16:R20)</f>
        <v>541.97667455711</v>
      </c>
      <c r="S44" s="111"/>
      <c r="T44" s="111" t="n">
        <f aca="false">AVERAGE(T16:T20)</f>
        <v>36.979340309937</v>
      </c>
      <c r="U44" s="111" t="e">
        <f aca="false">AVERAGE(U16:U20)</f>
        <v>#DIV/0!</v>
      </c>
      <c r="V44" s="111" t="n">
        <f aca="false">AVERAGE(V16:V20)</f>
        <v>502.609365235306</v>
      </c>
      <c r="W44" s="111"/>
      <c r="X44" s="112" t="n">
        <f aca="false">AVERAGE(X16:X20)</f>
        <v>38.8586986779726</v>
      </c>
      <c r="Y44" s="38"/>
    </row>
    <row r="45" customFormat="false" ht="12.75" hidden="false" customHeight="false" outlineLevel="0" collapsed="false">
      <c r="A45" s="67" t="s">
        <v>60</v>
      </c>
      <c r="B45" s="68"/>
      <c r="C45" s="69" t="n">
        <f aca="false">AVERAGE(C23:C27)</f>
        <v>27.006</v>
      </c>
      <c r="D45" s="69" t="n">
        <f aca="false">AVERAGE(D23:D27)</f>
        <v>0.446</v>
      </c>
      <c r="E45" s="69" t="n">
        <f aca="false">AVERAGE(E23:E27)</f>
        <v>33.674</v>
      </c>
      <c r="F45" s="69" t="n">
        <f aca="false">AVERAGE(F23:F27)</f>
        <v>0.904</v>
      </c>
      <c r="G45" s="69" t="n">
        <f aca="false">AVERAGE(G23:G27)</f>
        <v>42.058</v>
      </c>
      <c r="H45" s="69" t="n">
        <f aca="false">AVERAGE(H23:H27)</f>
        <v>3.146</v>
      </c>
      <c r="I45" s="69" t="n">
        <f aca="false">AVERAGE(I23:I27)</f>
        <v>26.842</v>
      </c>
      <c r="J45" s="69" t="n">
        <f aca="false">AVERAGE(J23:J27)</f>
        <v>1.43</v>
      </c>
      <c r="K45" s="69"/>
      <c r="L45" s="70" t="n">
        <f aca="false">AVERAGE(L23:L27)</f>
        <v>19400.2</v>
      </c>
      <c r="M45" s="69"/>
      <c r="N45" s="111" t="n">
        <f aca="false">AVERAGE(N23:N27)</f>
        <v>718.874358592398</v>
      </c>
      <c r="O45" s="70"/>
      <c r="P45" s="111" t="n">
        <f aca="false">AVERAGE(P23:P27)</f>
        <v>27.3655138153793</v>
      </c>
      <c r="Q45" s="111"/>
      <c r="R45" s="111" t="n">
        <f aca="false">AVERAGE(R23:R27)</f>
        <v>576.23165802694</v>
      </c>
      <c r="S45" s="111"/>
      <c r="T45" s="111" t="n">
        <f aca="false">AVERAGE(T23:T27)</f>
        <v>33.6313060017562</v>
      </c>
      <c r="U45" s="111" t="e">
        <f aca="false">AVERAGE(U23:U27)</f>
        <v>#DIV/0!</v>
      </c>
      <c r="V45" s="111" t="n">
        <f aca="false">AVERAGE(V23:V27)</f>
        <v>463.059588574705</v>
      </c>
      <c r="W45" s="111"/>
      <c r="X45" s="112" t="n">
        <f aca="false">AVERAGE(X23:X27)</f>
        <v>40.5460057474852</v>
      </c>
      <c r="Y45" s="38"/>
    </row>
    <row r="46" customFormat="false" ht="12.75" hidden="false" customHeight="false" outlineLevel="0" collapsed="false">
      <c r="A46" s="67" t="s">
        <v>61</v>
      </c>
      <c r="B46" s="68"/>
      <c r="C46" s="69" t="n">
        <f aca="false">AVERAGE(C30:C34)</f>
        <v>23.488</v>
      </c>
      <c r="D46" s="69" t="n">
        <f aca="false">AVERAGE(D30:D34)</f>
        <v>-0.184</v>
      </c>
      <c r="E46" s="69" t="n">
        <f aca="false">AVERAGE(E30:E34)</f>
        <v>28.258</v>
      </c>
      <c r="F46" s="69" t="n">
        <f aca="false">AVERAGE(F30:F34)</f>
        <v>0.0159999999999997</v>
      </c>
      <c r="G46" s="69" t="n">
        <f aca="false">AVERAGE(G30:G34)</f>
        <v>30.114</v>
      </c>
      <c r="H46" s="69" t="n">
        <f aca="false">AVERAGE(H30:H34)</f>
        <v>-0.324</v>
      </c>
      <c r="I46" s="69" t="n">
        <f aca="false">AVERAGE(I30:I34)</f>
        <v>25.655</v>
      </c>
      <c r="J46" s="69" t="n">
        <f aca="false">AVERAGE(J30:J34)</f>
        <v>3.695</v>
      </c>
      <c r="K46" s="53"/>
      <c r="L46" s="70" t="n">
        <f aca="false">AVERAGE(L24:L28)</f>
        <v>18822.4</v>
      </c>
      <c r="M46" s="70"/>
      <c r="N46" s="69" t="n">
        <f aca="false">AVERAGE(N30:N34)</f>
        <v>777.167403597693</v>
      </c>
      <c r="O46" s="70"/>
      <c r="P46" s="111" t="n">
        <f aca="false">AVERAGE(P30:P34)</f>
        <v>23.9050233918224</v>
      </c>
      <c r="Q46" s="111"/>
      <c r="R46" s="69" t="n">
        <f aca="false">AVERAGE(R30:R34)</f>
        <v>646.098835277609</v>
      </c>
      <c r="S46" s="111"/>
      <c r="T46" s="111" t="n">
        <f aca="false">AVERAGE(T30:T34)</f>
        <v>28.9952749475618</v>
      </c>
      <c r="U46" s="111" t="e">
        <f aca="false">AVERAGE(U24:U28)</f>
        <v>#DIV/0!</v>
      </c>
      <c r="V46" s="69" t="n">
        <f aca="false">AVERAGE(V30:V34)</f>
        <v>606.652790305716</v>
      </c>
      <c r="W46" s="111"/>
      <c r="X46" s="112" t="n">
        <f aca="false">AVERAGE(X30:X34)</f>
        <v>32.0868256070551</v>
      </c>
      <c r="Y46" s="38"/>
    </row>
    <row r="47" customFormat="false" ht="13.5" hidden="false" customHeight="false" outlineLevel="0" collapsed="false">
      <c r="A47" s="72" t="s">
        <v>62</v>
      </c>
      <c r="B47" s="73"/>
      <c r="C47" s="74" t="n">
        <f aca="false">AVERAGE(C37:C41)</f>
        <v>25.026</v>
      </c>
      <c r="D47" s="94" t="n">
        <f aca="false">AVERAGE(D37:D41)</f>
        <v>0.284</v>
      </c>
      <c r="E47" s="74" t="n">
        <f aca="false">AVERAGE(E37:E41)</f>
        <v>30.958</v>
      </c>
      <c r="F47" s="74" t="n">
        <f aca="false">AVERAGE(F37:F41)</f>
        <v>1.028</v>
      </c>
      <c r="G47" s="94" t="n">
        <f aca="false">AVERAGE(G37:G41)</f>
        <v>33.17</v>
      </c>
      <c r="H47" s="74" t="n">
        <f aca="false">AVERAGE(H37:H41)</f>
        <v>1.332</v>
      </c>
      <c r="I47" s="94" t="e">
        <f aca="false">AVERAGE(I37:I41)</f>
        <v>#DIV/0!</v>
      </c>
      <c r="J47" s="94" t="e">
        <f aca="false">AVERAGE(J37:J41)</f>
        <v>#DIV/0!</v>
      </c>
      <c r="K47" s="98"/>
      <c r="L47" s="76" t="n">
        <f aca="false">AVERAGE(L37:L41)</f>
        <v>19216.2</v>
      </c>
      <c r="M47" s="76"/>
      <c r="N47" s="113" t="n">
        <f aca="false">AVERAGE(N37:N41)</f>
        <v>773.231888306249</v>
      </c>
      <c r="O47" s="113"/>
      <c r="P47" s="113" t="n">
        <f aca="false">AVERAGE(P37:P41)</f>
        <v>24.8265637042816</v>
      </c>
      <c r="Q47" s="113"/>
      <c r="R47" s="113" t="n">
        <f aca="false">AVERAGE(R37:R41)</f>
        <v>623.584786516132</v>
      </c>
      <c r="S47" s="113"/>
      <c r="T47" s="113" t="n">
        <f aca="false">AVERAGE(T37:T41)</f>
        <v>30.6004126204218</v>
      </c>
      <c r="U47" s="113" t="e">
        <f aca="false">AVERAGE(U37:U41)</f>
        <v>#DIV/0!</v>
      </c>
      <c r="V47" s="113" t="n">
        <f aca="false">AVERAGE(V37:V41)</f>
        <v>581.416960518104</v>
      </c>
      <c r="W47" s="113"/>
      <c r="X47" s="113" t="n">
        <f aca="false">AVERAGE(X37:X41)</f>
        <v>32.7749945675762</v>
      </c>
      <c r="Y47" s="38"/>
    </row>
    <row r="48" customFormat="false" ht="13.5" hidden="false" customHeight="false" outlineLevel="0" collapsed="false">
      <c r="A48" s="78" t="s">
        <v>63</v>
      </c>
      <c r="B48" s="79"/>
      <c r="C48" s="80" t="n">
        <f aca="false">AVERAGE(C43:C46)</f>
        <v>28.4295</v>
      </c>
      <c r="D48" s="80" t="n">
        <f aca="false">AVERAGE(D43:D46)</f>
        <v>0.109</v>
      </c>
      <c r="E48" s="80" t="n">
        <f aca="false">AVERAGE(E43:E46)</f>
        <v>34.5315</v>
      </c>
      <c r="F48" s="80" t="n">
        <f aca="false">AVERAGE(F43:F46)</f>
        <v>0.395</v>
      </c>
      <c r="G48" s="80" t="n">
        <f aca="false">AVERAGE(G43:G46)</f>
        <v>38.208</v>
      </c>
      <c r="H48" s="80" t="n">
        <f aca="false">AVERAGE(H43:H46)</f>
        <v>1.1675</v>
      </c>
      <c r="I48" s="80" t="n">
        <f aca="false">AVERAGE(I43:I46)</f>
        <v>25.61275</v>
      </c>
      <c r="J48" s="80" t="n">
        <f aca="false">AVERAGE(J43:J46)</f>
        <v>0.574625</v>
      </c>
      <c r="K48" s="81"/>
      <c r="L48" s="82" t="n">
        <f aca="false">AVERAGE(L9:L39)</f>
        <v>18468.5161290323</v>
      </c>
      <c r="M48" s="83"/>
      <c r="N48" s="114" t="n">
        <f aca="false">AVERAGE(N9:N39)</f>
        <v>693.127467748934</v>
      </c>
      <c r="O48" s="85"/>
      <c r="P48" s="114" t="n">
        <f aca="false">AVERAGE(P9:P39)</f>
        <v>27.2754163880474</v>
      </c>
      <c r="Q48" s="114"/>
      <c r="R48" s="114" t="n">
        <f aca="false">AVERAGE(R9:R39)</f>
        <v>570.613545819549</v>
      </c>
      <c r="S48" s="114"/>
      <c r="T48" s="114" t="n">
        <f aca="false">AVERAGE(T9:T39)</f>
        <v>33.1606662728545</v>
      </c>
      <c r="U48" s="114" t="e">
        <f aca="false">AVERAGE(U9:U39)</f>
        <v>#DIV/0!</v>
      </c>
      <c r="V48" s="114" t="n">
        <f aca="false">AVERAGE(V9:V39)</f>
        <v>521.926696998277</v>
      </c>
      <c r="W48" s="114"/>
      <c r="X48" s="115" t="n">
        <f aca="false">AVERAGE(X9:X39)</f>
        <v>36.4875676974878</v>
      </c>
      <c r="Y48" s="38"/>
    </row>
    <row r="49" customFormat="false" ht="13.5" hidden="false" customHeight="false" outlineLevel="0" collapsed="false">
      <c r="A49" s="86"/>
      <c r="B49" s="73"/>
      <c r="C49" s="87"/>
      <c r="D49" s="88"/>
      <c r="E49" s="87"/>
      <c r="F49" s="88"/>
      <c r="G49" s="87"/>
      <c r="H49" s="88"/>
      <c r="I49" s="87"/>
      <c r="J49" s="89"/>
      <c r="K49" s="88"/>
      <c r="L49" s="73"/>
      <c r="M49" s="73"/>
      <c r="N49" s="73"/>
      <c r="O49" s="79"/>
      <c r="P49" s="79"/>
      <c r="Q49" s="79"/>
      <c r="R49" s="79"/>
      <c r="S49" s="79"/>
      <c r="T49" s="79"/>
      <c r="U49" s="79"/>
      <c r="V49" s="79"/>
      <c r="W49" s="79"/>
      <c r="X49" s="116"/>
    </row>
  </sheetData>
  <mergeCells count="1">
    <mergeCell ref="C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B49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2.28"/>
    <col collapsed="false" customWidth="true" hidden="false" outlineLevel="0" max="3" min="3" style="10" width="8.56"/>
    <col collapsed="false" customWidth="true" hidden="false" outlineLevel="0" max="4" min="4" style="11" width="5.13"/>
    <col collapsed="false" customWidth="true" hidden="false" outlineLevel="0" max="5" min="5" style="10" width="7.7"/>
    <col collapsed="false" customWidth="true" hidden="false" outlineLevel="0" max="6" min="6" style="11" width="6.41"/>
    <col collapsed="false" customWidth="true" hidden="false" outlineLevel="0" max="7" min="7" style="10" width="7.56"/>
    <col collapsed="false" customWidth="true" hidden="false" outlineLevel="0" max="8" min="8" style="11" width="5.41"/>
    <col collapsed="false" customWidth="true" hidden="false" outlineLevel="0" max="9" min="9" style="10" width="6.41"/>
    <col collapsed="false" customWidth="true" hidden="false" outlineLevel="0" max="10" min="10" style="12" width="5.99"/>
    <col collapsed="false" customWidth="true" hidden="false" outlineLevel="0" max="11" min="11" style="11" width="1.56"/>
    <col collapsed="false" customWidth="true" hidden="false" outlineLevel="0" max="12" min="12" style="0" width="8.41"/>
    <col collapsed="false" customWidth="true" hidden="false" outlineLevel="0" max="13" min="13" style="0" width="1.7"/>
    <col collapsed="false" customWidth="true" hidden="false" outlineLevel="0" max="14" min="14" style="0" width="9.7"/>
    <col collapsed="false" customWidth="true" hidden="false" outlineLevel="0" max="15" min="15" style="0" width="1.7"/>
    <col collapsed="false" customWidth="true" hidden="false" outlineLevel="0" max="16" min="16" style="0" width="9.56"/>
    <col collapsed="false" customWidth="true" hidden="false" outlineLevel="0" max="17" min="17" style="0" width="1.7"/>
    <col collapsed="false" customWidth="true" hidden="false" outlineLevel="0" max="18" min="18" style="0" width="8.85"/>
    <col collapsed="false" customWidth="true" hidden="false" outlineLevel="0" max="19" min="19" style="0" width="1.7"/>
    <col collapsed="false" customWidth="true" hidden="false" outlineLevel="0" max="20" min="20" style="0" width="9.85"/>
    <col collapsed="false" customWidth="true" hidden="false" outlineLevel="0" max="21" min="21" style="0" width="1.56"/>
    <col collapsed="false" customWidth="true" hidden="false" outlineLevel="0" max="22" min="22" style="0" width="8.99"/>
    <col collapsed="false" customWidth="true" hidden="false" outlineLevel="0" max="23" min="23" style="0" width="1.85"/>
    <col collapsed="false" customWidth="true" hidden="false" outlineLevel="0" max="24" min="24" style="0" width="9.28"/>
    <col collapsed="false" customWidth="true" hidden="false" outlineLevel="0" max="25" min="25" style="0" width="1.56"/>
  </cols>
  <sheetData>
    <row r="2" customFormat="false" ht="12.75" hidden="false" customHeight="false" outlineLevel="0" collapsed="false">
      <c r="L2" s="13" t="s">
        <v>64</v>
      </c>
      <c r="P2" s="14" t="s">
        <v>94</v>
      </c>
      <c r="T2" s="14" t="s">
        <v>94</v>
      </c>
      <c r="X2" s="14" t="s">
        <v>94</v>
      </c>
      <c r="Y2" s="14"/>
    </row>
    <row r="3" customFormat="false" ht="12.75" hidden="false" customHeight="false" outlineLevel="0" collapsed="false">
      <c r="C3" s="14" t="s">
        <v>9</v>
      </c>
      <c r="D3" s="14"/>
      <c r="E3" s="14"/>
      <c r="F3" s="14"/>
      <c r="G3" s="14"/>
      <c r="H3" s="14"/>
      <c r="I3" s="14"/>
      <c r="J3" s="14"/>
      <c r="K3" s="13"/>
      <c r="L3" s="13" t="s">
        <v>10</v>
      </c>
      <c r="N3" s="13" t="s">
        <v>3</v>
      </c>
      <c r="P3" s="14" t="s">
        <v>95</v>
      </c>
      <c r="R3" s="13" t="s">
        <v>4</v>
      </c>
      <c r="T3" s="14" t="s">
        <v>95</v>
      </c>
      <c r="V3" s="13" t="s">
        <v>4</v>
      </c>
      <c r="X3" s="14" t="s">
        <v>95</v>
      </c>
      <c r="Y3" s="14"/>
    </row>
    <row r="4" customFormat="false" ht="13.5" hidden="false" customHeight="false" outlineLevel="0" collapsed="false">
      <c r="A4" s="13" t="s">
        <v>16</v>
      </c>
      <c r="B4" s="13"/>
      <c r="C4" s="15" t="s">
        <v>3</v>
      </c>
      <c r="D4" s="16" t="s">
        <v>17</v>
      </c>
      <c r="E4" s="15" t="s">
        <v>4</v>
      </c>
      <c r="F4" s="16" t="s">
        <v>17</v>
      </c>
      <c r="G4" s="15" t="s">
        <v>5</v>
      </c>
      <c r="H4" s="16" t="s">
        <v>17</v>
      </c>
      <c r="I4" s="15" t="s">
        <v>18</v>
      </c>
      <c r="J4" s="16" t="s">
        <v>17</v>
      </c>
      <c r="K4" s="17"/>
      <c r="L4" s="15" t="s">
        <v>19</v>
      </c>
      <c r="M4" s="13"/>
      <c r="N4" s="15" t="s">
        <v>96</v>
      </c>
      <c r="O4" s="13"/>
      <c r="P4" s="15" t="s">
        <v>3</v>
      </c>
      <c r="Q4" s="13"/>
      <c r="R4" s="15" t="s">
        <v>96</v>
      </c>
      <c r="S4" s="13"/>
      <c r="T4" s="15" t="s">
        <v>4</v>
      </c>
      <c r="U4" s="13"/>
      <c r="V4" s="15" t="s">
        <v>96</v>
      </c>
      <c r="W4" s="13"/>
      <c r="X4" s="15" t="s">
        <v>5</v>
      </c>
      <c r="Y4" s="15"/>
      <c r="Z4" s="15" t="s">
        <v>97</v>
      </c>
      <c r="AA4" s="15" t="s">
        <v>98</v>
      </c>
      <c r="AB4" s="15" t="s">
        <v>99</v>
      </c>
    </row>
    <row r="6" customFormat="false" ht="6" hidden="false" customHeight="true" outlineLevel="0" collapsed="false"/>
    <row r="7" customFormat="false" ht="12.75" hidden="false" customHeight="false" outlineLevel="0" collapsed="false">
      <c r="A7" s="18" t="n">
        <v>37226</v>
      </c>
      <c r="B7" s="19"/>
      <c r="C7" s="20" t="n">
        <v>23.58</v>
      </c>
      <c r="D7" s="21"/>
      <c r="E7" s="20" t="n">
        <v>30.84</v>
      </c>
      <c r="F7" s="21"/>
      <c r="G7" s="20" t="n">
        <v>31.68</v>
      </c>
      <c r="H7" s="29"/>
      <c r="I7" s="20"/>
      <c r="J7" s="22"/>
      <c r="K7" s="21"/>
      <c r="L7" s="23" t="n">
        <f aca="false">'Dec Data'!L7</f>
        <v>16803</v>
      </c>
      <c r="M7" s="24"/>
      <c r="N7" s="26" t="n">
        <f aca="false">L7/C7</f>
        <v>712.595419847328</v>
      </c>
      <c r="O7" s="24"/>
      <c r="P7" s="43" t="n">
        <f aca="false">L7/$N$43</f>
        <v>19.5191301548525</v>
      </c>
      <c r="Q7" s="24"/>
      <c r="R7" s="26" t="n">
        <f aca="false">L7/E7</f>
        <v>544.844357976654</v>
      </c>
      <c r="S7" s="24"/>
      <c r="T7" s="43" t="n">
        <f aca="false">L7/$R$43</f>
        <v>22.9142431169939</v>
      </c>
      <c r="U7" s="24"/>
      <c r="V7" s="26" t="n">
        <f aca="false">L7/G7</f>
        <v>530.397727272727</v>
      </c>
      <c r="W7" s="24"/>
      <c r="X7" s="43" t="n">
        <f aca="false">L7/$V$43</f>
        <v>24.400759626566</v>
      </c>
      <c r="Y7" s="24"/>
      <c r="Z7" s="43"/>
    </row>
    <row r="8" customFormat="false" ht="12.75" hidden="false" customHeight="true" outlineLevel="0" collapsed="false">
      <c r="A8" s="42" t="n">
        <f aca="false">A7+1</f>
        <v>37227</v>
      </c>
      <c r="B8" s="19"/>
      <c r="C8" s="20" t="n">
        <v>23.47</v>
      </c>
      <c r="D8" s="29" t="n">
        <f aca="false">C8-C7</f>
        <v>-0.109999999999999</v>
      </c>
      <c r="E8" s="20" t="n">
        <v>26.69</v>
      </c>
      <c r="F8" s="29" t="n">
        <f aca="false">E8-E7</f>
        <v>-4.15</v>
      </c>
      <c r="G8" s="30" t="n">
        <v>27.1</v>
      </c>
      <c r="H8" s="29" t="n">
        <f aca="false">G8-G7</f>
        <v>-4.58</v>
      </c>
      <c r="I8" s="20"/>
      <c r="J8" s="22"/>
      <c r="K8" s="21"/>
      <c r="L8" s="23" t="n">
        <f aca="false">'Dec Data'!L8</f>
        <v>16456</v>
      </c>
      <c r="M8" s="24"/>
      <c r="N8" s="26" t="n">
        <f aca="false">L8/C8</f>
        <v>701.15040477205</v>
      </c>
      <c r="O8" s="24"/>
      <c r="P8" s="43" t="n">
        <f aca="false">L8/$N$43</f>
        <v>19.1160391494527</v>
      </c>
      <c r="Q8" s="24"/>
      <c r="R8" s="26" t="n">
        <f aca="false">L8/E8</f>
        <v>616.56050955414</v>
      </c>
      <c r="S8" s="24"/>
      <c r="T8" s="43" t="n">
        <f aca="false">L8/$R$43</f>
        <v>22.4410393818516</v>
      </c>
      <c r="U8" s="24"/>
      <c r="V8" s="26" t="n">
        <f aca="false">L8/G8</f>
        <v>607.232472324723</v>
      </c>
      <c r="W8" s="24"/>
      <c r="X8" s="43" t="n">
        <f aca="false">L8/$V$43</f>
        <v>23.8968577286657</v>
      </c>
      <c r="Y8" s="24"/>
      <c r="Z8" s="103"/>
      <c r="AA8" s="103"/>
      <c r="AB8" s="103"/>
    </row>
    <row r="9" customFormat="false" ht="12.75" hidden="false" customHeight="false" outlineLevel="0" collapsed="false">
      <c r="A9" s="32" t="n">
        <f aca="false">A8+1</f>
        <v>37228</v>
      </c>
      <c r="B9" s="32"/>
      <c r="C9" s="44" t="n">
        <v>22.68</v>
      </c>
      <c r="D9" s="90" t="n">
        <f aca="false">C9-C8</f>
        <v>-0.789999999999999</v>
      </c>
      <c r="E9" s="44" t="n">
        <v>26.25</v>
      </c>
      <c r="F9" s="90" t="n">
        <f aca="false">E9-E8</f>
        <v>-0.440000000000001</v>
      </c>
      <c r="G9" s="44" t="n">
        <v>29.48</v>
      </c>
      <c r="H9" s="90" t="n">
        <f aca="false">G9-G8</f>
        <v>2.38</v>
      </c>
      <c r="I9" s="44"/>
      <c r="J9" s="50"/>
      <c r="K9" s="45"/>
      <c r="L9" s="91" t="n">
        <f aca="false">'Dec Data'!L9</f>
        <v>19715</v>
      </c>
      <c r="M9" s="38"/>
      <c r="N9" s="95" t="n">
        <f aca="false">L9/C9</f>
        <v>869.268077601411</v>
      </c>
      <c r="O9" s="38"/>
      <c r="P9" s="104" t="n">
        <f aca="false">L9/$N$43</f>
        <v>22.901841992675</v>
      </c>
      <c r="Q9" s="38"/>
      <c r="R9" s="95" t="n">
        <f aca="false">L9/E9</f>
        <v>751.047619047619</v>
      </c>
      <c r="S9" s="38"/>
      <c r="T9" s="104" t="n">
        <f aca="false">L9/$R$43</f>
        <v>26.8853361335199</v>
      </c>
      <c r="U9" s="38"/>
      <c r="V9" s="95" t="n">
        <f aca="false">L9/G9</f>
        <v>668.758480325645</v>
      </c>
      <c r="W9" s="38"/>
      <c r="X9" s="104" t="n">
        <f aca="false">L9/$V$43</f>
        <v>28.6294695017407</v>
      </c>
      <c r="Y9" s="38"/>
      <c r="Z9" s="9"/>
      <c r="AA9" s="9"/>
      <c r="AB9" s="9"/>
    </row>
    <row r="10" customFormat="false" ht="12.75" hidden="false" customHeight="false" outlineLevel="0" collapsed="false">
      <c r="A10" s="32" t="n">
        <f aca="false">A9+1</f>
        <v>37229</v>
      </c>
      <c r="B10" s="32"/>
      <c r="C10" s="44" t="n">
        <v>23.16</v>
      </c>
      <c r="D10" s="90" t="n">
        <f aca="false">C10-C9</f>
        <v>0.48</v>
      </c>
      <c r="E10" s="44" t="n">
        <v>26.65</v>
      </c>
      <c r="F10" s="90" t="n">
        <f aca="false">E10-E9</f>
        <v>0.399999999999999</v>
      </c>
      <c r="G10" s="33" t="n">
        <v>27.3</v>
      </c>
      <c r="H10" s="90" t="n">
        <f aca="false">G10-G9</f>
        <v>-2.18</v>
      </c>
      <c r="I10" s="44"/>
      <c r="J10" s="105"/>
      <c r="K10" s="45"/>
      <c r="L10" s="91" t="n">
        <f aca="false">'Dec Data'!L10</f>
        <v>19725</v>
      </c>
      <c r="M10" s="38"/>
      <c r="N10" s="95" t="n">
        <f aca="false">L10/C10</f>
        <v>851.683937823834</v>
      </c>
      <c r="O10" s="38"/>
      <c r="P10" s="104" t="n">
        <f aca="false">L10/$N$43</f>
        <v>22.913458448162</v>
      </c>
      <c r="Q10" s="38"/>
      <c r="R10" s="95" t="n">
        <f aca="false">L10/E10</f>
        <v>740.150093808631</v>
      </c>
      <c r="S10" s="38"/>
      <c r="T10" s="104" t="n">
        <f aca="false">L10/$R$43</f>
        <v>26.898973128769</v>
      </c>
      <c r="U10" s="38"/>
      <c r="V10" s="95" t="n">
        <f aca="false">L10/G10</f>
        <v>722.527472527473</v>
      </c>
      <c r="W10" s="38"/>
      <c r="X10" s="104" t="n">
        <f aca="false">L10/$V$43</f>
        <v>28.6439911702681</v>
      </c>
      <c r="Y10" s="38"/>
      <c r="Z10" s="9"/>
      <c r="AA10" s="9"/>
      <c r="AB10" s="9"/>
    </row>
    <row r="11" customFormat="false" ht="12.75" hidden="false" customHeight="false" outlineLevel="0" collapsed="false">
      <c r="A11" s="32" t="n">
        <f aca="false">A10+1</f>
        <v>37230</v>
      </c>
      <c r="B11" s="32"/>
      <c r="C11" s="51" t="n">
        <v>23.34</v>
      </c>
      <c r="D11" s="90" t="n">
        <f aca="false">C11-C10</f>
        <v>0.18</v>
      </c>
      <c r="E11" s="51" t="n">
        <v>27.34</v>
      </c>
      <c r="F11" s="90" t="n">
        <f aca="false">E11-E10</f>
        <v>0.690000000000001</v>
      </c>
      <c r="G11" s="51" t="n">
        <v>29.19</v>
      </c>
      <c r="H11" s="90" t="n">
        <f aca="false">G11-G10</f>
        <v>1.89</v>
      </c>
      <c r="I11" s="44"/>
      <c r="J11" s="105"/>
      <c r="K11" s="53"/>
      <c r="L11" s="91" t="n">
        <f aca="false">'Dec Data'!L11</f>
        <v>19640</v>
      </c>
      <c r="M11" s="55"/>
      <c r="N11" s="95" t="n">
        <f aca="false">L11/C11</f>
        <v>841.473864610111</v>
      </c>
      <c r="O11" s="38"/>
      <c r="P11" s="104" t="n">
        <f aca="false">L11/$N$43</f>
        <v>22.8147185765223</v>
      </c>
      <c r="Q11" s="38"/>
      <c r="R11" s="95" t="n">
        <f aca="false">L11/E11</f>
        <v>718.361375274323</v>
      </c>
      <c r="S11" s="38"/>
      <c r="T11" s="104" t="n">
        <f aca="false">L11/$R$43</f>
        <v>26.783058669152</v>
      </c>
      <c r="U11" s="38"/>
      <c r="V11" s="95" t="n">
        <f aca="false">L11/G11</f>
        <v>672.833162041795</v>
      </c>
      <c r="W11" s="38"/>
      <c r="X11" s="104" t="n">
        <f aca="false">L11/$V$43</f>
        <v>28.5205569877853</v>
      </c>
      <c r="Y11" s="38"/>
      <c r="Z11" s="9"/>
      <c r="AA11" s="9"/>
      <c r="AB11" s="9"/>
    </row>
    <row r="12" customFormat="false" ht="12.75" hidden="false" customHeight="false" outlineLevel="0" collapsed="false">
      <c r="A12" s="32" t="n">
        <f aca="false">A11+1</f>
        <v>37231</v>
      </c>
      <c r="B12" s="32"/>
      <c r="C12" s="33" t="n">
        <v>22.17</v>
      </c>
      <c r="D12" s="90" t="n">
        <f aca="false">C12-C11</f>
        <v>-1.17</v>
      </c>
      <c r="E12" s="33" t="n">
        <v>26.99</v>
      </c>
      <c r="F12" s="90" t="n">
        <f aca="false">E12-E11</f>
        <v>-0.350000000000001</v>
      </c>
      <c r="G12" s="33" t="n">
        <v>28.29</v>
      </c>
      <c r="H12" s="90" t="n">
        <f aca="false">G12-G11</f>
        <v>-0.900000000000002</v>
      </c>
      <c r="I12" s="44"/>
      <c r="J12" s="105"/>
      <c r="K12" s="34"/>
      <c r="L12" s="91" t="n">
        <f aca="false">'Dec Data'!L12</f>
        <v>19531</v>
      </c>
      <c r="M12" s="36"/>
      <c r="N12" s="95" t="n">
        <f aca="false">L12/C12</f>
        <v>880.965268380695</v>
      </c>
      <c r="O12" s="38"/>
      <c r="P12" s="104" t="n">
        <f aca="false">L12/$N$43</f>
        <v>22.6880992117137</v>
      </c>
      <c r="Q12" s="38"/>
      <c r="R12" s="95" t="n">
        <f aca="false">L12/E12</f>
        <v>723.638384586884</v>
      </c>
      <c r="S12" s="38"/>
      <c r="T12" s="104" t="n">
        <f aca="false">L12/$R$43</f>
        <v>26.6344154209373</v>
      </c>
      <c r="U12" s="38"/>
      <c r="V12" s="95" t="n">
        <f aca="false">L12/G12</f>
        <v>690.385295157299</v>
      </c>
      <c r="W12" s="38"/>
      <c r="X12" s="104" t="n">
        <f aca="false">L12/$V$43</f>
        <v>28.3622708008368</v>
      </c>
      <c r="Y12" s="38"/>
      <c r="Z12" s="9"/>
      <c r="AA12" s="9"/>
      <c r="AB12" s="9"/>
    </row>
    <row r="13" customFormat="false" ht="12.75" hidden="false" customHeight="false" outlineLevel="0" collapsed="false">
      <c r="A13" s="32" t="n">
        <f aca="false">A12+1</f>
        <v>37232</v>
      </c>
      <c r="B13" s="32"/>
      <c r="C13" s="33"/>
      <c r="D13" s="34"/>
      <c r="E13" s="33"/>
      <c r="F13" s="34"/>
      <c r="G13" s="33"/>
      <c r="H13" s="34"/>
      <c r="I13" s="44"/>
      <c r="J13" s="105"/>
      <c r="K13" s="34"/>
      <c r="L13" s="91" t="n">
        <f aca="false">'Dec Data'!L13</f>
        <v>19153</v>
      </c>
      <c r="M13" s="36"/>
      <c r="N13" s="95"/>
      <c r="O13" s="38"/>
      <c r="P13" s="104" t="n">
        <f aca="false">L13/$N$43</f>
        <v>22.248997194304</v>
      </c>
      <c r="Q13" s="38"/>
      <c r="R13" s="95"/>
      <c r="S13" s="38"/>
      <c r="T13" s="104" t="n">
        <f aca="false">L13/$R$43</f>
        <v>26.1189370005228</v>
      </c>
      <c r="U13" s="38"/>
      <c r="V13" s="95"/>
      <c r="W13" s="38"/>
      <c r="X13" s="104" t="n">
        <f aca="false">L13/$V$43</f>
        <v>27.8133517305016</v>
      </c>
      <c r="Y13" s="38"/>
      <c r="Z13" s="9"/>
      <c r="AA13" s="9"/>
      <c r="AB13" s="9"/>
    </row>
    <row r="14" customFormat="false" ht="12.75" hidden="false" customHeight="false" outlineLevel="0" collapsed="false">
      <c r="A14" s="42" t="n">
        <f aca="false">A13+1</f>
        <v>37233</v>
      </c>
      <c r="B14" s="42"/>
      <c r="C14" s="30"/>
      <c r="D14" s="29"/>
      <c r="E14" s="30"/>
      <c r="F14" s="29"/>
      <c r="G14" s="30"/>
      <c r="H14" s="29"/>
      <c r="I14" s="20"/>
      <c r="J14" s="106"/>
      <c r="K14" s="29"/>
      <c r="L14" s="23" t="n">
        <f aca="false">'Dec Data'!L14</f>
        <v>17222</v>
      </c>
      <c r="M14" s="43"/>
      <c r="N14" s="26"/>
      <c r="O14" s="24"/>
      <c r="P14" s="43" t="n">
        <f aca="false">L14/$N$43</f>
        <v>20.005859639759</v>
      </c>
      <c r="Q14" s="24"/>
      <c r="R14" s="26"/>
      <c r="S14" s="24"/>
      <c r="T14" s="43" t="n">
        <f aca="false">L14/$R$43</f>
        <v>23.4856332179295</v>
      </c>
      <c r="U14" s="24"/>
      <c r="V14" s="26"/>
      <c r="W14" s="24"/>
      <c r="X14" s="43" t="n">
        <f aca="false">L14/$V$43</f>
        <v>25.0092175378635</v>
      </c>
      <c r="Y14" s="24"/>
      <c r="Z14" s="103"/>
      <c r="AA14" s="103"/>
      <c r="AB14" s="103"/>
    </row>
    <row r="15" customFormat="false" ht="12.75" hidden="false" customHeight="false" outlineLevel="0" collapsed="false">
      <c r="A15" s="42" t="n">
        <f aca="false">A14+1</f>
        <v>37234</v>
      </c>
      <c r="B15" s="42"/>
      <c r="C15" s="30"/>
      <c r="D15" s="29"/>
      <c r="E15" s="30"/>
      <c r="F15" s="29"/>
      <c r="G15" s="30"/>
      <c r="H15" s="29"/>
      <c r="I15" s="20"/>
      <c r="J15" s="106"/>
      <c r="K15" s="29"/>
      <c r="L15" s="23" t="n">
        <f aca="false">'Dec Data'!L15</f>
        <v>17000</v>
      </c>
      <c r="M15" s="43"/>
      <c r="N15" s="26"/>
      <c r="O15" s="24"/>
      <c r="P15" s="43" t="n">
        <f aca="false">L15/$N$43</f>
        <v>19.747974327947</v>
      </c>
      <c r="Q15" s="24"/>
      <c r="R15" s="26"/>
      <c r="S15" s="24"/>
      <c r="T15" s="43" t="n">
        <f aca="false">L15/$R$43</f>
        <v>23.1828919234004</v>
      </c>
      <c r="U15" s="24"/>
      <c r="V15" s="26"/>
      <c r="W15" s="24"/>
      <c r="X15" s="43" t="n">
        <f aca="false">L15/$V$43</f>
        <v>24.6868364965555</v>
      </c>
      <c r="Y15" s="24"/>
      <c r="Z15" s="103"/>
      <c r="AA15" s="103"/>
      <c r="AB15" s="103"/>
    </row>
    <row r="16" customFormat="false" ht="12.75" hidden="false" customHeight="false" outlineLevel="0" collapsed="false">
      <c r="A16" s="32" t="n">
        <f aca="false">A15+1</f>
        <v>37235</v>
      </c>
      <c r="B16" s="32"/>
      <c r="C16" s="33"/>
      <c r="D16" s="90"/>
      <c r="E16" s="33"/>
      <c r="F16" s="90"/>
      <c r="G16" s="33"/>
      <c r="H16" s="90"/>
      <c r="I16" s="44"/>
      <c r="J16" s="105"/>
      <c r="K16" s="34"/>
      <c r="L16" s="91" t="n">
        <f aca="false">'Dec Data'!L16</f>
        <v>20052</v>
      </c>
      <c r="M16" s="36"/>
      <c r="N16" s="95"/>
      <c r="O16" s="38"/>
      <c r="P16" s="104" t="n">
        <f aca="false">L16/$N$43</f>
        <v>23.2933165425878</v>
      </c>
      <c r="Q16" s="38"/>
      <c r="R16" s="95"/>
      <c r="S16" s="38"/>
      <c r="T16" s="104" t="n">
        <f aca="false">L16/$R$43</f>
        <v>27.3449028734132</v>
      </c>
      <c r="U16" s="38"/>
      <c r="V16" s="95"/>
      <c r="W16" s="38"/>
      <c r="X16" s="104" t="n">
        <f aca="false">L16/$V$43</f>
        <v>29.1188497311136</v>
      </c>
      <c r="Y16" s="38"/>
      <c r="Z16" s="9"/>
      <c r="AA16" s="9"/>
      <c r="AB16" s="9"/>
    </row>
    <row r="17" customFormat="false" ht="12.75" hidden="false" customHeight="false" outlineLevel="0" collapsed="false">
      <c r="A17" s="32" t="n">
        <f aca="false">A16+1</f>
        <v>37236</v>
      </c>
      <c r="C17" s="33"/>
      <c r="D17" s="90"/>
      <c r="E17" s="33"/>
      <c r="F17" s="90"/>
      <c r="G17" s="33"/>
      <c r="H17" s="90"/>
      <c r="I17" s="44"/>
      <c r="J17" s="105"/>
      <c r="K17" s="34"/>
      <c r="L17" s="91" t="n">
        <f aca="false">'Dec Data'!L17</f>
        <v>20251</v>
      </c>
      <c r="M17" s="38"/>
      <c r="N17" s="95"/>
      <c r="O17" s="38"/>
      <c r="P17" s="104" t="n">
        <f aca="false">L17/$N$43</f>
        <v>23.5244840067797</v>
      </c>
      <c r="Q17" s="38"/>
      <c r="R17" s="95"/>
      <c r="S17" s="38"/>
      <c r="T17" s="104" t="n">
        <f aca="false">L17/$R$43</f>
        <v>27.6162790788695</v>
      </c>
      <c r="U17" s="38"/>
      <c r="V17" s="95"/>
      <c r="W17" s="38"/>
      <c r="X17" s="104" t="n">
        <f aca="false">L17/$V$43</f>
        <v>29.4078309348085</v>
      </c>
      <c r="Y17" s="38"/>
      <c r="Z17" s="9"/>
      <c r="AA17" s="9"/>
      <c r="AB17" s="9"/>
    </row>
    <row r="18" customFormat="false" ht="12.75" hidden="false" customHeight="false" outlineLevel="0" collapsed="false">
      <c r="A18" s="32" t="n">
        <f aca="false">A17+1</f>
        <v>37237</v>
      </c>
      <c r="C18" s="44"/>
      <c r="D18" s="90"/>
      <c r="E18" s="44"/>
      <c r="F18" s="90"/>
      <c r="G18" s="44"/>
      <c r="H18" s="90"/>
      <c r="I18" s="44"/>
      <c r="J18" s="105"/>
      <c r="K18" s="34"/>
      <c r="L18" s="91" t="n">
        <f aca="false">'Dec Data'!L18</f>
        <v>20276</v>
      </c>
      <c r="M18" s="38"/>
      <c r="N18" s="95"/>
      <c r="O18" s="38"/>
      <c r="P18" s="104" t="n">
        <f aca="false">L18/$N$43</f>
        <v>23.5535251454972</v>
      </c>
      <c r="Q18" s="38"/>
      <c r="R18" s="95"/>
      <c r="S18" s="38"/>
      <c r="T18" s="104" t="n">
        <f aca="false">L18/$R$43</f>
        <v>27.6503715669922</v>
      </c>
      <c r="U18" s="38"/>
      <c r="V18" s="95"/>
      <c r="W18" s="38"/>
      <c r="X18" s="104" t="n">
        <f aca="false">L18/$V$43</f>
        <v>29.444135106127</v>
      </c>
      <c r="Y18" s="38"/>
      <c r="Z18" s="9"/>
      <c r="AA18" s="9"/>
      <c r="AB18" s="9"/>
    </row>
    <row r="19" customFormat="false" ht="12.75" hidden="false" customHeight="false" outlineLevel="0" collapsed="false">
      <c r="A19" s="32" t="n">
        <f aca="false">A18+1</f>
        <v>37238</v>
      </c>
      <c r="C19" s="44"/>
      <c r="D19" s="90"/>
      <c r="E19" s="44"/>
      <c r="F19" s="90"/>
      <c r="G19" s="44"/>
      <c r="H19" s="90"/>
      <c r="I19" s="44"/>
      <c r="J19" s="105"/>
      <c r="K19" s="45"/>
      <c r="L19" s="91" t="n">
        <f aca="false">'Dec Data'!L19</f>
        <v>20303</v>
      </c>
      <c r="M19" s="38"/>
      <c r="N19" s="95"/>
      <c r="O19" s="38"/>
      <c r="P19" s="104" t="n">
        <f aca="false">L19/$N$43</f>
        <v>23.5848895753122</v>
      </c>
      <c r="Q19" s="38"/>
      <c r="R19" s="95"/>
      <c r="S19" s="38"/>
      <c r="T19" s="104" t="n">
        <f aca="false">L19/$R$43</f>
        <v>27.6871914541646</v>
      </c>
      <c r="U19" s="38"/>
      <c r="V19" s="95"/>
      <c r="W19" s="38"/>
      <c r="X19" s="104" t="n">
        <f aca="false">L19/$V$43</f>
        <v>29.483343611151</v>
      </c>
      <c r="Y19" s="38"/>
      <c r="Z19" s="9"/>
      <c r="AA19" s="9"/>
      <c r="AB19" s="9"/>
    </row>
    <row r="20" customFormat="false" ht="12.75" hidden="false" customHeight="false" outlineLevel="0" collapsed="false">
      <c r="A20" s="32" t="n">
        <f aca="false">A19+1</f>
        <v>37239</v>
      </c>
      <c r="C20" s="44"/>
      <c r="D20" s="90"/>
      <c r="E20" s="44"/>
      <c r="F20" s="90"/>
      <c r="G20" s="44"/>
      <c r="H20" s="90"/>
      <c r="I20" s="44"/>
      <c r="J20" s="105"/>
      <c r="K20" s="45"/>
      <c r="L20" s="91" t="n">
        <f aca="false">'Dec Data'!L20</f>
        <v>19946</v>
      </c>
      <c r="M20" s="38"/>
      <c r="N20" s="95"/>
      <c r="O20" s="38"/>
      <c r="P20" s="104" t="n">
        <f aca="false">L20/$N$43</f>
        <v>23.1701821144253</v>
      </c>
      <c r="Q20" s="38"/>
      <c r="R20" s="95"/>
      <c r="S20" s="38"/>
      <c r="T20" s="104" t="n">
        <f aca="false">L20/$R$43</f>
        <v>27.2003507237732</v>
      </c>
      <c r="U20" s="38"/>
      <c r="V20" s="95"/>
      <c r="W20" s="38"/>
      <c r="X20" s="104" t="n">
        <f aca="false">L20/$V$43</f>
        <v>28.9649200447233</v>
      </c>
      <c r="Y20" s="38"/>
      <c r="Z20" s="9"/>
      <c r="AA20" s="9"/>
      <c r="AB20" s="9"/>
    </row>
    <row r="21" customFormat="false" ht="12.75" hidden="false" customHeight="false" outlineLevel="0" collapsed="false">
      <c r="A21" s="42" t="n">
        <f aca="false">A20+1</f>
        <v>37240</v>
      </c>
      <c r="B21" s="19"/>
      <c r="C21" s="30"/>
      <c r="D21" s="29"/>
      <c r="E21" s="20"/>
      <c r="F21" s="29"/>
      <c r="G21" s="20"/>
      <c r="H21" s="29"/>
      <c r="I21" s="20"/>
      <c r="J21" s="106"/>
      <c r="K21" s="21"/>
      <c r="L21" s="23" t="n">
        <f aca="false">'Dec Data'!L21</f>
        <v>0</v>
      </c>
      <c r="M21" s="24"/>
      <c r="N21" s="26"/>
      <c r="O21" s="24"/>
      <c r="P21" s="43"/>
      <c r="Q21" s="24"/>
      <c r="R21" s="26"/>
      <c r="S21" s="24"/>
      <c r="T21" s="43"/>
      <c r="U21" s="24"/>
      <c r="V21" s="26"/>
      <c r="W21" s="24"/>
      <c r="X21" s="43"/>
      <c r="Y21" s="24"/>
      <c r="Z21" s="103"/>
      <c r="AA21" s="103"/>
      <c r="AB21" s="103"/>
    </row>
    <row r="22" customFormat="false" ht="12.75" hidden="false" customHeight="false" outlineLevel="0" collapsed="false">
      <c r="A22" s="42" t="n">
        <f aca="false">A21+1</f>
        <v>37241</v>
      </c>
      <c r="B22" s="19"/>
      <c r="C22" s="20"/>
      <c r="D22" s="29"/>
      <c r="E22" s="20"/>
      <c r="F22" s="29"/>
      <c r="G22" s="20"/>
      <c r="H22" s="29"/>
      <c r="I22" s="20"/>
      <c r="J22" s="106"/>
      <c r="K22" s="21"/>
      <c r="L22" s="23" t="n">
        <f aca="false">'Dec Data'!L22</f>
        <v>0</v>
      </c>
      <c r="M22" s="24"/>
      <c r="N22" s="26"/>
      <c r="O22" s="24"/>
      <c r="P22" s="43"/>
      <c r="Q22" s="24"/>
      <c r="R22" s="26"/>
      <c r="S22" s="24"/>
      <c r="T22" s="43"/>
      <c r="U22" s="24"/>
      <c r="V22" s="26"/>
      <c r="W22" s="24"/>
      <c r="X22" s="43"/>
      <c r="Y22" s="24"/>
      <c r="Z22" s="103"/>
      <c r="AA22" s="103"/>
      <c r="AB22" s="103"/>
    </row>
    <row r="23" customFormat="false" ht="12.75" hidden="false" customHeight="false" outlineLevel="0" collapsed="false">
      <c r="A23" s="32" t="n">
        <f aca="false">A22+1</f>
        <v>37242</v>
      </c>
      <c r="C23" s="33"/>
      <c r="D23" s="90"/>
      <c r="E23" s="33"/>
      <c r="F23" s="90"/>
      <c r="G23" s="44"/>
      <c r="H23" s="90"/>
      <c r="I23" s="44"/>
      <c r="J23" s="105"/>
      <c r="K23" s="45"/>
      <c r="L23" s="91" t="n">
        <f aca="false">'Dec Data'!L23</f>
        <v>0</v>
      </c>
      <c r="M23" s="38"/>
      <c r="N23" s="95"/>
      <c r="O23" s="38"/>
      <c r="P23" s="104"/>
      <c r="Q23" s="38"/>
      <c r="R23" s="95"/>
      <c r="S23" s="38"/>
      <c r="T23" s="104"/>
      <c r="U23" s="38"/>
      <c r="V23" s="95"/>
      <c r="W23" s="38"/>
      <c r="X23" s="104"/>
      <c r="Y23" s="38"/>
      <c r="Z23" s="9"/>
      <c r="AA23" s="9"/>
      <c r="AB23" s="9"/>
    </row>
    <row r="24" customFormat="false" ht="12.75" hidden="false" customHeight="false" outlineLevel="0" collapsed="false">
      <c r="A24" s="32" t="n">
        <f aca="false">A23+1</f>
        <v>37243</v>
      </c>
      <c r="C24" s="44"/>
      <c r="D24" s="90"/>
      <c r="E24" s="44"/>
      <c r="F24" s="90"/>
      <c r="G24" s="44"/>
      <c r="H24" s="90"/>
      <c r="I24" s="44"/>
      <c r="J24" s="105"/>
      <c r="K24" s="45"/>
      <c r="L24" s="91" t="n">
        <f aca="false">'Dec Data'!L24</f>
        <v>0</v>
      </c>
      <c r="M24" s="38"/>
      <c r="N24" s="95"/>
      <c r="O24" s="38"/>
      <c r="P24" s="104"/>
      <c r="Q24" s="38"/>
      <c r="R24" s="95"/>
      <c r="S24" s="38"/>
      <c r="T24" s="104"/>
      <c r="U24" s="38"/>
      <c r="V24" s="95"/>
      <c r="W24" s="38"/>
      <c r="X24" s="104"/>
      <c r="Y24" s="38"/>
      <c r="Z24" s="9"/>
      <c r="AA24" s="9"/>
      <c r="AB24" s="9"/>
    </row>
    <row r="25" customFormat="false" ht="12.75" hidden="false" customHeight="false" outlineLevel="0" collapsed="false">
      <c r="A25" s="32" t="n">
        <f aca="false">A24+1</f>
        <v>37244</v>
      </c>
      <c r="C25" s="44"/>
      <c r="D25" s="90"/>
      <c r="E25" s="44"/>
      <c r="F25" s="90"/>
      <c r="G25" s="44"/>
      <c r="H25" s="90"/>
      <c r="I25" s="44"/>
      <c r="J25" s="105"/>
      <c r="K25" s="45"/>
      <c r="L25" s="91" t="n">
        <f aca="false">'Dec Data'!L25</f>
        <v>0</v>
      </c>
      <c r="M25" s="38"/>
      <c r="N25" s="95"/>
      <c r="O25" s="38"/>
      <c r="P25" s="104"/>
      <c r="Q25" s="38"/>
      <c r="R25" s="95"/>
      <c r="S25" s="38"/>
      <c r="T25" s="104"/>
      <c r="U25" s="38"/>
      <c r="V25" s="95"/>
      <c r="W25" s="38"/>
      <c r="X25" s="104"/>
      <c r="Y25" s="38"/>
      <c r="Z25" s="9"/>
      <c r="AA25" s="9"/>
      <c r="AB25" s="9"/>
    </row>
    <row r="26" customFormat="false" ht="12.75" hidden="false" customHeight="false" outlineLevel="0" collapsed="false">
      <c r="A26" s="32" t="n">
        <f aca="false">A25+1</f>
        <v>37245</v>
      </c>
      <c r="C26" s="33"/>
      <c r="D26" s="90"/>
      <c r="E26" s="44"/>
      <c r="F26" s="90"/>
      <c r="G26" s="44"/>
      <c r="H26" s="90"/>
      <c r="I26" s="44"/>
      <c r="J26" s="105"/>
      <c r="K26" s="45"/>
      <c r="L26" s="91" t="n">
        <f aca="false">'Dec Data'!L26</f>
        <v>0</v>
      </c>
      <c r="M26" s="38"/>
      <c r="N26" s="95"/>
      <c r="O26" s="38"/>
      <c r="P26" s="104"/>
      <c r="Q26" s="38"/>
      <c r="R26" s="95"/>
      <c r="S26" s="38"/>
      <c r="T26" s="104"/>
      <c r="U26" s="38"/>
      <c r="V26" s="95"/>
      <c r="W26" s="38"/>
      <c r="X26" s="104"/>
      <c r="Y26" s="38"/>
      <c r="Z26" s="9"/>
      <c r="AA26" s="9"/>
      <c r="AB26" s="9"/>
    </row>
    <row r="27" customFormat="false" ht="12.75" hidden="false" customHeight="false" outlineLevel="0" collapsed="false">
      <c r="A27" s="32" t="n">
        <f aca="false">A26+1</f>
        <v>37246</v>
      </c>
      <c r="C27" s="44"/>
      <c r="D27" s="90"/>
      <c r="E27" s="44"/>
      <c r="F27" s="90"/>
      <c r="G27" s="44"/>
      <c r="H27" s="90"/>
      <c r="I27" s="44"/>
      <c r="J27" s="105"/>
      <c r="K27" s="45"/>
      <c r="L27" s="91" t="n">
        <f aca="false">'Dec Data'!L27</f>
        <v>0</v>
      </c>
      <c r="M27" s="38"/>
      <c r="N27" s="95"/>
      <c r="O27" s="38"/>
      <c r="P27" s="104"/>
      <c r="Q27" s="38"/>
      <c r="R27" s="95"/>
      <c r="S27" s="38"/>
      <c r="T27" s="104"/>
      <c r="U27" s="38"/>
      <c r="V27" s="95"/>
      <c r="W27" s="38"/>
      <c r="X27" s="104"/>
      <c r="Y27" s="38"/>
      <c r="Z27" s="9"/>
      <c r="AA27" s="9"/>
      <c r="AB27" s="9"/>
    </row>
    <row r="28" customFormat="false" ht="12.75" hidden="false" customHeight="false" outlineLevel="0" collapsed="false">
      <c r="A28" s="42" t="n">
        <f aca="false">A27+1</f>
        <v>37247</v>
      </c>
      <c r="B28" s="19"/>
      <c r="C28" s="20"/>
      <c r="D28" s="29"/>
      <c r="E28" s="30"/>
      <c r="F28" s="29"/>
      <c r="G28" s="20"/>
      <c r="H28" s="29"/>
      <c r="I28" s="20"/>
      <c r="J28" s="106"/>
      <c r="K28" s="21"/>
      <c r="L28" s="23" t="n">
        <f aca="false">'Dec Data'!L28</f>
        <v>0</v>
      </c>
      <c r="M28" s="24"/>
      <c r="N28" s="26"/>
      <c r="O28" s="24"/>
      <c r="P28" s="43"/>
      <c r="Q28" s="24"/>
      <c r="R28" s="26"/>
      <c r="S28" s="24"/>
      <c r="T28" s="43"/>
      <c r="U28" s="24"/>
      <c r="V28" s="26"/>
      <c r="W28" s="24"/>
      <c r="X28" s="43"/>
      <c r="Y28" s="24"/>
    </row>
    <row r="29" customFormat="false" ht="12.75" hidden="false" customHeight="false" outlineLevel="0" collapsed="false">
      <c r="A29" s="42" t="n">
        <f aca="false">A28+1</f>
        <v>37248</v>
      </c>
      <c r="B29" s="19"/>
      <c r="C29" s="30"/>
      <c r="D29" s="29"/>
      <c r="E29" s="20"/>
      <c r="F29" s="29"/>
      <c r="G29" s="20"/>
      <c r="H29" s="29"/>
      <c r="I29" s="20"/>
      <c r="J29" s="106"/>
      <c r="K29" s="21"/>
      <c r="L29" s="23" t="n">
        <f aca="false">'Dec Data'!L29</f>
        <v>0</v>
      </c>
      <c r="M29" s="24"/>
      <c r="N29" s="26"/>
      <c r="O29" s="24"/>
      <c r="P29" s="43"/>
      <c r="Q29" s="24"/>
      <c r="R29" s="26"/>
      <c r="S29" s="24"/>
      <c r="T29" s="43"/>
      <c r="U29" s="24"/>
      <c r="V29" s="26"/>
      <c r="W29" s="24"/>
      <c r="X29" s="43"/>
      <c r="Y29" s="24"/>
    </row>
    <row r="30" customFormat="false" ht="12.75" hidden="false" customHeight="false" outlineLevel="0" collapsed="false">
      <c r="A30" s="32" t="n">
        <f aca="false">A29+1</f>
        <v>37249</v>
      </c>
      <c r="C30" s="44"/>
      <c r="D30" s="90"/>
      <c r="E30" s="44"/>
      <c r="F30" s="90"/>
      <c r="G30" s="44"/>
      <c r="H30" s="90"/>
      <c r="I30" s="44"/>
      <c r="J30" s="105"/>
      <c r="K30" s="45"/>
      <c r="L30" s="91" t="n">
        <f aca="false">'Dec Data'!L30</f>
        <v>0</v>
      </c>
      <c r="M30" s="38"/>
      <c r="N30" s="95"/>
      <c r="O30" s="38"/>
      <c r="P30" s="104"/>
      <c r="Q30" s="38"/>
      <c r="R30" s="95"/>
      <c r="S30" s="38"/>
      <c r="T30" s="104"/>
      <c r="U30" s="38"/>
      <c r="V30" s="95"/>
      <c r="W30" s="38"/>
      <c r="X30" s="104"/>
      <c r="Y30" s="38"/>
    </row>
    <row r="31" customFormat="false" ht="12.75" hidden="false" customHeight="false" outlineLevel="0" collapsed="false">
      <c r="A31" s="32" t="n">
        <f aca="false">A30+1</f>
        <v>37250</v>
      </c>
      <c r="C31" s="44"/>
      <c r="D31" s="90"/>
      <c r="E31" s="44"/>
      <c r="F31" s="90"/>
      <c r="G31" s="44"/>
      <c r="H31" s="90"/>
      <c r="I31" s="44"/>
      <c r="J31" s="105"/>
      <c r="K31" s="45"/>
      <c r="L31" s="91" t="n">
        <f aca="false">'Dec Data'!L31</f>
        <v>0</v>
      </c>
      <c r="M31" s="38"/>
      <c r="N31" s="95"/>
      <c r="O31" s="38"/>
      <c r="P31" s="104"/>
      <c r="Q31" s="38"/>
      <c r="R31" s="95"/>
      <c r="S31" s="38"/>
      <c r="T31" s="104"/>
      <c r="U31" s="38"/>
      <c r="V31" s="95"/>
      <c r="W31" s="38"/>
      <c r="X31" s="104"/>
      <c r="Y31" s="38"/>
    </row>
    <row r="32" customFormat="false" ht="12.75" hidden="false" customHeight="false" outlineLevel="0" collapsed="false">
      <c r="A32" s="32" t="n">
        <f aca="false">A31+1</f>
        <v>37251</v>
      </c>
      <c r="C32" s="44"/>
      <c r="D32" s="90"/>
      <c r="E32" s="44"/>
      <c r="F32" s="90"/>
      <c r="G32" s="44"/>
      <c r="H32" s="90"/>
      <c r="I32" s="44"/>
      <c r="J32" s="44"/>
      <c r="K32" s="45"/>
      <c r="L32" s="91" t="n">
        <f aca="false">'Dec Data'!L32</f>
        <v>0</v>
      </c>
      <c r="M32" s="38"/>
      <c r="N32" s="95"/>
      <c r="O32" s="38"/>
      <c r="P32" s="104"/>
      <c r="Q32" s="38"/>
      <c r="R32" s="95"/>
      <c r="S32" s="38"/>
      <c r="T32" s="104"/>
      <c r="U32" s="38"/>
      <c r="V32" s="95"/>
      <c r="W32" s="38"/>
      <c r="X32" s="104"/>
      <c r="Y32" s="38"/>
    </row>
    <row r="33" customFormat="false" ht="12.75" hidden="false" customHeight="false" outlineLevel="0" collapsed="false">
      <c r="A33" s="32" t="n">
        <f aca="false">A32+1</f>
        <v>37252</v>
      </c>
      <c r="C33" s="44"/>
      <c r="D33" s="90"/>
      <c r="E33" s="44"/>
      <c r="F33" s="90"/>
      <c r="G33" s="44"/>
      <c r="H33" s="90"/>
      <c r="I33" s="44"/>
      <c r="J33" s="50"/>
      <c r="K33" s="45"/>
      <c r="L33" s="91" t="n">
        <f aca="false">'Dec Data'!L33</f>
        <v>0</v>
      </c>
      <c r="M33" s="38"/>
      <c r="N33" s="95"/>
      <c r="O33" s="38"/>
      <c r="P33" s="104"/>
      <c r="Q33" s="38"/>
      <c r="R33" s="95"/>
      <c r="S33" s="38"/>
      <c r="T33" s="104"/>
      <c r="U33" s="38"/>
      <c r="V33" s="95"/>
      <c r="W33" s="38"/>
      <c r="X33" s="104"/>
      <c r="Y33" s="38"/>
    </row>
    <row r="34" customFormat="false" ht="12.75" hidden="false" customHeight="false" outlineLevel="0" collapsed="false">
      <c r="A34" s="32" t="n">
        <f aca="false">A33+1</f>
        <v>37253</v>
      </c>
      <c r="C34" s="44"/>
      <c r="D34" s="90"/>
      <c r="E34" s="33"/>
      <c r="F34" s="90"/>
      <c r="G34" s="44"/>
      <c r="H34" s="90"/>
      <c r="I34" s="44"/>
      <c r="J34" s="50"/>
      <c r="K34" s="45"/>
      <c r="L34" s="91" t="n">
        <f aca="false">'Dec Data'!L34</f>
        <v>0</v>
      </c>
      <c r="M34" s="38"/>
      <c r="N34" s="95"/>
      <c r="O34" s="38"/>
      <c r="P34" s="104"/>
      <c r="Q34" s="38"/>
      <c r="R34" s="95"/>
      <c r="S34" s="38"/>
      <c r="T34" s="104"/>
      <c r="U34" s="38"/>
      <c r="V34" s="95"/>
      <c r="W34" s="38"/>
      <c r="X34" s="104"/>
      <c r="Y34" s="38"/>
    </row>
    <row r="35" customFormat="false" ht="12.75" hidden="false" customHeight="false" outlineLevel="0" collapsed="false">
      <c r="A35" s="42" t="n">
        <f aca="false">A34+1</f>
        <v>37254</v>
      </c>
      <c r="B35" s="19"/>
      <c r="C35" s="20"/>
      <c r="D35" s="29"/>
      <c r="E35" s="20"/>
      <c r="F35" s="29"/>
      <c r="G35" s="30"/>
      <c r="H35" s="29"/>
      <c r="I35" s="20"/>
      <c r="J35" s="22"/>
      <c r="K35" s="21"/>
      <c r="L35" s="23" t="n">
        <f aca="false">'Dec Data'!L35</f>
        <v>0</v>
      </c>
      <c r="M35" s="24"/>
      <c r="N35" s="26"/>
      <c r="O35" s="24"/>
      <c r="P35" s="43"/>
      <c r="Q35" s="24"/>
      <c r="R35" s="26"/>
      <c r="S35" s="24"/>
      <c r="T35" s="43"/>
      <c r="U35" s="24"/>
      <c r="V35" s="26"/>
      <c r="W35" s="24"/>
      <c r="X35" s="43"/>
      <c r="Y35" s="24"/>
    </row>
    <row r="36" customFormat="false" ht="12.75" hidden="false" customHeight="false" outlineLevel="0" collapsed="false">
      <c r="A36" s="42" t="n">
        <f aca="false">A35+1</f>
        <v>37255</v>
      </c>
      <c r="B36" s="19"/>
      <c r="C36" s="30"/>
      <c r="D36" s="29"/>
      <c r="E36" s="20"/>
      <c r="F36" s="29"/>
      <c r="G36" s="30"/>
      <c r="H36" s="29"/>
      <c r="I36" s="20"/>
      <c r="J36" s="22"/>
      <c r="K36" s="21"/>
      <c r="L36" s="23" t="n">
        <f aca="false">'Dec Data'!L36</f>
        <v>0</v>
      </c>
      <c r="M36" s="24"/>
      <c r="N36" s="26"/>
      <c r="O36" s="24"/>
      <c r="P36" s="43"/>
      <c r="Q36" s="24"/>
      <c r="R36" s="26"/>
      <c r="S36" s="24"/>
      <c r="T36" s="43"/>
      <c r="U36" s="24"/>
      <c r="V36" s="26"/>
      <c r="W36" s="24"/>
      <c r="X36" s="43"/>
      <c r="Y36" s="24"/>
    </row>
    <row r="37" customFormat="false" ht="12.75" hidden="false" customHeight="false" outlineLevel="0" collapsed="false">
      <c r="A37" s="32" t="n">
        <f aca="false">A36+1</f>
        <v>37256</v>
      </c>
      <c r="C37" s="44"/>
      <c r="D37" s="90"/>
      <c r="E37" s="44"/>
      <c r="F37" s="90"/>
      <c r="G37" s="44"/>
      <c r="H37" s="90"/>
      <c r="I37" s="44"/>
      <c r="J37" s="50"/>
      <c r="K37" s="45"/>
      <c r="L37" s="91" t="n">
        <f aca="false">'Dec Data'!L37</f>
        <v>0</v>
      </c>
      <c r="M37" s="38"/>
      <c r="N37" s="95"/>
      <c r="O37" s="38"/>
      <c r="P37" s="104"/>
      <c r="Q37" s="38"/>
      <c r="R37" s="95"/>
      <c r="S37" s="38"/>
      <c r="T37" s="104"/>
      <c r="U37" s="38"/>
      <c r="V37" s="95"/>
      <c r="W37" s="38"/>
      <c r="X37" s="104"/>
      <c r="Y37" s="38"/>
    </row>
    <row r="38" customFormat="false" ht="12.75" hidden="false" customHeight="false" outlineLevel="0" collapsed="false">
      <c r="A38" s="32" t="n">
        <f aca="false">A37+1</f>
        <v>37257</v>
      </c>
      <c r="C38" s="44"/>
      <c r="D38" s="45"/>
      <c r="E38" s="44"/>
      <c r="F38" s="45"/>
      <c r="G38" s="44"/>
      <c r="H38" s="45"/>
      <c r="I38" s="44"/>
      <c r="J38" s="50"/>
      <c r="K38" s="45"/>
      <c r="L38" s="91" t="n">
        <f aca="false">'Dec Data'!L38</f>
        <v>0</v>
      </c>
      <c r="M38" s="38"/>
      <c r="N38" s="38"/>
      <c r="O38" s="38"/>
      <c r="P38" s="104"/>
      <c r="Q38" s="38"/>
      <c r="R38" s="38"/>
      <c r="S38" s="38"/>
      <c r="T38" s="104"/>
      <c r="U38" s="38"/>
      <c r="V38" s="38"/>
      <c r="W38" s="38"/>
      <c r="X38" s="104"/>
      <c r="Y38" s="38"/>
    </row>
    <row r="39" customFormat="false" ht="12.75" hidden="false" customHeight="false" outlineLevel="0" collapsed="false">
      <c r="A39" s="32" t="n">
        <f aca="false">A38+1</f>
        <v>37258</v>
      </c>
      <c r="C39" s="51"/>
      <c r="D39" s="53"/>
      <c r="E39" s="51"/>
      <c r="F39" s="53"/>
      <c r="G39" s="51"/>
      <c r="H39" s="53"/>
      <c r="I39" s="51"/>
      <c r="J39" s="52"/>
      <c r="K39" s="53"/>
      <c r="L39" s="91" t="n">
        <f aca="false">'Dec Data'!L39</f>
        <v>0</v>
      </c>
      <c r="M39" s="55"/>
      <c r="N39" s="55"/>
      <c r="O39" s="55"/>
      <c r="P39" s="104"/>
      <c r="Q39" s="55"/>
      <c r="R39" s="55"/>
      <c r="S39" s="55"/>
      <c r="T39" s="104"/>
      <c r="U39" s="55"/>
      <c r="V39" s="55"/>
      <c r="W39" s="55"/>
      <c r="X39" s="104"/>
      <c r="Y39" s="38"/>
    </row>
    <row r="40" customFormat="false" ht="12.75" hidden="false" customHeight="false" outlineLevel="0" collapsed="false">
      <c r="A40" s="32" t="n">
        <f aca="false">A39+1</f>
        <v>37259</v>
      </c>
      <c r="C40" s="51"/>
      <c r="D40" s="53"/>
      <c r="E40" s="51"/>
      <c r="F40" s="53"/>
      <c r="G40" s="51"/>
      <c r="H40" s="53"/>
      <c r="I40" s="51"/>
      <c r="J40" s="52"/>
      <c r="K40" s="53"/>
      <c r="L40" s="91" t="n">
        <f aca="false">'Dec Data'!L40</f>
        <v>0</v>
      </c>
      <c r="M40" s="55"/>
      <c r="N40" s="55"/>
      <c r="O40" s="55"/>
      <c r="P40" s="104"/>
      <c r="Q40" s="55"/>
      <c r="R40" s="55"/>
      <c r="S40" s="55"/>
      <c r="T40" s="104"/>
      <c r="U40" s="55"/>
      <c r="V40" s="55"/>
      <c r="W40" s="55"/>
      <c r="X40" s="104"/>
      <c r="Y40" s="38"/>
    </row>
    <row r="41" customFormat="false" ht="12.75" hidden="false" customHeight="false" outlineLevel="0" collapsed="false">
      <c r="A41" s="32" t="n">
        <f aca="false">A40+1</f>
        <v>37260</v>
      </c>
      <c r="C41" s="51"/>
      <c r="D41" s="53"/>
      <c r="E41" s="51"/>
      <c r="F41" s="53"/>
      <c r="G41" s="51"/>
      <c r="H41" s="53"/>
      <c r="I41" s="51"/>
      <c r="J41" s="52"/>
      <c r="K41" s="53"/>
      <c r="L41" s="91" t="n">
        <f aca="false">'Dec Data'!L41</f>
        <v>0</v>
      </c>
      <c r="M41" s="55"/>
      <c r="N41" s="56"/>
      <c r="O41" s="56"/>
      <c r="P41" s="107"/>
      <c r="Q41" s="56"/>
      <c r="R41" s="56"/>
      <c r="S41" s="56"/>
      <c r="T41" s="107"/>
      <c r="U41" s="56"/>
      <c r="V41" s="56"/>
      <c r="W41" s="56"/>
      <c r="X41" s="107"/>
      <c r="Y41" s="38"/>
    </row>
    <row r="42" customFormat="false" ht="13.5" hidden="false" customHeight="false" outlineLevel="0" collapsed="false">
      <c r="A42" s="32"/>
      <c r="C42" s="57"/>
      <c r="D42" s="58"/>
      <c r="E42" s="57"/>
      <c r="F42" s="58"/>
      <c r="G42" s="57"/>
      <c r="H42" s="58"/>
      <c r="I42" s="57"/>
      <c r="J42" s="59"/>
      <c r="K42" s="58"/>
      <c r="L42" s="60"/>
      <c r="M42" s="60"/>
      <c r="N42" s="3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38"/>
    </row>
    <row r="43" customFormat="false" ht="12.75" hidden="false" customHeight="false" outlineLevel="0" collapsed="false">
      <c r="A43" s="62" t="s">
        <v>58</v>
      </c>
      <c r="B43" s="63"/>
      <c r="C43" s="64"/>
      <c r="D43" s="64"/>
      <c r="E43" s="64"/>
      <c r="F43" s="64"/>
      <c r="G43" s="64"/>
      <c r="H43" s="64"/>
      <c r="I43" s="64"/>
      <c r="J43" s="64"/>
      <c r="K43" s="64"/>
      <c r="L43" s="65" t="n">
        <f aca="false">AVERAGE(L9:L13)</f>
        <v>19552.8</v>
      </c>
      <c r="M43" s="64"/>
      <c r="N43" s="109" t="n">
        <f aca="false">AVERAGE(N9:N13)</f>
        <v>860.847787104013</v>
      </c>
      <c r="O43" s="109"/>
      <c r="P43" s="109" t="n">
        <f aca="false">AVERAGE(P9:P13)</f>
        <v>22.7134230846754</v>
      </c>
      <c r="Q43" s="109"/>
      <c r="R43" s="109" t="n">
        <f aca="false">AVERAGE(R9:R13)</f>
        <v>733.299368179364</v>
      </c>
      <c r="S43" s="109"/>
      <c r="T43" s="109" t="n">
        <f aca="false">AVERAGE(T9:T13)</f>
        <v>26.6641440705802</v>
      </c>
      <c r="U43" s="109"/>
      <c r="V43" s="109" t="n">
        <f aca="false">AVERAGE(V9:V13)</f>
        <v>688.626102513053</v>
      </c>
      <c r="W43" s="109"/>
      <c r="X43" s="109" t="n">
        <f aca="false">AVERAGE(X9:X13)</f>
        <v>28.3939280382265</v>
      </c>
      <c r="Y43" s="38"/>
    </row>
    <row r="44" customFormat="false" ht="12.75" hidden="false" customHeight="false" outlineLevel="0" collapsed="false">
      <c r="A44" s="67" t="s">
        <v>59</v>
      </c>
      <c r="B44" s="68"/>
      <c r="C44" s="69"/>
      <c r="D44" s="69"/>
      <c r="E44" s="69"/>
      <c r="F44" s="69"/>
      <c r="G44" s="69"/>
      <c r="H44" s="69"/>
      <c r="I44" s="69"/>
      <c r="J44" s="69"/>
      <c r="K44" s="69"/>
      <c r="L44" s="70" t="n">
        <f aca="false">AVERAGE(L16:L20)</f>
        <v>20165.6</v>
      </c>
      <c r="M44" s="69"/>
      <c r="N44" s="111"/>
      <c r="O44" s="70"/>
      <c r="P44" s="111"/>
      <c r="Q44" s="111"/>
      <c r="R44" s="111"/>
      <c r="S44" s="111"/>
      <c r="T44" s="111"/>
      <c r="U44" s="111"/>
      <c r="V44" s="111"/>
      <c r="W44" s="111"/>
      <c r="X44" s="112"/>
      <c r="Y44" s="38"/>
    </row>
    <row r="45" customFormat="false" ht="12.75" hidden="false" customHeight="false" outlineLevel="0" collapsed="false">
      <c r="A45" s="67" t="s">
        <v>60</v>
      </c>
      <c r="B45" s="68"/>
      <c r="C45" s="69"/>
      <c r="D45" s="69"/>
      <c r="E45" s="69"/>
      <c r="F45" s="69"/>
      <c r="G45" s="69"/>
      <c r="H45" s="69"/>
      <c r="I45" s="69"/>
      <c r="J45" s="69"/>
      <c r="K45" s="69"/>
      <c r="L45" s="70" t="n">
        <f aca="false">AVERAGE(L23:L27)</f>
        <v>0</v>
      </c>
      <c r="M45" s="69"/>
      <c r="N45" s="111"/>
      <c r="O45" s="70"/>
      <c r="P45" s="111"/>
      <c r="Q45" s="111"/>
      <c r="R45" s="111"/>
      <c r="S45" s="111"/>
      <c r="T45" s="111"/>
      <c r="U45" s="111"/>
      <c r="V45" s="111"/>
      <c r="W45" s="111"/>
      <c r="X45" s="112"/>
      <c r="Y45" s="38"/>
    </row>
    <row r="46" customFormat="false" ht="12.75" hidden="false" customHeight="false" outlineLevel="0" collapsed="false">
      <c r="A46" s="67" t="s">
        <v>61</v>
      </c>
      <c r="B46" s="68"/>
      <c r="C46" s="69"/>
      <c r="D46" s="69"/>
      <c r="E46" s="69"/>
      <c r="F46" s="69"/>
      <c r="G46" s="69"/>
      <c r="H46" s="69"/>
      <c r="I46" s="69"/>
      <c r="J46" s="69"/>
      <c r="K46" s="53"/>
      <c r="L46" s="70" t="n">
        <f aca="false">AVERAGE(L24:L28)</f>
        <v>0</v>
      </c>
      <c r="M46" s="70"/>
      <c r="N46" s="69"/>
      <c r="O46" s="70"/>
      <c r="P46" s="111"/>
      <c r="Q46" s="111"/>
      <c r="R46" s="69"/>
      <c r="S46" s="111"/>
      <c r="T46" s="111"/>
      <c r="U46" s="111"/>
      <c r="V46" s="69"/>
      <c r="W46" s="111"/>
      <c r="X46" s="112"/>
      <c r="Y46" s="38"/>
    </row>
    <row r="47" customFormat="false" ht="13.5" hidden="false" customHeight="false" outlineLevel="0" collapsed="false">
      <c r="A47" s="72" t="s">
        <v>62</v>
      </c>
      <c r="B47" s="73"/>
      <c r="C47" s="94"/>
      <c r="D47" s="94"/>
      <c r="E47" s="94"/>
      <c r="F47" s="94"/>
      <c r="G47" s="94"/>
      <c r="H47" s="94"/>
      <c r="I47" s="94"/>
      <c r="J47" s="94"/>
      <c r="K47" s="98"/>
      <c r="L47" s="76" t="n">
        <f aca="false">AVERAGE(L37:L41)</f>
        <v>0</v>
      </c>
      <c r="M47" s="76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38"/>
    </row>
    <row r="48" customFormat="false" ht="13.5" hidden="false" customHeight="false" outlineLevel="0" collapsed="false">
      <c r="A48" s="78" t="s">
        <v>63</v>
      </c>
      <c r="B48" s="79"/>
      <c r="C48" s="80" t="e">
        <f aca="false">AVERAGE(C43:C46)</f>
        <v>#DIV/0!</v>
      </c>
      <c r="D48" s="80" t="e">
        <f aca="false">AVERAGE(D43:D46)</f>
        <v>#DIV/0!</v>
      </c>
      <c r="E48" s="80" t="e">
        <f aca="false">AVERAGE(E43:E46)</f>
        <v>#DIV/0!</v>
      </c>
      <c r="F48" s="80" t="e">
        <f aca="false">AVERAGE(F43:F46)</f>
        <v>#DIV/0!</v>
      </c>
      <c r="G48" s="80" t="e">
        <f aca="false">AVERAGE(G43:G46)</f>
        <v>#DIV/0!</v>
      </c>
      <c r="H48" s="80" t="e">
        <f aca="false">AVERAGE(H43:H46)</f>
        <v>#DIV/0!</v>
      </c>
      <c r="I48" s="80" t="e">
        <f aca="false">AVERAGE(I43:I46)</f>
        <v>#DIV/0!</v>
      </c>
      <c r="J48" s="80" t="e">
        <f aca="false">AVERAGE(J43:J46)</f>
        <v>#DIV/0!</v>
      </c>
      <c r="K48" s="81"/>
      <c r="L48" s="82" t="n">
        <f aca="false">AVERAGE(L9:L39)</f>
        <v>7510.12903225806</v>
      </c>
      <c r="M48" s="83"/>
      <c r="N48" s="114" t="n">
        <f aca="false">AVERAGE(N9:N39)</f>
        <v>860.847787104013</v>
      </c>
      <c r="O48" s="85"/>
      <c r="P48" s="114" t="n">
        <f aca="false">AVERAGE(P9:P39)</f>
        <v>22.5372788979738</v>
      </c>
      <c r="Q48" s="114"/>
      <c r="R48" s="114" t="n">
        <f aca="false">AVERAGE(R9:R39)</f>
        <v>733.299368179364</v>
      </c>
      <c r="S48" s="114"/>
      <c r="T48" s="114" t="n">
        <f aca="false">AVERAGE(T9:T39)</f>
        <v>26.4573617659536</v>
      </c>
      <c r="U48" s="114" t="e">
        <f aca="false">AVERAGE(U9:U39)</f>
        <v>#DIV/0!</v>
      </c>
      <c r="V48" s="114" t="n">
        <f aca="false">AVERAGE(V9:V39)</f>
        <v>688.626102513053</v>
      </c>
      <c r="W48" s="114"/>
      <c r="X48" s="115" t="n">
        <f aca="false">AVERAGE(X9:X39)</f>
        <v>28.1737311377896</v>
      </c>
      <c r="Y48" s="38"/>
    </row>
    <row r="49" customFormat="false" ht="13.5" hidden="false" customHeight="false" outlineLevel="0" collapsed="false">
      <c r="A49" s="86"/>
      <c r="B49" s="73"/>
      <c r="C49" s="87"/>
      <c r="D49" s="88"/>
      <c r="E49" s="87"/>
      <c r="F49" s="88"/>
      <c r="G49" s="87"/>
      <c r="H49" s="88"/>
      <c r="I49" s="87"/>
      <c r="J49" s="89"/>
      <c r="K49" s="88"/>
      <c r="L49" s="73"/>
      <c r="M49" s="73"/>
      <c r="N49" s="73"/>
      <c r="O49" s="79"/>
      <c r="P49" s="79"/>
      <c r="Q49" s="79"/>
      <c r="R49" s="79"/>
      <c r="S49" s="79"/>
      <c r="T49" s="79"/>
      <c r="U49" s="79"/>
      <c r="V49" s="79"/>
      <c r="W49" s="79"/>
      <c r="X49" s="116"/>
    </row>
  </sheetData>
  <mergeCells count="1">
    <mergeCell ref="C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2001-09-16T18:07:22Z</dcterms:created>
  <dc:creator>Ben Rogers</dc:creator>
  <dc:description/>
  <dc:language>en-US</dc:language>
  <cp:lastModifiedBy>ben rogers</cp:lastModifiedBy>
  <cp:lastPrinted>2001-11-30T10:43:13Z</cp:lastPrinted>
  <dcterms:modified xsi:type="dcterms:W3CDTF">2001-12-13T14:50:29Z</dcterms:modified>
  <cp:revision>0</cp:revision>
  <dc:subject/>
  <dc:title/>
</cp:coreProperties>
</file>