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Sheet2" sheetId="1" state="hidden" r:id="rId3"/>
    <sheet name="Sheet1" sheetId="2" state="visible" r:id="rId4"/>
    <sheet name="Summer" sheetId="3" state="visible" r:id="rId5"/>
    <sheet name="Swap" sheetId="4" state="visible" r:id="rId6"/>
    <sheet name="Feeds" sheetId="5" state="visible" r:id="rId7"/>
    <sheet name="Option" sheetId="6" state="visible" r:id="rId8"/>
    <sheet name="GL" sheetId="7" state="visible" r:id="rId9"/>
    <sheet name="Fuel Hist" sheetId="8" state="visible" r:id="rId10"/>
  </sheets>
  <definedNames>
    <definedName function="false" hidden="false" name="Spreads" vbProcedure="false">Feeds!$J$3:$K$16</definedName>
    <definedName function="false" hidden="false" localSheetId="3" name="TABLE" vbProcedure="false">#REF!</definedName>
    <definedName function="false" hidden="false" localSheetId="6" name="TABLE" vbProcedure="false">#REF!</definedName>
    <definedName function="false" hidden="false" localSheetId="6" name="TABLE_2" vbProcedure="false">#REF!</definedName>
    <definedName function="false" hidden="false" localSheetId="6" name="TABLE_3" vbProcedure="false">#REF!</definedName>
    <definedName function="false" hidden="false" localSheetId="6" name="TABLE_4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<sst xmlns="http://schemas.openxmlformats.org/spreadsheetml/2006/main" count="293" uniqueCount="143">
  <si>
    <t xml:space="preserve">MARK-TO-MARKET</t>
  </si>
  <si>
    <t xml:space="preserve">Deal Price</t>
  </si>
  <si>
    <t xml:space="preserve">FX Price</t>
  </si>
  <si>
    <t xml:space="preserve">CGPR</t>
  </si>
  <si>
    <t xml:space="preserve">3.19 C$/GJ</t>
  </si>
  <si>
    <t xml:space="preserve">Dawn</t>
  </si>
  <si>
    <t xml:space="preserve">FX Hedge</t>
  </si>
  <si>
    <t xml:space="preserve">Dawn-IM</t>
  </si>
  <si>
    <t xml:space="preserve">FX</t>
  </si>
  <si>
    <t xml:space="preserve">US/MM</t>
  </si>
  <si>
    <t xml:space="preserve">C$/GJ</t>
  </si>
  <si>
    <t xml:space="preserve">Volume GJ</t>
  </si>
  <si>
    <t xml:space="preserve">Deal PL</t>
  </si>
  <si>
    <t xml:space="preserve">Volume C$</t>
  </si>
  <si>
    <t xml:space="preserve">Volume US$</t>
  </si>
  <si>
    <t xml:space="preserve">Hedge PL</t>
  </si>
  <si>
    <t xml:space="preserve">PL</t>
  </si>
  <si>
    <t xml:space="preserve">SWAP</t>
  </si>
  <si>
    <t xml:space="preserve">Wtr</t>
  </si>
  <si>
    <t xml:space="preserve">Floor</t>
  </si>
  <si>
    <t xml:space="preserve">Volume</t>
  </si>
  <si>
    <t xml:space="preserve">usd/mm</t>
  </si>
  <si>
    <t xml:space="preserve">Smr</t>
  </si>
  <si>
    <t xml:space="preserve">cad/gj</t>
  </si>
  <si>
    <t xml:space="preserve">Yr</t>
  </si>
  <si>
    <t xml:space="preserve">Nymex</t>
  </si>
  <si>
    <t xml:space="preserve">Discounted Curves</t>
  </si>
  <si>
    <t xml:space="preserve">anr</t>
  </si>
  <si>
    <t xml:space="preserve">Emerson</t>
  </si>
  <si>
    <t xml:space="preserve">Variable</t>
  </si>
  <si>
    <t xml:space="preserve">Spread</t>
  </si>
  <si>
    <t xml:space="preserve">GL Cut</t>
  </si>
  <si>
    <t xml:space="preserve">Transport</t>
  </si>
  <si>
    <t xml:space="preserve">Enron</t>
  </si>
  <si>
    <t xml:space="preserve">Feed</t>
  </si>
  <si>
    <t xml:space="preserve">Input</t>
  </si>
  <si>
    <t xml:space="preserve">Quantity</t>
  </si>
  <si>
    <t xml:space="preserve">Discount</t>
  </si>
  <si>
    <t xml:space="preserve">Hub</t>
  </si>
  <si>
    <t xml:space="preserve">Price</t>
  </si>
  <si>
    <t xml:space="preserve">Swap</t>
  </si>
  <si>
    <t xml:space="preserve">PV Rev</t>
  </si>
  <si>
    <t xml:space="preserve">PV Qty</t>
  </si>
  <si>
    <t xml:space="preserve">ngpl</t>
  </si>
  <si>
    <t xml:space="preserve">bom</t>
  </si>
  <si>
    <t xml:space="preserve">NYMEX FEEDS</t>
  </si>
  <si>
    <t xml:space="preserve">Nymex Spreads</t>
  </si>
  <si>
    <t xml:space="preserve">LIVE</t>
  </si>
  <si>
    <t xml:space="preserve">Change</t>
  </si>
  <si>
    <t xml:space="preserve">CLOSE</t>
  </si>
  <si>
    <t xml:space="preserve">8813.1</t>
  </si>
  <si>
    <t xml:space="preserve">8813.2</t>
  </si>
  <si>
    <t xml:space="preserve">8813.3</t>
  </si>
  <si>
    <t xml:space="preserve">8813.4</t>
  </si>
  <si>
    <t xml:space="preserve">8813.5</t>
  </si>
  <si>
    <t xml:space="preserve">8813.6</t>
  </si>
  <si>
    <t xml:space="preserve">8813.7</t>
  </si>
  <si>
    <t xml:space="preserve">8813.8</t>
  </si>
  <si>
    <t xml:space="preserve">8813.9</t>
  </si>
  <si>
    <t xml:space="preserve">8813.10</t>
  </si>
  <si>
    <t xml:space="preserve">8813.11</t>
  </si>
  <si>
    <t xml:space="preserve">8813.12</t>
  </si>
  <si>
    <t xml:space="preserve">8813.13</t>
  </si>
  <si>
    <t xml:space="preserve">8813.14</t>
  </si>
  <si>
    <t xml:space="preserve">8813.15</t>
  </si>
  <si>
    <t xml:space="preserve">8813.16</t>
  </si>
  <si>
    <t xml:space="preserve">8813.17</t>
  </si>
  <si>
    <t xml:space="preserve">8813.18</t>
  </si>
  <si>
    <t xml:space="preserve">8813.19</t>
  </si>
  <si>
    <t xml:space="preserve">8813.20</t>
  </si>
  <si>
    <t xml:space="preserve">8813.21</t>
  </si>
  <si>
    <t xml:space="preserve">8813.22</t>
  </si>
  <si>
    <t xml:space="preserve">8813.23</t>
  </si>
  <si>
    <t xml:space="preserve">8813.24</t>
  </si>
  <si>
    <t xml:space="preserve">8813.25</t>
  </si>
  <si>
    <t xml:space="preserve">8813.26</t>
  </si>
  <si>
    <t xml:space="preserve">8813.27</t>
  </si>
  <si>
    <t xml:space="preserve">8813.28</t>
  </si>
  <si>
    <t xml:space="preserve">8813.29</t>
  </si>
  <si>
    <t xml:space="preserve">8813.30</t>
  </si>
  <si>
    <t xml:space="preserve">8813.31</t>
  </si>
  <si>
    <t xml:space="preserve">8813.32</t>
  </si>
  <si>
    <t xml:space="preserve">8813.33</t>
  </si>
  <si>
    <t xml:space="preserve">8813.34</t>
  </si>
  <si>
    <t xml:space="preserve">8813.35</t>
  </si>
  <si>
    <t xml:space="preserve">8813.36</t>
  </si>
  <si>
    <t xml:space="preserve">Real</t>
  </si>
  <si>
    <t xml:space="preserve"> </t>
  </si>
  <si>
    <t xml:space="preserve">Asset</t>
  </si>
  <si>
    <t xml:space="preserve">CALL</t>
  </si>
  <si>
    <t xml:space="preserve">PUT</t>
  </si>
  <si>
    <t xml:space="preserve">Start Date</t>
  </si>
  <si>
    <t xml:space="preserve">Put/Call</t>
  </si>
  <si>
    <t xml:space="preserve">Strike</t>
  </si>
  <si>
    <t xml:space="preserve">Volatility</t>
  </si>
  <si>
    <t xml:space="preserve">Time</t>
  </si>
  <si>
    <t xml:space="preserve">Interest</t>
  </si>
  <si>
    <t xml:space="preserve">d1</t>
  </si>
  <si>
    <t xml:space="preserve">d2</t>
  </si>
  <si>
    <t xml:space="preserve">Nd1</t>
  </si>
  <si>
    <t xml:space="preserve">Nd2</t>
  </si>
  <si>
    <t xml:space="preserve">Premium</t>
  </si>
  <si>
    <t xml:space="preserve">PV Value</t>
  </si>
  <si>
    <t xml:space="preserve">N(-d1)</t>
  </si>
  <si>
    <t xml:space="preserve">N(-d2)</t>
  </si>
  <si>
    <t xml:space="preserve">Winter</t>
  </si>
  <si>
    <t xml:space="preserve">1 Yr</t>
  </si>
  <si>
    <t xml:space="preserve">Chicago</t>
  </si>
  <si>
    <t xml:space="preserve">Winter 00/99</t>
  </si>
  <si>
    <t xml:space="preserve">1 yr 00/99</t>
  </si>
  <si>
    <t xml:space="preserve">ANR</t>
  </si>
  <si>
    <t xml:space="preserve">Demand +</t>
  </si>
  <si>
    <t xml:space="preserve">Fuel </t>
  </si>
  <si>
    <t xml:space="preserve">Commodity</t>
  </si>
  <si>
    <t xml:space="preserve">Fuel %</t>
  </si>
  <si>
    <t xml:space="preserve">Cost</t>
  </si>
  <si>
    <t xml:space="preserve">GL</t>
  </si>
  <si>
    <t xml:space="preserve">Fuel</t>
  </si>
  <si>
    <t xml:space="preserve">Central</t>
  </si>
  <si>
    <t xml:space="preserve">Farwell</t>
  </si>
  <si>
    <t xml:space="preserve">St.Clair</t>
  </si>
  <si>
    <t xml:space="preserve">East</t>
  </si>
  <si>
    <t xml:space="preserve">St.Calir</t>
  </si>
  <si>
    <t xml:space="preserve">Diff</t>
  </si>
  <si>
    <t xml:space="preserve">Carlton</t>
  </si>
  <si>
    <t xml:space="preserve">Winter 99/98</t>
  </si>
  <si>
    <t xml:space="preserve">1 yr 99/98</t>
  </si>
  <si>
    <t xml:space="preserve">Winter 98/97</t>
  </si>
  <si>
    <t xml:space="preserve">1 yr 98/97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</si>
  <si>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</si>
  <si>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</si>
  <si>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</si>
  <si>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</si>
  <si>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</si>
  <si>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</si>
  <si>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</si>
  <si>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</si>
  <si>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</si>
  <si>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1y</t>
  </si>
  <si>
    <t xml:space="preserve">jan</t>
  </si>
  <si>
    <t xml:space="preserve">feb</t>
  </si>
  <si>
    <t xml:space="preserve">mar</t>
  </si>
  <si>
    <t xml:space="preserve">NM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</si>
</sst>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\\#,##0.00;[RED]&quot;\-&quot;#,##0.00"/>
    <numFmt numFmtId="166" formatCode="#,##0;[RED]\-#,##0"/>
    <numFmt numFmtId="167" formatCode="_ \\* #,##0_ ;_ \\* \-#,##0_ ;_ \\* \-_ ;_ @_ "/>
    <numFmt numFmtId="168" formatCode="_ * #,##0_ ;_ * \-#,##0_ ;_ * \-_ ;_ @_ "/>
    <numFmt numFmtId="169" formatCode="\$#,##0_);[RED]&quot;($&quot;#,##0\)"/>
    <numFmt numFmtId="170" formatCode="[$-409]#,##0_);[RED]\(#,##0\)"/>
    <numFmt numFmtId="171" formatCode="_ * #,##0.00_ ;_ * &quot;\\\\-&quot;#,##0.00_ ;_ * \-??_ ;_ @_ "/>
    <numFmt numFmtId="172" formatCode="\\#,##0;[RED]&quot;\\\\-&quot;#,##0"/>
    <numFmt numFmtId="173" formatCode="_ \\* #,##0_ ;_ \\* &quot;\\\\-&quot;#,##0_ ;_ \\* \-_ ;_ @_ "/>
    <numFmt numFmtId="174" formatCode="_ * #,##0.00_ ;_ * &quot;\\\\\-&quot;#,##0.00_ ;_ * \-??_ ;_ @_ "/>
    <numFmt numFmtId="175" formatCode="\\#,##0;[RED]&quot;\-&quot;#,##0"/>
    <numFmt numFmtId="176" formatCode="#,##0.00;[RED]\-#,##0.00"/>
    <numFmt numFmtId="177" formatCode="_ \\* #,##0.00_ ;_ \\* \-#,##0.00_ ;_ \\* \-??_ ;_ @_ "/>
    <numFmt numFmtId="178" formatCode="_ * #,##0.00_ ;_ * \-#,##0.00_ ;_ * \-??_ ;_ @_ "/>
    <numFmt numFmtId="179" formatCode="\$#,##0.00_);[RED]&quot;($&quot;#,##0.00\)"/>
    <numFmt numFmtId="180" formatCode="[$-409]#,##0.00_);[RED]\(#,##0.00\)"/>
    <numFmt numFmtId="181" formatCode="\\#,##0;&quot;\\\\\\-&quot;#,##0"/>
    <numFmt numFmtId="182" formatCode="\\#,##0;&quot;\\\\\\\-&quot;#,##0"/>
    <numFmt numFmtId="183" formatCode="_(* #,##0_);_(* \(#,##0\);_(* \-_);_(@_)"/>
    <numFmt numFmtId="184" formatCode="_-* #,##0_-;\-* #,##0_-;_-* \-_-;_-@_-"/>
    <numFmt numFmtId="185" formatCode="\\#,##0.00;[RED]&quot;\\\\\-&quot;#,##0.00"/>
    <numFmt numFmtId="186" formatCode="\\#,##0.00;&quot;\\\\\\-&quot;#,##0.00"/>
    <numFmt numFmtId="187" formatCode="_ * #,##0_ ;_ * &quot;\\\\\-&quot;#,##0_ ;_ * \-_ ;_ @_ "/>
    <numFmt numFmtId="188" formatCode="_ \\* #,##0.00_ ;_ \\* &quot;\\\\\-&quot;#,##0.00_ ;_ \\* \-??_ ;_ @_ "/>
    <numFmt numFmtId="189" formatCode="0.000"/>
    <numFmt numFmtId="190" formatCode="_(* #,##0.00_);_(* \(#,##0.00\);_(* \-??_);_(@_)"/>
    <numFmt numFmtId="191" formatCode="_-* #,##0.00_-;\-* #,##0.00_-;_-* \-??_-;_-@_-"/>
    <numFmt numFmtId="192" formatCode="#,##0.00"/>
    <numFmt numFmtId="193" formatCode="_ * #,##0_ ;_ * &quot;\\\\-&quot;#,##0_ ;_ * \-_ ;_ @_ "/>
    <numFmt numFmtId="194" formatCode="_ \\* #,##0_ ;_ \\* &quot;\\\\\-&quot;#,##0_ ;_ \\* \-_ ;_ @_ "/>
    <numFmt numFmtId="195" formatCode="_(\$* #,##0_);_(\$* \(#,##0\);_(\$* \-_);_(@_)"/>
    <numFmt numFmtId="196" formatCode="_ * #,##0_ ;_ * &quot;\\-&quot;#,##0_ ;_ * \-_ ;_ @_ "/>
    <numFmt numFmtId="197" formatCode="#,##0.00000000"/>
    <numFmt numFmtId="198" formatCode="\$#,##0;&quot;-$&quot;#,##0"/>
    <numFmt numFmtId="199" formatCode="\\#,##0.00;[RED]&quot;\\\\\\-&quot;#,##0.00"/>
    <numFmt numFmtId="200" formatCode="#,##0.000000000"/>
    <numFmt numFmtId="201" formatCode="\$#,##0;[RED]&quot;-$&quot;#,##0"/>
    <numFmt numFmtId="202" formatCode="\\#,##0.00;&quot;\\\\\-&quot;#,##0.00"/>
    <numFmt numFmtId="203" formatCode="_-\\* #,##0_-;&quot;-\&quot;* #,##0_-;_-\\* \-_-;_-@_-"/>
    <numFmt numFmtId="204" formatCode="\\#,##0.00;&quot;\-&quot;#,##0.00"/>
    <numFmt numFmtId="205" formatCode="0.00000000%"/>
    <numFmt numFmtId="206" formatCode="_-\$* #,##0_-;&quot;-$&quot;* #,##0_-;_-\$* \-_-;_-@_-"/>
    <numFmt numFmtId="207" formatCode="\\#,##0;[RED]&quot;\\\\\\-&quot;#,##0"/>
    <numFmt numFmtId="208" formatCode="\\#,##0.00;&quot;\\\-&quot;#,##0.00"/>
    <numFmt numFmtId="209" formatCode="#,##0.00000000_);\(#,##0.00000000\)"/>
    <numFmt numFmtId="210" formatCode="_-\$* #,##0.00_-;&quot;-$&quot;* #,##0.00_-;_-\$* \-??_-;_-@_-"/>
    <numFmt numFmtId="211" formatCode="_ \\* #,##0.00_ ;_ \\* &quot;\\\\-&quot;#,##0.00_ ;_ \\* \-??_ ;_ @_ "/>
    <numFmt numFmtId="212" formatCode="_(\$* #,##0.00_);_(\$* \(#,##0.00\);_(\$* \-??_);_(@_)"/>
    <numFmt numFmtId="213" formatCode="_ \\* #,##0.00_ ;_ \\* &quot;\\-&quot;#,##0.00_ ;_ \\* \-??_ ;_ @_ "/>
    <numFmt numFmtId="214" formatCode="_-\\* #,##0.00_-;&quot;-\&quot;* #,##0.00_-;_-\\* \-??_-;_-@_-"/>
    <numFmt numFmtId="215" formatCode="_ \\* #,##0_ ;_ \\* &quot;\\-&quot;#,##0_ ;_ \\* \-_ ;_ @_ "/>
    <numFmt numFmtId="216" formatCode="0.00"/>
    <numFmt numFmtId="217" formatCode="_ \\* #,##0.00_ ;_ \\* &quot;\-&quot;#,##0.00_ ;_ \\* \-??_ ;_ @_ "/>
    <numFmt numFmtId="218" formatCode="0.000000000000000%"/>
    <numFmt numFmtId="219" formatCode="0.0%"/>
    <numFmt numFmtId="220" formatCode="_(\$* #,##0.000000_);_(\$* \(#,##0.000000\);_(\$* \-??_);_(@_)"/>
    <numFmt numFmtId="221" formatCode="yy&quot;\\\-&quot;mm&quot;\\\-&quot;dd&quot;\\\\ &quot;h:mm"/>
    <numFmt numFmtId="222" formatCode="#&quot;\\\\ &quot;??/??"/>
    <numFmt numFmtId="223" formatCode="General_)"/>
    <numFmt numFmtId="224" formatCode="[$-409]#,##0_);\(#,##0\)"/>
    <numFmt numFmtId="225" formatCode="#,##0"/>
    <numFmt numFmtId="226" formatCode="[$-409]d\-mmm"/>
    <numFmt numFmtId="227" formatCode="0.0000"/>
    <numFmt numFmtId="228" formatCode="_(* #,##0_);_(* \(#,##0\);_(* \-??_);_(@_)"/>
    <numFmt numFmtId="229" formatCode="_(\$* #,##0_);_(\$* \(#,##0\);_(\$* \-??_);_(@_)"/>
    <numFmt numFmtId="230" formatCode="_(* #,##0.000_);_(* \(#,##0.000\);_(* \-??_);_(@_)"/>
    <numFmt numFmtId="231" formatCode="[$-409]mmm\-yy"/>
    <numFmt numFmtId="232" formatCode="#,##0.0000_);\(#,##0.0000\)"/>
    <numFmt numFmtId="233" formatCode="0%"/>
    <numFmt numFmtId="234" formatCode="0.000%"/>
    <numFmt numFmtId="235" formatCode="_(\$* #,##0.0000_);_(\$* \(#,##0.0000\);_(\$* \-??_);_(@_)"/>
    <numFmt numFmtId="236" formatCode="#,##0.000_);\(#,##0.000\)"/>
    <numFmt numFmtId="237" formatCode="0.00%"/>
    <numFmt numFmtId="238" formatCode="_(* #,##0.00000_);_(* \(#,##0.00000\);_(* \-??_);_(@_)"/>
    <numFmt numFmtId="239" formatCode="_(\$* #,##0.000_);_(\$* \(#,##0.000\);_(\$* \-??_);_(@_)"/>
    <numFmt numFmtId="240" formatCode="[$-409]d\-mmm\-yy"/>
    <numFmt numFmtId="241" formatCode="_(* #,##0.0000_);_(* \(#,##0.0000\);_(* \-??_);_(@_)"/>
    <numFmt numFmtId="242" formatCode="0.000_)"/>
    <numFmt numFmtId="243" formatCode="0.000_);[RED]\(0.000\)"/>
    <numFmt numFmtId="244" formatCode="[$-409]m/d/yyyy"/>
    <numFmt numFmtId="245" formatCode="ddd"/>
    <numFmt numFmtId="246" formatCode="#,##0.000_);[RED]\(#,##0.000\)"/>
    <numFmt numFmtId="247" formatCode="#,##0.00000_);[RED]\(#,##0.00000\)"/>
    <numFmt numFmtId="248" formatCode="0.00_)"/>
    <numFmt numFmtId="249" formatCode="0_)"/>
  </numFmts>
  <fonts count="69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10"/>
      <name val="Courier New"/>
      <family val="0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0"/>
      <name val="Book Antiqua"/>
      <family val="0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b val="true"/>
      <sz val="12"/>
      <color rgb="FF000000"/>
      <name val="Times New Roman"/>
      <family val="2"/>
    </font>
    <font>
      <sz val="10"/>
      <color rgb="FF000000"/>
      <name val="Times New Roman"/>
      <family val="2"/>
    </font>
    <font>
      <b val="true"/>
      <sz val="10"/>
      <color rgb="FF0000FF"/>
      <name val="Times New Roman"/>
      <family val="0"/>
    </font>
    <font>
      <b val="true"/>
      <sz val="10"/>
      <name val="Times New Roman"/>
      <family val="0"/>
    </font>
    <font>
      <sz val="10"/>
      <color rgb="FF0000FF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name val="Times New Roman"/>
      <family val="0"/>
    </font>
    <font>
      <b val="true"/>
      <sz val="10"/>
      <name val="Times New Roman"/>
      <family val="1"/>
    </font>
    <font>
      <b val="true"/>
      <sz val="10"/>
      <color rgb="FF000000"/>
      <name val="Times New Roman"/>
      <family val="0"/>
    </font>
    <font>
      <sz val="10"/>
      <color rgb="FF000000"/>
      <name val="Times New Roman"/>
      <family val="1"/>
    </font>
    <font>
      <sz val="10"/>
      <color rgb="FF000000"/>
      <name val="Times New Roman"/>
      <family val="0"/>
    </font>
    <font>
      <b val="true"/>
      <sz val="8"/>
      <color rgb="FF0000FF"/>
      <name val="Times New Roman"/>
      <family val="1"/>
    </font>
    <font>
      <i val="true"/>
      <sz val="10"/>
      <name val="Times New Roman"/>
      <family val="0"/>
    </font>
    <font>
      <sz val="10"/>
      <color rgb="FFFF0000"/>
      <name val="Times New Roman"/>
      <family val="1"/>
    </font>
    <font>
      <sz val="10"/>
      <color rgb="FF008000"/>
      <name val="Times New Roman"/>
      <family val="1"/>
    </font>
    <font>
      <sz val="8"/>
      <name val="Times New Roman"/>
      <family val="1"/>
    </font>
    <font>
      <b val="true"/>
      <sz val="9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2"/>
      <name val="Times New Roman"/>
      <family val="1"/>
    </font>
    <font>
      <b val="true"/>
      <sz val="10"/>
      <name val="MS Sans Serif"/>
      <family val="0"/>
    </font>
    <font>
      <sz val="12"/>
      <color rgb="FF000000"/>
      <name val="Times New Roman"/>
      <family val="1"/>
    </font>
    <font>
      <b val="true"/>
      <sz val="12"/>
      <color rgb="FF000000"/>
      <name val="Times New Roman"/>
      <family val="0"/>
    </font>
    <font>
      <b val="true"/>
      <sz val="12"/>
      <color rgb="FFFF0000"/>
      <name val="Times New Roman"/>
      <family val="1"/>
    </font>
    <font>
      <b val="true"/>
      <sz val="12"/>
      <color rgb="FF000000"/>
      <name val="Times New Roman"/>
      <family val="1"/>
    </font>
    <font>
      <u val="single"/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7F"/>
        <bgColor rgb="FFFFFF99"/>
      </patternFill>
    </fill>
    <fill>
      <patternFill patternType="solid">
        <fgColor rgb="FFFFFF99"/>
        <bgColor rgb="FFFFFF7F"/>
      </patternFill>
    </fill>
    <fill>
      <patternFill patternType="solid">
        <fgColor rgb="FFFFFF00"/>
        <bgColor rgb="FFFFFF00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double"/>
      <top style="double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9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179" fontId="0" fillId="0" borderId="1" applyFont="true" applyBorder="tru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applyFont="true" applyBorder="false" applyAlignment="false" applyProtection="false"/>
    <xf numFmtId="221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21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2" applyFont="true" applyBorder="true" applyAlignment="false" applyProtection="false"/>
    <xf numFmtId="164" fontId="14" fillId="0" borderId="0" applyFont="true" applyBorder="false" applyAlignment="false" applyProtection="false"/>
    <xf numFmtId="164" fontId="0" fillId="2" borderId="0" applyFont="true" applyBorder="true" applyAlignment="false" applyProtection="false"/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1" fillId="0" borderId="0" applyFont="true" applyBorder="false" applyAlignment="false" applyProtection="false"/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22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22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8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2" fontId="51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4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5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2" fontId="5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3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2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1" fontId="5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5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2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5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0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1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0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2" fontId="5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7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2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26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6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6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6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6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8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8" fontId="6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26" fontId="5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9" fontId="6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4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56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proforma818" xfId="21"/>
    <cellStyle name="?? [0]_??" xfId="22"/>
    <cellStyle name="?? [0]_???" xfId="23"/>
    <cellStyle name="?? [0]_?????" xfId="24"/>
    <cellStyle name="?? [0]_?????_???" xfId="25"/>
    <cellStyle name="?? [0]_?????_???_proforma818" xfId="26"/>
    <cellStyle name="?? [0]_?????_proforma818" xfId="27"/>
    <cellStyle name="?? [0]_???_proforma818" xfId="28"/>
    <cellStyle name="?? [0]_??_proforma818" xfId="29"/>
    <cellStyle name="?? [0]_dimon" xfId="30"/>
    <cellStyle name="?? [0]_form" xfId="31"/>
    <cellStyle name="?? [0]_form_proforma818" xfId="32"/>
    <cellStyle name="?? [0]_laroux" xfId="33"/>
    <cellStyle name="?? [0]_laroux_1" xfId="34"/>
    <cellStyle name="?? [0]_laroux_1_proforma818" xfId="35"/>
    <cellStyle name="?? [0]_laroux_2" xfId="36"/>
    <cellStyle name="?? [0]_laroux_2_Swap" xfId="37"/>
    <cellStyle name="?? [0]_laroux_2_Swap_1" xfId="38"/>
    <cellStyle name="?? [0]_laroux_proforma818" xfId="39"/>
    <cellStyle name="?? [0]_PERSONAL" xfId="40"/>
    <cellStyle name="?? [0]_PERSONAL_1" xfId="41"/>
    <cellStyle name="?? [0]_PERSONAL_1_proforma818" xfId="42"/>
    <cellStyle name="?? [0]_PERSONAL_1_Swap" xfId="43"/>
    <cellStyle name="?? [0]_PERSONAL_1_Swap_1" xfId="44"/>
    <cellStyle name="?? [0]_PERSONAL_2" xfId="45"/>
    <cellStyle name="?? [0]_PERSONAL_2_proforma818" xfId="46"/>
    <cellStyle name="?? [0]_PERSONAL_3" xfId="47"/>
    <cellStyle name="?? [0]_PERSONAL_proforma818" xfId="48"/>
    <cellStyle name="?? [0]_Sheet2" xfId="49"/>
    <cellStyle name="?? [0]_Sheet2_Swap" xfId="50"/>
    <cellStyle name="?? [0]_Sheet2_Swap_1" xfId="51"/>
    <cellStyle name="??_94???" xfId="52"/>
    <cellStyle name="??_94???_proforma818" xfId="53"/>
    <cellStyle name="??_970120" xfId="54"/>
    <cellStyle name="??_97???" xfId="55"/>
    <cellStyle name="??_?.????" xfId="56"/>
    <cellStyle name="??_??" xfId="57"/>
    <cellStyle name="??_???" xfId="58"/>
    <cellStyle name="??_????" xfId="59"/>
    <cellStyle name="??_?????" xfId="60"/>
    <cellStyle name="??_?????_1" xfId="61"/>
    <cellStyle name="??_?????_2" xfId="62"/>
    <cellStyle name="??_?????_???" xfId="63"/>
    <cellStyle name="??_?????_???_proforma818" xfId="64"/>
    <cellStyle name="??_?????_???_proforma818_1" xfId="65"/>
    <cellStyle name="??_?????_proforma818" xfId="66"/>
    <cellStyle name="??_?????_proforma818_1" xfId="67"/>
    <cellStyle name="??_????_1" xfId="68"/>
    <cellStyle name="??_???_proforma818" xfId="69"/>
    <cellStyle name="??_???_proforma818_1" xfId="70"/>
    <cellStyle name="??_??_1" xfId="71"/>
    <cellStyle name="??_??_????" xfId="72"/>
    <cellStyle name="??_??_????_proforma818" xfId="73"/>
    <cellStyle name="??_??_proforma818" xfId="74"/>
    <cellStyle name="??_??_proforma818_1" xfId="75"/>
    <cellStyle name="??_??_proforma818_2" xfId="76"/>
    <cellStyle name="??_BEBU_GI" xfId="77"/>
    <cellStyle name="??_dimon" xfId="78"/>
    <cellStyle name="??_dimon_proforma818" xfId="79"/>
    <cellStyle name="??_form" xfId="80"/>
    <cellStyle name="??_form_proforma818" xfId="81"/>
    <cellStyle name="??_form_proforma818_1" xfId="82"/>
    <cellStyle name="??_ga_PB" xfId="83"/>
    <cellStyle name="??_laroux" xfId="84"/>
    <cellStyle name="??_laroux_1" xfId="85"/>
    <cellStyle name="??_laroux_1_proforma818" xfId="86"/>
    <cellStyle name="??_laroux_1_proforma818_1" xfId="87"/>
    <cellStyle name="??_laroux_2" xfId="88"/>
    <cellStyle name="??_laroux_2_proforma818" xfId="89"/>
    <cellStyle name="??_laroux_2_proforma818_Swap" xfId="90"/>
    <cellStyle name="??_laroux_2_proforma818_Swap_1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proforma818" xfId="98"/>
    <cellStyle name="??_laroux_proforma818_1" xfId="99"/>
    <cellStyle name="??_PERSONAL" xfId="100"/>
    <cellStyle name="??_PERSONAL_1" xfId="101"/>
    <cellStyle name="??_PERSONAL_1_proforma818" xfId="102"/>
    <cellStyle name="??_PERSONAL_1_proforma818_1" xfId="103"/>
    <cellStyle name="??_PERSONAL_1_Swap" xfId="104"/>
    <cellStyle name="??_PERSONAL_1_Swap_1" xfId="105"/>
    <cellStyle name="??_PERSONAL_2" xfId="106"/>
    <cellStyle name="??_PERSONAL_2_proforma818" xfId="107"/>
    <cellStyle name="??_PERSONAL_2_proforma818_1" xfId="108"/>
    <cellStyle name="??_PERSONAL_3" xfId="109"/>
    <cellStyle name="??_PERSONAL_3_proforma818" xfId="110"/>
    <cellStyle name="??_PERSONAL_4" xfId="111"/>
    <cellStyle name="??_PERSONAL_proforma818" xfId="112"/>
    <cellStyle name="??_PERSONAL_proforma818_1" xfId="113"/>
    <cellStyle name="??_Query11" xfId="114"/>
    <cellStyle name="??_Sheet1" xfId="115"/>
    <cellStyle name="??_Sheet1 (2)" xfId="116"/>
    <cellStyle name="??_Sheet2" xfId="117"/>
    <cellStyle name="??_Sheet2_proforma818" xfId="118"/>
    <cellStyle name="??_Sheet2_proforma818_Swap" xfId="119"/>
    <cellStyle name="??_Sheet2_proforma818_Swap_1" xfId="120"/>
    <cellStyle name="Comma [0]_9101" xfId="121"/>
    <cellStyle name="Comma [0]_9400" xfId="122"/>
    <cellStyle name="Comma [0]_A" xfId="123"/>
    <cellStyle name="Comma [0]_A_dimon" xfId="124"/>
    <cellStyle name="Comma [0]_algasdefault" xfId="125"/>
    <cellStyle name="Comma [0]_Alternative1" xfId="126"/>
    <cellStyle name="Comma [0]_Alternative1_1" xfId="127"/>
    <cellStyle name="Comma [0]_App E" xfId="128"/>
    <cellStyle name="Comma [0]_Arapahoe" xfId="129"/>
    <cellStyle name="Comma [0]_Assumptions" xfId="130"/>
    <cellStyle name="Comma [0]_bahiadefault" xfId="131"/>
    <cellStyle name="Comma [0]_BFJUNCFP" xfId="132"/>
    <cellStyle name="Comma [0]_Book3" xfId="133"/>
    <cellStyle name="Comma [0]_brault" xfId="134"/>
    <cellStyle name="Comma [0]_BRFEEMAY" xfId="135"/>
    <cellStyle name="Comma [0]_C1196" xfId="136"/>
    <cellStyle name="Comma [0]_C4296" xfId="137"/>
    <cellStyle name="Comma [0]_C4396" xfId="138"/>
    <cellStyle name="Comma [0]_C4496" xfId="139"/>
    <cellStyle name="Comma [0]_C4A296" xfId="140"/>
    <cellStyle name="Comma [0]_C4A396" xfId="141"/>
    <cellStyle name="Comma [0]_C4APR" xfId="142"/>
    <cellStyle name="Comma [0]_C4AUGFIN" xfId="143"/>
    <cellStyle name="Comma [0]_C4MAY96" xfId="144"/>
    <cellStyle name="Comma [0]_C4Z296" xfId="145"/>
    <cellStyle name="Comma [0]_Calculations" xfId="146"/>
    <cellStyle name="Comma [0]_Calculations (2)" xfId="147"/>
    <cellStyle name="Comma [0]_Calculations II" xfId="148"/>
    <cellStyle name="Comma [0]_Calculations III" xfId="149"/>
    <cellStyle name="Comma [0]_Calculations_1" xfId="150"/>
    <cellStyle name="Comma [0]_CAPEX" xfId="151"/>
    <cellStyle name="Comma [0]_CAPEX94" xfId="152"/>
    <cellStyle name="Comma [0]_CCA" xfId="153"/>
    <cellStyle name="Comma [0]_CCA_Swap" xfId="154"/>
    <cellStyle name="Comma [0]_CCA_Swap_1" xfId="155"/>
    <cellStyle name="Comma [0]_CF_DPR" xfId="156"/>
    <cellStyle name="Comma [0]_Charts" xfId="157"/>
    <cellStyle name="Comma [0]_CO444JE" xfId="158"/>
    <cellStyle name="Comma [0]_Comm File" xfId="159"/>
    <cellStyle name="Comma [0]_Comm File_Swap" xfId="160"/>
    <cellStyle name="Comma [0]_Comm File_Swap_1" xfId="161"/>
    <cellStyle name="Comma [0]_coperdefault" xfId="162"/>
    <cellStyle name="Comma [0]_Crude Chart" xfId="163"/>
    <cellStyle name="Comma [0]_Crude Cover" xfId="164"/>
    <cellStyle name="Comma [0]_Cum. Back Roll Chart" xfId="165"/>
    <cellStyle name="Comma [0]_Daily Changes" xfId="166"/>
    <cellStyle name="Comma [0]_Daily Hedge Strips" xfId="167"/>
    <cellStyle name="Comma [0]_DEFAULT" xfId="168"/>
    <cellStyle name="Comma [0]_dimon" xfId="169"/>
    <cellStyle name="Comma [0]_Division-US$" xfId="170"/>
    <cellStyle name="Comma [0]_Dowell C1b" xfId="171"/>
    <cellStyle name="Comma [0]_Dowell-C1a" xfId="172"/>
    <cellStyle name="Comma [0]_ECT_Form" xfId="173"/>
    <cellStyle name="Comma [0]_ECT_Form_005" xfId="174"/>
    <cellStyle name="Comma [0]_ECT_Form_600" xfId="175"/>
    <cellStyle name="Comma [0]_ECT_Form_608" xfId="176"/>
    <cellStyle name="Comma [0]_ECT_Form_727" xfId="177"/>
    <cellStyle name="Comma [0]_ECT_Form_777" xfId="178"/>
    <cellStyle name="Comma [0]_ECT_Form_BS" xfId="179"/>
    <cellStyle name="Comma [0]_ECT_Form_GRP" xfId="180"/>
    <cellStyle name="Comma [0]_emserdefault" xfId="181"/>
    <cellStyle name="Comma [0]_form" xfId="182"/>
    <cellStyle name="Comma [0]_FP 20 A (1)" xfId="183"/>
    <cellStyle name="Comma [0]_FP 20 A (2)" xfId="184"/>
    <cellStyle name="Comma [0]_FP-20 (App. E)" xfId="185"/>
    <cellStyle name="Comma [0]_FP-20 (App.A) " xfId="186"/>
    <cellStyle name="Comma [0]_FP-20 (App.D)" xfId="187"/>
    <cellStyle name="Comma [0]_FP-20(App.B)" xfId="188"/>
    <cellStyle name="Comma [0]_FP-20(C1) (a)" xfId="189"/>
    <cellStyle name="Comma [0]_FP-20(C1) (a) (2)" xfId="190"/>
    <cellStyle name="Comma [0]_FP-20(C1) (b)" xfId="191"/>
    <cellStyle name="Comma [0]_FP-20(C1) (b) " xfId="192"/>
    <cellStyle name="Comma [0]_FP-20(C1) (b) (2)" xfId="193"/>
    <cellStyle name="Comma [0]_GenAssum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OGANGAS" xfId="200"/>
    <cellStyle name="Comma [0]_HOGANOIL" xfId="201"/>
    <cellStyle name="Comma [0]_IPM C1b" xfId="202"/>
    <cellStyle name="Comma [0]_IPMC1a" xfId="203"/>
    <cellStyle name="Comma [0]_IS-Hold" xfId="204"/>
    <cellStyle name="Comma [0]_JETEMP" xfId="205"/>
    <cellStyle name="Comma [0]_june gas estimate" xfId="206"/>
    <cellStyle name="Comma [0]_laroux" xfId="207"/>
    <cellStyle name="Comma [0]_laroux_1" xfId="208"/>
    <cellStyle name="Comma [0]_laroux_1_dimon" xfId="209"/>
    <cellStyle name="Comma [0]_laroux_1_dimon_1" xfId="210"/>
    <cellStyle name="Comma [0]_laroux_1_dimon_Swap" xfId="211"/>
    <cellStyle name="Comma [0]_laroux_1_dimon_Swap_1" xfId="212"/>
    <cellStyle name="Comma [0]_laroux_1_laroux" xfId="213"/>
    <cellStyle name="Comma [0]_laroux_1_laroux_Swap" xfId="214"/>
    <cellStyle name="Comma [0]_laroux_1_laroux_Swap_1" xfId="215"/>
    <cellStyle name="Comma [0]_laroux_1_PLDT" xfId="216"/>
    <cellStyle name="Comma [0]_laroux_1_PLDT_Swap" xfId="217"/>
    <cellStyle name="Comma [0]_laroux_1_PLDT_Swap_1" xfId="218"/>
    <cellStyle name="Comma [0]_laroux_1_VERA" xfId="219"/>
    <cellStyle name="Comma [0]_laroux_1_VERA_Swap" xfId="220"/>
    <cellStyle name="Comma [0]_laroux_1_VERA_Swap_1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1_Swap" xfId="226"/>
    <cellStyle name="Comma [0]_laroux_2_dimon_1_Swap_1" xfId="227"/>
    <cellStyle name="Comma [0]_laroux_2_laroux" xfId="228"/>
    <cellStyle name="Comma [0]_laroux_2_laroux_dimon" xfId="229"/>
    <cellStyle name="Comma [0]_laroux_2_PLDT" xfId="230"/>
    <cellStyle name="Comma [0]_laroux_2_VERA" xfId="231"/>
    <cellStyle name="Comma [0]_laroux_3" xfId="232"/>
    <cellStyle name="Comma [0]_laroux_3_dimon" xfId="233"/>
    <cellStyle name="Comma [0]_laroux_3_Hedge Strategy Comparison" xfId="234"/>
    <cellStyle name="Comma [0]_laroux_3_Hedge Strategy Comparison_Swap" xfId="235"/>
    <cellStyle name="Comma [0]_laroux_3_Hedge Strategy Comparison_Swap_1" xfId="236"/>
    <cellStyle name="Comma [0]_laroux_3_Swap" xfId="237"/>
    <cellStyle name="Comma [0]_laroux_3_Swap_1" xfId="238"/>
    <cellStyle name="Comma [0]_laroux_dimon" xfId="239"/>
    <cellStyle name="Comma [0]_laroux_dimon_1" xfId="240"/>
    <cellStyle name="Comma [0]_laroux_laroux" xfId="241"/>
    <cellStyle name="Comma [0]_laroux_laroux_1" xfId="242"/>
    <cellStyle name="Comma [0]_laroux_laroux_dimon" xfId="243"/>
    <cellStyle name="Comma [0]_laroux_MATERAL2" xfId="244"/>
    <cellStyle name="Comma [0]_laroux_MATERAL2_dimon" xfId="245"/>
    <cellStyle name="Comma [0]_laroux_MATERAL2_laroux" xfId="246"/>
    <cellStyle name="Comma [0]_laroux_MATERAL2_laroux_dimon" xfId="247"/>
    <cellStyle name="Comma [0]_laroux_MATERAL2_VERA" xfId="248"/>
    <cellStyle name="Comma [0]_laroux_MATERAL2_VIRUS-EDY" xfId="249"/>
    <cellStyle name="Comma [0]_laroux_mud plant bolted" xfId="250"/>
    <cellStyle name="Comma [0]_laroux_mud plant bolted_dimon" xfId="251"/>
    <cellStyle name="Comma [0]_laroux_mud plant bolted_dimon_Swap" xfId="252"/>
    <cellStyle name="Comma [0]_laroux_mud plant bolted_dimon_Swap_1" xfId="253"/>
    <cellStyle name="Comma [0]_laroux_mud plant bolted_Hedge Strategy Comparison" xfId="254"/>
    <cellStyle name="Comma [0]_laroux_mud plant bolted_Hedge Strategy Comparison_Swap" xfId="255"/>
    <cellStyle name="Comma [0]_laroux_mud plant bolted_Hedge Strategy Comparison_Swap_1" xfId="256"/>
    <cellStyle name="Comma [0]_laroux_mud plant bolted_Swap" xfId="257"/>
    <cellStyle name="Comma [0]_laroux_mud plant bolted_Swap_1" xfId="258"/>
    <cellStyle name="Comma [0]_laroux_PLDT" xfId="259"/>
    <cellStyle name="Comma [0]_laroux_VERA" xfId="260"/>
    <cellStyle name="Comma [0]_laroux_VERA_1" xfId="261"/>
    <cellStyle name="Comma [0]_laroux_VIRUS-EDY" xfId="262"/>
    <cellStyle name="Comma [0]_MATERAL2" xfId="263"/>
    <cellStyle name="Comma [0]_MATERAL2_dimon" xfId="264"/>
    <cellStyle name="Comma [0]_MATERAL2_dimon_Swap" xfId="265"/>
    <cellStyle name="Comma [0]_MATERAL2_dimon_Swap_1" xfId="266"/>
    <cellStyle name="Comma [0]_MATERAL2_Hedge Strategy Comparison" xfId="267"/>
    <cellStyle name="Comma [0]_MATERAL2_Hedge Strategy Comparison_Swap" xfId="268"/>
    <cellStyle name="Comma [0]_MATERAL2_Hedge Strategy Comparison_Swap_1" xfId="269"/>
    <cellStyle name="Comma [0]_MATERAL2_Swap" xfId="270"/>
    <cellStyle name="Comma [0]_MATERAL2_Swap_1" xfId="271"/>
    <cellStyle name="Comma [0]_MMBtu Conversion" xfId="272"/>
    <cellStyle name="Comma [0]_monci" xfId="273"/>
    <cellStyle name="Comma [0]_mud plant bolted" xfId="274"/>
    <cellStyle name="Comma [0]_mud plant bolted_dimon" xfId="275"/>
    <cellStyle name="Comma [0]_mud plant bolted_laroux" xfId="276"/>
    <cellStyle name="Comma [0]_mud plant bolted_laroux_dimon" xfId="277"/>
    <cellStyle name="Comma [0]_mud plant bolted_VERA" xfId="278"/>
    <cellStyle name="Comma [0]_mud plant bolted_VIRUS-EDY" xfId="279"/>
    <cellStyle name="Comma [0]_Net Crude Equiv Total Chart" xfId="280"/>
    <cellStyle name="Comma [0]_NGL Chart" xfId="281"/>
    <cellStyle name="Comma [0]_NGL Cover" xfId="282"/>
    <cellStyle name="Comma [0]_Odner" xfId="283"/>
    <cellStyle name="Comma [0]_Odner (2)" xfId="284"/>
    <cellStyle name="Comma [0]_Odner (2)_Swap" xfId="285"/>
    <cellStyle name="Comma [0]_Odner (2)_Swap_1" xfId="286"/>
    <cellStyle name="Comma [0]_Odner (3)" xfId="287"/>
    <cellStyle name="Comma [0]_Odner (3)_Swap" xfId="288"/>
    <cellStyle name="Comma [0]_Odner (3)_Swap_1" xfId="289"/>
    <cellStyle name="Comma [0]_Odner_Swap" xfId="290"/>
    <cellStyle name="Comma [0]_Odner_Swap_1" xfId="291"/>
    <cellStyle name="Comma [0]_Other Months" xfId="292"/>
    <cellStyle name="Comma [0]_P7APRFNL" xfId="293"/>
    <cellStyle name="Comma [0]_pbdefault" xfId="294"/>
    <cellStyle name="Comma [0]_PERSONAL" xfId="295"/>
    <cellStyle name="Comma [0]_Pink" xfId="296"/>
    <cellStyle name="Comma [0]_Plan" xfId="297"/>
    <cellStyle name="Comma [0]_Plan_Swap" xfId="298"/>
    <cellStyle name="Comma [0]_Plan_Swap_1" xfId="299"/>
    <cellStyle name="Comma [0]_PLDT" xfId="300"/>
    <cellStyle name="Comma [0]_PLDT_1" xfId="301"/>
    <cellStyle name="Comma [0]_pldt_Calculations" xfId="302"/>
    <cellStyle name="Comma [0]_pldt_dimon" xfId="303"/>
    <cellStyle name="Comma [0]_Position" xfId="304"/>
    <cellStyle name="Comma [0]_priccurv" xfId="305"/>
    <cellStyle name="Comma [0]_Prior Day" xfId="306"/>
    <cellStyle name="Comma [0]_Products Chart" xfId="307"/>
    <cellStyle name="Comma [0]_Products Cover" xfId="308"/>
    <cellStyle name="Comma [0]_PROFILE4" xfId="309"/>
    <cellStyle name="Comma [0]_Projects" xfId="310"/>
    <cellStyle name="Comma [0]_Projects_Swap" xfId="311"/>
    <cellStyle name="Comma [0]_Projects_Swap_1" xfId="312"/>
    <cellStyle name="Comma [0]_PURCHASE" xfId="313"/>
    <cellStyle name="Comma [0]_Quarter End Months" xfId="314"/>
    <cellStyle name="Comma [0]_r1" xfId="315"/>
    <cellStyle name="Comma [0]_Resid Chart" xfId="316"/>
    <cellStyle name="Comma [0]_Resid Cover" xfId="317"/>
    <cellStyle name="Comma [0]_RFI" xfId="318"/>
    <cellStyle name="Comma [0]_RFI_1" xfId="319"/>
    <cellStyle name="Comma [0]_RFI_1_Swap" xfId="320"/>
    <cellStyle name="Comma [0]_RFI_1_Swap_1" xfId="321"/>
    <cellStyle name="Comma [0]_Sales Order" xfId="322"/>
    <cellStyle name="Comma [0]_Sheet1" xfId="323"/>
    <cellStyle name="Comma [0]_Snr. CO" xfId="324"/>
    <cellStyle name="Comma [0]_Snr. CO_Swap" xfId="325"/>
    <cellStyle name="Comma [0]_Snr. CO_Swap_1" xfId="326"/>
    <cellStyle name="Comma [0]_Subcont File" xfId="327"/>
    <cellStyle name="Comma [0]_Subcont File_Swap" xfId="328"/>
    <cellStyle name="Comma [0]_Subcont File_Swap_1" xfId="329"/>
    <cellStyle name="Comma [0]_Summary Info" xfId="330"/>
    <cellStyle name="Comma [0]_Summary Info_Swap" xfId="331"/>
    <cellStyle name="Comma [0]_Summary Info_Swap_1" xfId="332"/>
    <cellStyle name="Comma [0]_SUMPAGE" xfId="333"/>
    <cellStyle name="Comma [0]_VIRUS-EDY" xfId="334"/>
    <cellStyle name="Comma [0]_VOUCHER" xfId="335"/>
    <cellStyle name="Comma [0]_White" xfId="336"/>
    <cellStyle name="Comma [0]_WSP" xfId="337"/>
    <cellStyle name="Comma_9101" xfId="338"/>
    <cellStyle name="Comma_9400" xfId="339"/>
    <cellStyle name="Comma_A" xfId="340"/>
    <cellStyle name="Comma_A_dimon" xfId="341"/>
    <cellStyle name="Comma_algasdefault" xfId="342"/>
    <cellStyle name="Comma_algasdefault_1" xfId="343"/>
    <cellStyle name="Comma_Alternative1" xfId="344"/>
    <cellStyle name="Comma_Alternative1_1" xfId="345"/>
    <cellStyle name="Comma_App E" xfId="346"/>
    <cellStyle name="Comma_Arapahoe" xfId="347"/>
    <cellStyle name="Comma_Assumptions" xfId="348"/>
    <cellStyle name="Comma_bahiadefault" xfId="349"/>
    <cellStyle name="Comma_bahiadefault_1" xfId="350"/>
    <cellStyle name="Comma_BFJUNCFP" xfId="351"/>
    <cellStyle name="Comma_Book3" xfId="352"/>
    <cellStyle name="Comma_brault" xfId="353"/>
    <cellStyle name="Comma_BRFEEMAY" xfId="354"/>
    <cellStyle name="Comma_C1196" xfId="355"/>
    <cellStyle name="Comma_C4296" xfId="356"/>
    <cellStyle name="Comma_C4396" xfId="357"/>
    <cellStyle name="Comma_C4496" xfId="358"/>
    <cellStyle name="Comma_C4A296" xfId="359"/>
    <cellStyle name="Comma_C4A396" xfId="360"/>
    <cellStyle name="Comma_C4APR" xfId="361"/>
    <cellStyle name="Comma_C4AUGFIN" xfId="362"/>
    <cellStyle name="Comma_C4MAY96" xfId="363"/>
    <cellStyle name="Comma_C4Z296" xfId="364"/>
    <cellStyle name="Comma_Calculations" xfId="365"/>
    <cellStyle name="Comma_Calculations (2)" xfId="366"/>
    <cellStyle name="Comma_Calculations II" xfId="367"/>
    <cellStyle name="Comma_Calculations III" xfId="368"/>
    <cellStyle name="Comma_Calculations_1" xfId="369"/>
    <cellStyle name="Comma_CAPEX" xfId="370"/>
    <cellStyle name="Comma_CAPEX94" xfId="371"/>
    <cellStyle name="Comma_CCA" xfId="372"/>
    <cellStyle name="Comma_CCA_Swap" xfId="373"/>
    <cellStyle name="Comma_CCA_Swap_1" xfId="374"/>
    <cellStyle name="Comma_CF_DPR" xfId="375"/>
    <cellStyle name="Comma_Charts" xfId="376"/>
    <cellStyle name="Comma_CO444JE" xfId="377"/>
    <cellStyle name="Comma_Comm File" xfId="378"/>
    <cellStyle name="Comma_Comm File_Swap" xfId="379"/>
    <cellStyle name="Comma_Comm File_Swap_1" xfId="380"/>
    <cellStyle name="Comma_coperdefault" xfId="381"/>
    <cellStyle name="Comma_coperdefault_1" xfId="382"/>
    <cellStyle name="Comma_Crude Chart" xfId="383"/>
    <cellStyle name="Comma_Crude Cover" xfId="384"/>
    <cellStyle name="Comma_Cum. Back Roll Chart" xfId="385"/>
    <cellStyle name="Comma_Daily Changes" xfId="386"/>
    <cellStyle name="Comma_Daily Hedge Strips" xfId="387"/>
    <cellStyle name="Comma_DEFAULT" xfId="388"/>
    <cellStyle name="Comma_dimon" xfId="389"/>
    <cellStyle name="Comma_Division-US$" xfId="390"/>
    <cellStyle name="Comma_Dowell C1b" xfId="391"/>
    <cellStyle name="Comma_Dowell-C1a" xfId="392"/>
    <cellStyle name="Comma_ECT_Form" xfId="393"/>
    <cellStyle name="Comma_ECT_Form_005" xfId="394"/>
    <cellStyle name="Comma_ECT_Form_600" xfId="395"/>
    <cellStyle name="Comma_ECT_Form_608" xfId="396"/>
    <cellStyle name="Comma_ECT_Form_727" xfId="397"/>
    <cellStyle name="Comma_ECT_Form_777" xfId="398"/>
    <cellStyle name="Comma_ECT_Form_BS" xfId="399"/>
    <cellStyle name="Comma_ECT_Form_GRP" xfId="400"/>
    <cellStyle name="Comma_emserdefault" xfId="401"/>
    <cellStyle name="Comma_emserdefault_1" xfId="402"/>
    <cellStyle name="Comma_form" xfId="403"/>
    <cellStyle name="Comma_FP 20 A (1)" xfId="404"/>
    <cellStyle name="Comma_FP 20 A (2)" xfId="405"/>
    <cellStyle name="Comma_FP-20 (App. E)" xfId="406"/>
    <cellStyle name="Comma_FP-20 (App.A) " xfId="407"/>
    <cellStyle name="Comma_FP-20 (App.D)" xfId="408"/>
    <cellStyle name="Comma_FP-20(App.B)" xfId="409"/>
    <cellStyle name="Comma_FP-20(C1) (a)" xfId="410"/>
    <cellStyle name="Comma_FP-20(C1) (a) (2)" xfId="411"/>
    <cellStyle name="Comma_FP-20(C1) (b)" xfId="412"/>
    <cellStyle name="Comma_FP-20(C1) (b) " xfId="413"/>
    <cellStyle name="Comma_FP-20(C1) (b) (2)" xfId="414"/>
    <cellStyle name="Comma_GenAssum" xfId="415"/>
    <cellStyle name="Comma_GP C1a" xfId="416"/>
    <cellStyle name="Comma_GP C1b" xfId="417"/>
    <cellStyle name="Comma_GP_EI_3" xfId="418"/>
    <cellStyle name="Comma_GQ C1A" xfId="419"/>
    <cellStyle name="Comma_GQ C1B" xfId="420"/>
    <cellStyle name="Comma_HOGANGAS" xfId="421"/>
    <cellStyle name="Comma_HOGANOIL" xfId="422"/>
    <cellStyle name="Comma_IPM C1b" xfId="423"/>
    <cellStyle name="Comma_IPMC1a" xfId="424"/>
    <cellStyle name="Comma_IS-Hold" xfId="425"/>
    <cellStyle name="Comma_JETEMP" xfId="426"/>
    <cellStyle name="Comma_june gas estimate" xfId="427"/>
    <cellStyle name="Comma_laroux" xfId="428"/>
    <cellStyle name="Comma_laroux_1" xfId="429"/>
    <cellStyle name="Comma_laroux_1_dimon" xfId="430"/>
    <cellStyle name="Comma_laroux_1_dimon_1" xfId="431"/>
    <cellStyle name="Comma_laroux_1_dimon_Swap" xfId="432"/>
    <cellStyle name="Comma_laroux_1_dimon_Swap_1" xfId="433"/>
    <cellStyle name="Comma_laroux_1_laroux" xfId="434"/>
    <cellStyle name="Comma_laroux_1_laroux_Swap" xfId="435"/>
    <cellStyle name="Comma_laroux_1_laroux_Swap_1" xfId="436"/>
    <cellStyle name="Comma_laroux_1_PLDT" xfId="437"/>
    <cellStyle name="Comma_laroux_1_PLDT_Swap" xfId="438"/>
    <cellStyle name="Comma_laroux_1_PLDT_Swap_1" xfId="439"/>
    <cellStyle name="Comma_laroux_1_VERA" xfId="440"/>
    <cellStyle name="Comma_laroux_1_VERA_1" xfId="441"/>
    <cellStyle name="Comma_laroux_1_VERA_1_Swap" xfId="442"/>
    <cellStyle name="Comma_laroux_1_VERA_1_Swap_1" xfId="443"/>
    <cellStyle name="Comma_laroux_1_VIRUS-EDY" xfId="444"/>
    <cellStyle name="Comma_laroux_2" xfId="445"/>
    <cellStyle name="Comma_laroux_2_dimon" xfId="446"/>
    <cellStyle name="Comma_laroux_2_dimon_1" xfId="447"/>
    <cellStyle name="Comma_laroux_2_dimon_1_Swap" xfId="448"/>
    <cellStyle name="Comma_laroux_2_dimon_1_Swap_1" xfId="449"/>
    <cellStyle name="Comma_laroux_2_laroux" xfId="450"/>
    <cellStyle name="Comma_laroux_2_laroux_dimon" xfId="451"/>
    <cellStyle name="Comma_laroux_2_PLDT" xfId="452"/>
    <cellStyle name="Comma_laroux_2_VERA" xfId="453"/>
    <cellStyle name="Comma_laroux_2_VERA_1" xfId="454"/>
    <cellStyle name="Comma_laroux_3" xfId="455"/>
    <cellStyle name="Comma_laroux_3_dimon" xfId="456"/>
    <cellStyle name="Comma_laroux_3_dimon_1" xfId="457"/>
    <cellStyle name="Comma_laroux_3_dimon_Swap" xfId="458"/>
    <cellStyle name="Comma_laroux_3_dimon_Swap_1" xfId="459"/>
    <cellStyle name="Comma_laroux_3_Hedge Strategy Comparison" xfId="460"/>
    <cellStyle name="Comma_laroux_3_Hedge Strategy Comparison_Swap" xfId="461"/>
    <cellStyle name="Comma_laroux_3_Hedge Strategy Comparison_Swap_1" xfId="462"/>
    <cellStyle name="Comma_laroux_3_Swap" xfId="463"/>
    <cellStyle name="Comma_laroux_3_Swap_1" xfId="464"/>
    <cellStyle name="Comma_laroux_dimon" xfId="465"/>
    <cellStyle name="Comma_laroux_dimon_1" xfId="466"/>
    <cellStyle name="Comma_laroux_laroux" xfId="467"/>
    <cellStyle name="Comma_laroux_laroux_1" xfId="468"/>
    <cellStyle name="Comma_laroux_laroux_dimon" xfId="469"/>
    <cellStyle name="Comma_laroux_PLDT" xfId="470"/>
    <cellStyle name="Comma_laroux_VERA" xfId="471"/>
    <cellStyle name="Comma_laroux_VERA_1" xfId="472"/>
    <cellStyle name="Comma_laroux_VIRUS-EDY" xfId="473"/>
    <cellStyle name="Comma_MATERAL2" xfId="474"/>
    <cellStyle name="Comma_MATERAL2_dimon" xfId="475"/>
    <cellStyle name="Comma_MATERAL2_dimon_Swap" xfId="476"/>
    <cellStyle name="Comma_MATERAL2_dimon_Swap_1" xfId="477"/>
    <cellStyle name="Comma_MATERAL2_Hedge Strategy Comparison" xfId="478"/>
    <cellStyle name="Comma_MATERAL2_Hedge Strategy Comparison_Swap" xfId="479"/>
    <cellStyle name="Comma_MATERAL2_Hedge Strategy Comparison_Swap_1" xfId="480"/>
    <cellStyle name="Comma_MATERAL2_Swap" xfId="481"/>
    <cellStyle name="Comma_MATERAL2_Swap_1" xfId="482"/>
    <cellStyle name="Comma_MMBtu Conversion" xfId="483"/>
    <cellStyle name="Comma_monci" xfId="484"/>
    <cellStyle name="Comma_mud plant bolted" xfId="485"/>
    <cellStyle name="Comma_Net Crude Equiv Total Chart" xfId="486"/>
    <cellStyle name="Comma_NGL Chart" xfId="487"/>
    <cellStyle name="Comma_NGL Cover" xfId="488"/>
    <cellStyle name="Comma_Odner" xfId="489"/>
    <cellStyle name="Comma_Odner (2)" xfId="490"/>
    <cellStyle name="Comma_Odner (2)_Swap" xfId="491"/>
    <cellStyle name="Comma_Odner (2)_Swap_1" xfId="492"/>
    <cellStyle name="Comma_Odner (3)" xfId="493"/>
    <cellStyle name="Comma_Odner (3)_Swap" xfId="494"/>
    <cellStyle name="Comma_Odner (3)_Swap_1" xfId="495"/>
    <cellStyle name="Comma_Odner_Swap" xfId="496"/>
    <cellStyle name="Comma_Odner_Swap_1" xfId="497"/>
    <cellStyle name="Comma_Other Months" xfId="498"/>
    <cellStyle name="Comma_P7APRFNL" xfId="499"/>
    <cellStyle name="Comma_pbdefault" xfId="500"/>
    <cellStyle name="Comma_pbdefault_1" xfId="501"/>
    <cellStyle name="Comma_PERSONAL" xfId="502"/>
    <cellStyle name="Comma_Pink" xfId="503"/>
    <cellStyle name="Comma_Plan" xfId="504"/>
    <cellStyle name="Comma_Plan_Swap" xfId="505"/>
    <cellStyle name="Comma_Plan_Swap_1" xfId="506"/>
    <cellStyle name="Comma_PLDT" xfId="507"/>
    <cellStyle name="Comma_PLDT_1" xfId="508"/>
    <cellStyle name="Comma_pldt_Calculations" xfId="509"/>
    <cellStyle name="Comma_pldt_dimon" xfId="510"/>
    <cellStyle name="Comma_Position" xfId="511"/>
    <cellStyle name="Comma_priccurv" xfId="512"/>
    <cellStyle name="Comma_Prior Day" xfId="513"/>
    <cellStyle name="Comma_Products Chart" xfId="514"/>
    <cellStyle name="Comma_Products Cover" xfId="515"/>
    <cellStyle name="Comma_PROFILE4" xfId="516"/>
    <cellStyle name="Comma_Projects" xfId="517"/>
    <cellStyle name="Comma_Projects_Swap" xfId="518"/>
    <cellStyle name="Comma_Projects_Swap_1" xfId="519"/>
    <cellStyle name="Comma_PURCHASE" xfId="520"/>
    <cellStyle name="Comma_Quarter End Months" xfId="521"/>
    <cellStyle name="Comma_r1" xfId="522"/>
    <cellStyle name="Comma_Resid Chart" xfId="523"/>
    <cellStyle name="Comma_Resid Cover" xfId="524"/>
    <cellStyle name="Comma_RFI" xfId="525"/>
    <cellStyle name="Comma_RFI_1" xfId="526"/>
    <cellStyle name="Comma_RFI_1_Swap" xfId="527"/>
    <cellStyle name="Comma_RFI_1_Swap_1" xfId="528"/>
    <cellStyle name="Comma_Sales Order" xfId="529"/>
    <cellStyle name="Comma_Sheet1" xfId="530"/>
    <cellStyle name="Comma_Snr. CO" xfId="531"/>
    <cellStyle name="Comma_Snr. CO_Swap" xfId="532"/>
    <cellStyle name="Comma_Snr. CO_Swap_1" xfId="533"/>
    <cellStyle name="Comma_Subcont File" xfId="534"/>
    <cellStyle name="Comma_Subcont File_Swap" xfId="535"/>
    <cellStyle name="Comma_Subcont File_Swap_1" xfId="536"/>
    <cellStyle name="Comma_Summary Info" xfId="537"/>
    <cellStyle name="Comma_Summary Info_Swap" xfId="538"/>
    <cellStyle name="Comma_Summary Info_Swap_1" xfId="539"/>
    <cellStyle name="Comma_SUMPAGE" xfId="540"/>
    <cellStyle name="Comma_VIRUS-EDY" xfId="541"/>
    <cellStyle name="Comma_VOUCHER" xfId="542"/>
    <cellStyle name="Comma_White" xfId="543"/>
    <cellStyle name="Comma_WSP" xfId="544"/>
    <cellStyle name="Currency [0]_9101" xfId="545"/>
    <cellStyle name="Currency [0]_9400" xfId="546"/>
    <cellStyle name="Currency [0]_A" xfId="547"/>
    <cellStyle name="Currency [0]_A_dimon" xfId="548"/>
    <cellStyle name="Currency [0]_algasdefault" xfId="549"/>
    <cellStyle name="Currency [0]_Alternative1" xfId="550"/>
    <cellStyle name="Currency [0]_Alternative1_1" xfId="551"/>
    <cellStyle name="Currency [0]_Alternative1_1_Swap" xfId="552"/>
    <cellStyle name="Currency [0]_Alternative1_1_Swap_1" xfId="553"/>
    <cellStyle name="Currency [0]_Alternative1_1_Swap_2" xfId="554"/>
    <cellStyle name="Currency [0]_Alternative1_1_Swap_3" xfId="555"/>
    <cellStyle name="Currency [0]_App E" xfId="556"/>
    <cellStyle name="Currency [0]_Arapahoe" xfId="557"/>
    <cellStyle name="Currency [0]_Assumptions" xfId="558"/>
    <cellStyle name="Currency [0]_Assumptions_Swap" xfId="559"/>
    <cellStyle name="Currency [0]_Assumptions_Swap_1" xfId="560"/>
    <cellStyle name="Currency [0]_bahiadefault" xfId="561"/>
    <cellStyle name="Currency [0]_BFJUNCFP" xfId="562"/>
    <cellStyle name="Currency [0]_Book3" xfId="563"/>
    <cellStyle name="Currency [0]_brault" xfId="564"/>
    <cellStyle name="Currency [0]_BRFEEMAY" xfId="565"/>
    <cellStyle name="Currency [0]_C1196" xfId="566"/>
    <cellStyle name="Currency [0]_C4296" xfId="567"/>
    <cellStyle name="Currency [0]_C4396" xfId="568"/>
    <cellStyle name="Currency [0]_C4496" xfId="569"/>
    <cellStyle name="Currency [0]_C4A296" xfId="570"/>
    <cellStyle name="Currency [0]_C4A396" xfId="571"/>
    <cellStyle name="Currency [0]_C4APR" xfId="572"/>
    <cellStyle name="Currency [0]_C4AUGFIN" xfId="573"/>
    <cellStyle name="Currency [0]_C4MAY96" xfId="574"/>
    <cellStyle name="Currency [0]_C4Z296" xfId="575"/>
    <cellStyle name="Currency [0]_Calculations" xfId="576"/>
    <cellStyle name="Currency [0]_Calculations (2)" xfId="577"/>
    <cellStyle name="Currency [0]_Calculations (2)_Swap" xfId="578"/>
    <cellStyle name="Currency [0]_Calculations (2)_Swap_1" xfId="579"/>
    <cellStyle name="Currency [0]_Calculations II" xfId="580"/>
    <cellStyle name="Currency [0]_Calculations II_Swap" xfId="581"/>
    <cellStyle name="Currency [0]_Calculations II_Swap_1" xfId="582"/>
    <cellStyle name="Currency [0]_Calculations III" xfId="583"/>
    <cellStyle name="Currency [0]_Calculations III_Swap" xfId="584"/>
    <cellStyle name="Currency [0]_Calculations III_Swap_1" xfId="585"/>
    <cellStyle name="Currency [0]_Calculations_1" xfId="586"/>
    <cellStyle name="Currency [0]_Calculations_Swap" xfId="587"/>
    <cellStyle name="Currency [0]_Calculations_Swap_1" xfId="588"/>
    <cellStyle name="Currency [0]_CAPEX" xfId="589"/>
    <cellStyle name="Currency [0]_CAPEX94" xfId="590"/>
    <cellStyle name="Currency [0]_Cardig GHS" xfId="591"/>
    <cellStyle name="Currency [0]_Cash Flows" xfId="592"/>
    <cellStyle name="Currency [0]_Cash Flows_Swap" xfId="593"/>
    <cellStyle name="Currency [0]_Cash Flows_Swap_1" xfId="594"/>
    <cellStyle name="Currency [0]_Cash Flows_Swap_2" xfId="595"/>
    <cellStyle name="Currency [0]_Cash Flows_Swap_3" xfId="596"/>
    <cellStyle name="Currency [0]_CCA" xfId="597"/>
    <cellStyle name="Currency [0]_CCA_Swap" xfId="598"/>
    <cellStyle name="Currency [0]_CCA_Swap_1" xfId="599"/>
    <cellStyle name="Currency [0]_CCA_Swap_2" xfId="600"/>
    <cellStyle name="Currency [0]_CF_DPR" xfId="601"/>
    <cellStyle name="Currency [0]_Charts" xfId="602"/>
    <cellStyle name="Currency [0]_CO444JE" xfId="603"/>
    <cellStyle name="Currency [0]_Comm File" xfId="604"/>
    <cellStyle name="Currency [0]_Comm File_Swap" xfId="605"/>
    <cellStyle name="Currency [0]_Comm File_Swap_1" xfId="606"/>
    <cellStyle name="Currency [0]_Comm File_Swap_2" xfId="607"/>
    <cellStyle name="Currency [0]_coperdefault" xfId="608"/>
    <cellStyle name="Currency [0]_Cost Code" xfId="609"/>
    <cellStyle name="Currency [0]_Cost Code_Swap" xfId="610"/>
    <cellStyle name="Currency [0]_Cost Code_Swap_1" xfId="611"/>
    <cellStyle name="Currency [0]_Cost Code_Swap_2" xfId="612"/>
    <cellStyle name="Currency [0]_Cost Code_Swap_3" xfId="613"/>
    <cellStyle name="Currency [0]_Crude Chart" xfId="614"/>
    <cellStyle name="Currency [0]_Crude Cover" xfId="615"/>
    <cellStyle name="Currency [0]_Cum. Back Roll Chart" xfId="616"/>
    <cellStyle name="Currency [0]_Daily Changes" xfId="617"/>
    <cellStyle name="Currency [0]_Daily Hedge Strips" xfId="618"/>
    <cellStyle name="Currency [0]_DEFAULT" xfId="619"/>
    <cellStyle name="Currency [0]_dimon" xfId="620"/>
    <cellStyle name="Currency [0]_dimon_1" xfId="621"/>
    <cellStyle name="Currency [0]_dimon_2" xfId="622"/>
    <cellStyle name="Currency [0]_dimon_2_Swap" xfId="623"/>
    <cellStyle name="Currency [0]_dimon_2_Swap_1" xfId="624"/>
    <cellStyle name="Currency [0]_Division-US$" xfId="625"/>
    <cellStyle name="Currency [0]_Dowell C1b" xfId="626"/>
    <cellStyle name="Currency [0]_Dowell-C1a" xfId="627"/>
    <cellStyle name="Currency [0]_ECT_Form" xfId="628"/>
    <cellStyle name="Currency [0]_ECT_Form_005" xfId="629"/>
    <cellStyle name="Currency [0]_ECT_Form_600" xfId="630"/>
    <cellStyle name="Currency [0]_ECT_Form_608" xfId="631"/>
    <cellStyle name="Currency [0]_ECT_Form_727" xfId="632"/>
    <cellStyle name="Currency [0]_ECT_Form_777" xfId="633"/>
    <cellStyle name="Currency [0]_ECT_Form_BS" xfId="634"/>
    <cellStyle name="Currency [0]_ECT_Form_GRP" xfId="635"/>
    <cellStyle name="Currency [0]_emserdefault" xfId="636"/>
    <cellStyle name="Currency [0]_form" xfId="637"/>
    <cellStyle name="Currency [0]_FP 20 A (1)" xfId="638"/>
    <cellStyle name="Currency [0]_FP 20 A (2)" xfId="639"/>
    <cellStyle name="Currency [0]_FP-20 (App. E)" xfId="640"/>
    <cellStyle name="Currency [0]_FP-20 (App.A) " xfId="641"/>
    <cellStyle name="Currency [0]_FP-20 (App.D)" xfId="642"/>
    <cellStyle name="Currency [0]_FP-20(App.B)" xfId="643"/>
    <cellStyle name="Currency [0]_FP-20(C1) (a)" xfId="644"/>
    <cellStyle name="Currency [0]_FP-20(C1) (a) (2)" xfId="645"/>
    <cellStyle name="Currency [0]_FP-20(C1) (b)" xfId="646"/>
    <cellStyle name="Currency [0]_FP-20(C1) (b) " xfId="647"/>
    <cellStyle name="Currency [0]_FP-20(C1) (b) (2)" xfId="648"/>
    <cellStyle name="Currency [0]_GenAssum" xfId="649"/>
    <cellStyle name="Currency [0]_GP C1a" xfId="650"/>
    <cellStyle name="Currency [0]_GP C1b" xfId="651"/>
    <cellStyle name="Currency [0]_GP_EI_3" xfId="652"/>
    <cellStyle name="Currency [0]_GQ C1A" xfId="653"/>
    <cellStyle name="Currency [0]_GQ C1B" xfId="654"/>
    <cellStyle name="Currency [0]_HOGANGAS" xfId="655"/>
    <cellStyle name="Currency [0]_HOGANOIL" xfId="656"/>
    <cellStyle name="Currency [0]_IPM C1b" xfId="657"/>
    <cellStyle name="Currency [0]_IPMC1a" xfId="658"/>
    <cellStyle name="Currency [0]_IS-Hold" xfId="659"/>
    <cellStyle name="Currency [0]_JETEMP" xfId="660"/>
    <cellStyle name="Currency [0]_june gas estimate" xfId="661"/>
    <cellStyle name="Currency [0]_laroux" xfId="662"/>
    <cellStyle name="Currency [0]_laroux_1" xfId="663"/>
    <cellStyle name="Currency [0]_laroux_1_dimon" xfId="664"/>
    <cellStyle name="Currency [0]_laroux_1_dimon_1" xfId="665"/>
    <cellStyle name="Currency [0]_laroux_1_dimon_2" xfId="666"/>
    <cellStyle name="Currency [0]_laroux_1_dimon_Swap" xfId="667"/>
    <cellStyle name="Currency [0]_laroux_1_dimon_Swap_1" xfId="668"/>
    <cellStyle name="Currency [0]_laroux_1_dimon_Swap_2" xfId="669"/>
    <cellStyle name="Currency [0]_laroux_1_laroux" xfId="670"/>
    <cellStyle name="Currency [0]_laroux_1_laroux_1" xfId="671"/>
    <cellStyle name="Currency [0]_laroux_1_laroux_1_Swap" xfId="672"/>
    <cellStyle name="Currency [0]_laroux_1_laroux_1_Swap_1" xfId="673"/>
    <cellStyle name="Currency [0]_laroux_1_laroux_1_Swap_2" xfId="674"/>
    <cellStyle name="Currency [0]_laroux_1_laroux_dimon" xfId="675"/>
    <cellStyle name="Currency [0]_laroux_1_Locas" xfId="676"/>
    <cellStyle name="Currency [0]_laroux_1_Locas_Swap" xfId="677"/>
    <cellStyle name="Currency [0]_laroux_1_Locas_Swap_1" xfId="678"/>
    <cellStyle name="Currency [0]_laroux_1_Locas_Swap_2" xfId="679"/>
    <cellStyle name="Currency [0]_laroux_1_PLDT" xfId="680"/>
    <cellStyle name="Currency [0]_laroux_1_PLDT_Swap" xfId="681"/>
    <cellStyle name="Currency [0]_laroux_1_PLDT_Swap_1" xfId="682"/>
    <cellStyle name="Currency [0]_laroux_1_PLDT_Swap_2" xfId="683"/>
    <cellStyle name="Currency [0]_laroux_1_VERA" xfId="684"/>
    <cellStyle name="Currency [0]_laroux_1_VERA_1" xfId="685"/>
    <cellStyle name="Currency [0]_laroux_1_VIRUS-EDY" xfId="686"/>
    <cellStyle name="Currency [0]_laroux_2" xfId="687"/>
    <cellStyle name="Currency [0]_laroux_2_dimon" xfId="688"/>
    <cellStyle name="Currency [0]_laroux_2_dimon_1" xfId="689"/>
    <cellStyle name="Currency [0]_laroux_2_dimon_1_Swap" xfId="690"/>
    <cellStyle name="Currency [0]_laroux_2_dimon_1_Swap_1" xfId="691"/>
    <cellStyle name="Currency [0]_laroux_2_dimon_1_Swap_2" xfId="692"/>
    <cellStyle name="Currency [0]_laroux_2_dimon_2" xfId="693"/>
    <cellStyle name="Currency [0]_laroux_2_laroux" xfId="694"/>
    <cellStyle name="Currency [0]_laroux_2_laroux_dimon" xfId="695"/>
    <cellStyle name="Currency [0]_laroux_2_Locas" xfId="696"/>
    <cellStyle name="Currency [0]_laroux_2_PLDT" xfId="697"/>
    <cellStyle name="Currency [0]_laroux_2_Swap" xfId="698"/>
    <cellStyle name="Currency [0]_laroux_2_Swap_1" xfId="699"/>
    <cellStyle name="Currency [0]_laroux_2_VIRUS-EDY" xfId="700"/>
    <cellStyle name="Currency [0]_laroux_3" xfId="701"/>
    <cellStyle name="Currency [0]_laroux_3_dimon" xfId="702"/>
    <cellStyle name="Currency [0]_laroux_3_dimon_1" xfId="703"/>
    <cellStyle name="Currency [0]_laroux_3_dimon_1_Swap" xfId="704"/>
    <cellStyle name="Currency [0]_laroux_3_dimon_1_Swap_1" xfId="705"/>
    <cellStyle name="Currency [0]_laroux_3_dimon_1_Swap_2" xfId="706"/>
    <cellStyle name="Currency [0]_laroux_3_dimon_2" xfId="707"/>
    <cellStyle name="Currency [0]_laroux_4" xfId="708"/>
    <cellStyle name="Currency [0]_laroux_4_dimon" xfId="709"/>
    <cellStyle name="Currency [0]_laroux_4_dimon_1" xfId="710"/>
    <cellStyle name="Currency [0]_laroux_4_Hedge Strategy Comparison" xfId="711"/>
    <cellStyle name="Currency [0]_laroux_4_Hedge Strategy Comparison_Swap" xfId="712"/>
    <cellStyle name="Currency [0]_laroux_4_Hedge Strategy Comparison_Swap_1" xfId="713"/>
    <cellStyle name="Currency [0]_laroux_4_Swap" xfId="714"/>
    <cellStyle name="Currency [0]_laroux_4_Swap_1" xfId="715"/>
    <cellStyle name="Currency [0]_laroux_5" xfId="716"/>
    <cellStyle name="Currency [0]_laroux_5_Hedge Strategy Comparison" xfId="717"/>
    <cellStyle name="Currency [0]_laroux_5_Hedge Strategy Comparison_Swap" xfId="718"/>
    <cellStyle name="Currency [0]_laroux_5_Hedge Strategy Comparison_Swap_1" xfId="719"/>
    <cellStyle name="Currency [0]_laroux_5_Swap" xfId="720"/>
    <cellStyle name="Currency [0]_laroux_5_Swap_1" xfId="721"/>
    <cellStyle name="Currency [0]_laroux_6" xfId="722"/>
    <cellStyle name="Currency [0]_laroux_7" xfId="723"/>
    <cellStyle name="Currency [0]_laroux_7_Swap" xfId="724"/>
    <cellStyle name="Currency [0]_laroux_7_Swap_1" xfId="725"/>
    <cellStyle name="Currency [0]_laroux_7_Swap_2" xfId="726"/>
    <cellStyle name="Currency [0]_laroux_dimon" xfId="727"/>
    <cellStyle name="Currency [0]_laroux_dimon_1" xfId="728"/>
    <cellStyle name="Currency [0]_laroux_dimon_2" xfId="729"/>
    <cellStyle name="Currency [0]_laroux_dimon_2_Swap" xfId="730"/>
    <cellStyle name="Currency [0]_laroux_dimon_2_Swap_1" xfId="731"/>
    <cellStyle name="Currency [0]_laroux_laroux" xfId="732"/>
    <cellStyle name="Currency [0]_laroux_laroux_1" xfId="733"/>
    <cellStyle name="Currency [0]_laroux_laroux_1_dimon" xfId="734"/>
    <cellStyle name="Currency [0]_laroux_laroux_dimon" xfId="735"/>
    <cellStyle name="Currency [0]_laroux_Locas" xfId="736"/>
    <cellStyle name="Currency [0]_laroux_MATERAL2" xfId="737"/>
    <cellStyle name="Currency [0]_laroux_MATERAL2_dimon" xfId="738"/>
    <cellStyle name="Currency [0]_laroux_MATERAL2_laroux" xfId="739"/>
    <cellStyle name="Currency [0]_laroux_MATERAL2_laroux_dimon" xfId="740"/>
    <cellStyle name="Currency [0]_laroux_MATERAL2_VERA" xfId="741"/>
    <cellStyle name="Currency [0]_laroux_MATERAL2_VIRUS-EDY" xfId="742"/>
    <cellStyle name="Currency [0]_laroux_mud plant bolted" xfId="743"/>
    <cellStyle name="Currency [0]_laroux_mud plant bolted_dimon" xfId="744"/>
    <cellStyle name="Currency [0]_laroux_mud plant bolted_dimon_Swap" xfId="745"/>
    <cellStyle name="Currency [0]_laroux_mud plant bolted_dimon_Swap_1" xfId="746"/>
    <cellStyle name="Currency [0]_laroux_mud plant bolted_dimon_Swap_2" xfId="747"/>
    <cellStyle name="Currency [0]_laroux_mud plant bolted_Hedge Strategy Comparison" xfId="748"/>
    <cellStyle name="Currency [0]_laroux_mud plant bolted_Hedge Strategy Comparison_Swap" xfId="749"/>
    <cellStyle name="Currency [0]_laroux_mud plant bolted_Hedge Strategy Comparison_Swap_1" xfId="750"/>
    <cellStyle name="Currency [0]_laroux_mud plant bolted_Swap" xfId="751"/>
    <cellStyle name="Currency [0]_laroux_mud plant bolted_Swap_1" xfId="752"/>
    <cellStyle name="Currency [0]_laroux_VERA" xfId="753"/>
    <cellStyle name="Currency [0]_laroux_VERA_1" xfId="754"/>
    <cellStyle name="Currency [0]_laroux_VERA_1_Swap" xfId="755"/>
    <cellStyle name="Currency [0]_laroux_VERA_1_Swap_1" xfId="756"/>
    <cellStyle name="Currency [0]_laroux_VERA_1_Swap_2" xfId="757"/>
    <cellStyle name="Currency [0]_laroux_VIRUS-EDY" xfId="758"/>
    <cellStyle name="Currency [0]_laroux_VIRUS-EDY_Swap" xfId="759"/>
    <cellStyle name="Currency [0]_laroux_VIRUS-EDY_Swap_1" xfId="760"/>
    <cellStyle name="Currency [0]_List" xfId="761"/>
    <cellStyle name="Currency [0]_List_Swap" xfId="762"/>
    <cellStyle name="Currency [0]_List_Swap_1" xfId="763"/>
    <cellStyle name="Currency [0]_List_Swap_2" xfId="764"/>
    <cellStyle name="Currency [0]_MATERAL2" xfId="765"/>
    <cellStyle name="Currency [0]_MATERAL2_dimon" xfId="766"/>
    <cellStyle name="Currency [0]_MATERAL2_dimon_Swap" xfId="767"/>
    <cellStyle name="Currency [0]_MATERAL2_dimon_Swap_1" xfId="768"/>
    <cellStyle name="Currency [0]_MATERAL2_dimon_Swap_2" xfId="769"/>
    <cellStyle name="Currency [0]_MATERAL2_Hedge Strategy Comparison" xfId="770"/>
    <cellStyle name="Currency [0]_MATERAL2_Hedge Strategy Comparison_Swap" xfId="771"/>
    <cellStyle name="Currency [0]_MATERAL2_Hedge Strategy Comparison_Swap_1" xfId="772"/>
    <cellStyle name="Currency [0]_MATERAL2_Swap" xfId="773"/>
    <cellStyle name="Currency [0]_MATERAL2_Swap_1" xfId="774"/>
    <cellStyle name="Currency [0]_MMBtu Conversion" xfId="775"/>
    <cellStyle name="Currency [0]_monci" xfId="776"/>
    <cellStyle name="Currency [0]_mud plant bolted" xfId="777"/>
    <cellStyle name="Currency [0]_mud plant bolted_dimon" xfId="778"/>
    <cellStyle name="Currency [0]_mud plant bolted_laroux" xfId="779"/>
    <cellStyle name="Currency [0]_mud plant bolted_laroux_dimon" xfId="780"/>
    <cellStyle name="Currency [0]_mud plant bolted_VERA" xfId="781"/>
    <cellStyle name="Currency [0]_mud plant bolted_VIRUS-EDY" xfId="782"/>
    <cellStyle name="Currency [0]_Net Crude Equiv Total Chart" xfId="783"/>
    <cellStyle name="Currency [0]_NGL Chart" xfId="784"/>
    <cellStyle name="Currency [0]_NGL Cover" xfId="785"/>
    <cellStyle name="Currency [0]_Odner" xfId="786"/>
    <cellStyle name="Currency [0]_Odner (2)" xfId="787"/>
    <cellStyle name="Currency [0]_Odner (2)_Swap" xfId="788"/>
    <cellStyle name="Currency [0]_Odner (2)_Swap_1" xfId="789"/>
    <cellStyle name="Currency [0]_Odner (2)_Swap_2" xfId="790"/>
    <cellStyle name="Currency [0]_Odner (3)" xfId="791"/>
    <cellStyle name="Currency [0]_Odner (3)_Swap" xfId="792"/>
    <cellStyle name="Currency [0]_Odner (3)_Swap_1" xfId="793"/>
    <cellStyle name="Currency [0]_Odner (3)_Swap_2" xfId="794"/>
    <cellStyle name="Currency [0]_Odner_Swap" xfId="795"/>
    <cellStyle name="Currency [0]_Odner_Swap_1" xfId="796"/>
    <cellStyle name="Currency [0]_Odner_Swap_2" xfId="797"/>
    <cellStyle name="Currency [0]_Other Months" xfId="798"/>
    <cellStyle name="Currency [0]_P7APRFNL" xfId="799"/>
    <cellStyle name="Currency [0]_pbdefault" xfId="800"/>
    <cellStyle name="Currency [0]_PERSONAL" xfId="801"/>
    <cellStyle name="Currency [0]_Pink" xfId="802"/>
    <cellStyle name="Currency [0]_Plan" xfId="803"/>
    <cellStyle name="Currency [0]_Plan_Swap" xfId="804"/>
    <cellStyle name="Currency [0]_Plan_Swap_1" xfId="805"/>
    <cellStyle name="Currency [0]_Plan_Swap_2" xfId="806"/>
    <cellStyle name="Currency [0]_PLDT" xfId="807"/>
    <cellStyle name="Currency [0]_PLDT_1" xfId="808"/>
    <cellStyle name="Currency [0]_pldt_1_dimon" xfId="809"/>
    <cellStyle name="Currency [0]_pldt_Calculations" xfId="810"/>
    <cellStyle name="Currency [0]_pldt_dimon" xfId="811"/>
    <cellStyle name="Currency [0]_Position" xfId="812"/>
    <cellStyle name="Currency [0]_priccurv" xfId="813"/>
    <cellStyle name="Currency [0]_Prior Day" xfId="814"/>
    <cellStyle name="Currency [0]_Products Chart" xfId="815"/>
    <cellStyle name="Currency [0]_Products Cover" xfId="816"/>
    <cellStyle name="Currency [0]_PROFILE4" xfId="817"/>
    <cellStyle name="Currency [0]_Projects" xfId="818"/>
    <cellStyle name="Currency [0]_Projects_Swap" xfId="819"/>
    <cellStyle name="Currency [0]_Projects_Swap_1" xfId="820"/>
    <cellStyle name="Currency [0]_Projects_Swap_2" xfId="821"/>
    <cellStyle name="Currency [0]_PURCHASE" xfId="822"/>
    <cellStyle name="Currency [0]_Quarter End Months" xfId="823"/>
    <cellStyle name="Currency [0]_r1" xfId="824"/>
    <cellStyle name="Currency [0]_Resid Chart" xfId="825"/>
    <cellStyle name="Currency [0]_Resid Cover" xfId="826"/>
    <cellStyle name="Currency [0]_RFI" xfId="827"/>
    <cellStyle name="Currency [0]_RFI_1" xfId="828"/>
    <cellStyle name="Currency [0]_RFI_1_Swap" xfId="829"/>
    <cellStyle name="Currency [0]_RFI_1_Swap_1" xfId="830"/>
    <cellStyle name="Currency [0]_RFI_1_Swap_2" xfId="831"/>
    <cellStyle name="Currency [0]_Sales Order" xfId="832"/>
    <cellStyle name="Currency [0]_Sales Order_Swap" xfId="833"/>
    <cellStyle name="Currency [0]_Sales Order_Swap_1" xfId="834"/>
    <cellStyle name="Currency [0]_Sales Order_Swap_2" xfId="835"/>
    <cellStyle name="Currency [0]_Sales Order_Swap_3" xfId="836"/>
    <cellStyle name="Currency [0]_Sheet1" xfId="837"/>
    <cellStyle name="Currency [0]_Sheet1 (2)" xfId="838"/>
    <cellStyle name="Currency [0]_Snr. CO" xfId="839"/>
    <cellStyle name="Currency [0]_Snr. CO_Swap" xfId="840"/>
    <cellStyle name="Currency [0]_Snr. CO_Swap_1" xfId="841"/>
    <cellStyle name="Currency [0]_Snr. CO_Swap_2" xfId="842"/>
    <cellStyle name="Currency [0]_Subcont File" xfId="843"/>
    <cellStyle name="Currency [0]_Subcont File_Swap" xfId="844"/>
    <cellStyle name="Currency [0]_Subcont File_Swap_1" xfId="845"/>
    <cellStyle name="Currency [0]_Subcont File_Swap_2" xfId="846"/>
    <cellStyle name="Currency [0]_Summary Info" xfId="847"/>
    <cellStyle name="Currency [0]_Summary Info_Swap" xfId="848"/>
    <cellStyle name="Currency [0]_Summary Info_Swap_1" xfId="849"/>
    <cellStyle name="Currency [0]_Summary Info_Swap_2" xfId="850"/>
    <cellStyle name="Currency [0]_SUMPAGE" xfId="851"/>
    <cellStyle name="Currency [0]_VERA" xfId="852"/>
    <cellStyle name="Currency [0]_VERA_Swap" xfId="853"/>
    <cellStyle name="Currency [0]_VERA_Swap_1" xfId="854"/>
    <cellStyle name="Currency [0]_VIRUS-EDY" xfId="855"/>
    <cellStyle name="Currency [0]_VIRUS-EDY_1" xfId="856"/>
    <cellStyle name="Currency [0]_VIRUS-EDY_1_Swap" xfId="857"/>
    <cellStyle name="Currency [0]_VIRUS-EDY_1_Swap_1" xfId="858"/>
    <cellStyle name="Currency [0]_VOUCHER" xfId="859"/>
    <cellStyle name="Currency [0]_White" xfId="860"/>
    <cellStyle name="Currency [0]_WSP" xfId="861"/>
    <cellStyle name="Currency_1422V11" xfId="862"/>
    <cellStyle name="Currency_9101" xfId="863"/>
    <cellStyle name="Currency_9400" xfId="864"/>
    <cellStyle name="Currency_A" xfId="865"/>
    <cellStyle name="Currency_A_dimon" xfId="866"/>
    <cellStyle name="Currency_algasdefault" xfId="867"/>
    <cellStyle name="Currency_algasdefault_1" xfId="868"/>
    <cellStyle name="Currency_Alternative1" xfId="869"/>
    <cellStyle name="Currency_Alternative1_1" xfId="870"/>
    <cellStyle name="Currency_Alternative1_1_Swap" xfId="871"/>
    <cellStyle name="Currency_Alternative1_1_Swap_1" xfId="872"/>
    <cellStyle name="Currency_App E" xfId="873"/>
    <cellStyle name="Currency_Arapahoe" xfId="874"/>
    <cellStyle name="Currency_Assumptions" xfId="875"/>
    <cellStyle name="Currency_Assumptions_Swap" xfId="876"/>
    <cellStyle name="Currency_Assumptions_Swap_1" xfId="877"/>
    <cellStyle name="Currency_Assumptions_Swap_2" xfId="878"/>
    <cellStyle name="Currency_bahiadefault" xfId="879"/>
    <cellStyle name="Currency_bahiadefault_1" xfId="880"/>
    <cellStyle name="Currency_BFJUNCFP" xfId="881"/>
    <cellStyle name="Currency_BIGOUT" xfId="882"/>
    <cellStyle name="Currency_Book3" xfId="883"/>
    <cellStyle name="Currency_brault" xfId="884"/>
    <cellStyle name="Currency_BRFEEMAY" xfId="885"/>
    <cellStyle name="Currency_C1196" xfId="886"/>
    <cellStyle name="Currency_C4296" xfId="887"/>
    <cellStyle name="Currency_C4396" xfId="888"/>
    <cellStyle name="Currency_C4496" xfId="889"/>
    <cellStyle name="Currency_C4A296" xfId="890"/>
    <cellStyle name="Currency_C4A396" xfId="891"/>
    <cellStyle name="Currency_C4APR" xfId="892"/>
    <cellStyle name="Currency_C4AUGFIN" xfId="893"/>
    <cellStyle name="Currency_C4MAY96" xfId="894"/>
    <cellStyle name="Currency_C4Z296" xfId="895"/>
    <cellStyle name="Currency_Calculations" xfId="896"/>
    <cellStyle name="Currency_Calculations (2)" xfId="897"/>
    <cellStyle name="Currency_Calculations (2)_Swap" xfId="898"/>
    <cellStyle name="Currency_Calculations (2)_Swap_1" xfId="899"/>
    <cellStyle name="Currency_Calculations (2)_Swap_2" xfId="900"/>
    <cellStyle name="Currency_Calculations II" xfId="901"/>
    <cellStyle name="Currency_Calculations II_Swap" xfId="902"/>
    <cellStyle name="Currency_Calculations II_Swap_1" xfId="903"/>
    <cellStyle name="Currency_Calculations II_Swap_2" xfId="904"/>
    <cellStyle name="Currency_Calculations III" xfId="905"/>
    <cellStyle name="Currency_Calculations III_Swap" xfId="906"/>
    <cellStyle name="Currency_Calculations III_Swap_1" xfId="907"/>
    <cellStyle name="Currency_Calculations III_Swap_2" xfId="908"/>
    <cellStyle name="Currency_Calculations_1" xfId="909"/>
    <cellStyle name="Currency_Calculations_Swap" xfId="910"/>
    <cellStyle name="Currency_Calculations_Swap_1" xfId="911"/>
    <cellStyle name="Currency_Calculations_Swap_2" xfId="912"/>
    <cellStyle name="Currency_CAPEX" xfId="913"/>
    <cellStyle name="Currency_CAPEX94" xfId="914"/>
    <cellStyle name="Currency_Cardig GHS" xfId="915"/>
    <cellStyle name="Currency_Cash Flows" xfId="916"/>
    <cellStyle name="Currency_Cash Flows_Swap" xfId="917"/>
    <cellStyle name="Currency_Cash Flows_Swap_1" xfId="918"/>
    <cellStyle name="Currency_CCA" xfId="919"/>
    <cellStyle name="Currency_CCA_Swap" xfId="920"/>
    <cellStyle name="Currency_CCA_Swap_1" xfId="921"/>
    <cellStyle name="Currency_CF_DPR" xfId="922"/>
    <cellStyle name="Currency_Charts" xfId="923"/>
    <cellStyle name="Currency_CO444JE" xfId="924"/>
    <cellStyle name="Currency_Comm File" xfId="925"/>
    <cellStyle name="Currency_Comm File_Swap" xfId="926"/>
    <cellStyle name="Currency_Comm File_Swap_1" xfId="927"/>
    <cellStyle name="Currency_coperdefault" xfId="928"/>
    <cellStyle name="Currency_coperdefault_1" xfId="929"/>
    <cellStyle name="Currency_Cost Code" xfId="930"/>
    <cellStyle name="Currency_Cost Code_Swap" xfId="931"/>
    <cellStyle name="Currency_Cost Code_Swap_1" xfId="932"/>
    <cellStyle name="Currency_Crude Chart" xfId="933"/>
    <cellStyle name="Currency_Crude Cover" xfId="934"/>
    <cellStyle name="Currency_Cum. Back Roll Chart" xfId="935"/>
    <cellStyle name="Currency_Daily Changes" xfId="936"/>
    <cellStyle name="Currency_Daily Hedge Strips" xfId="937"/>
    <cellStyle name="Currency_DEFAULT" xfId="938"/>
    <cellStyle name="Currency_dimon" xfId="939"/>
    <cellStyle name="Currency_dimon_1" xfId="940"/>
    <cellStyle name="Currency_dimon_2" xfId="941"/>
    <cellStyle name="Currency_dimon_2_Swap" xfId="942"/>
    <cellStyle name="Currency_dimon_2_Swap_1" xfId="943"/>
    <cellStyle name="Currency_dimon_2_Swap_2" xfId="944"/>
    <cellStyle name="Currency_Division-US$" xfId="945"/>
    <cellStyle name="Currency_Dowell C1b" xfId="946"/>
    <cellStyle name="Currency_Dowell-C1a" xfId="947"/>
    <cellStyle name="Currency_ECT_Form" xfId="948"/>
    <cellStyle name="Currency_ECT_Form_005" xfId="949"/>
    <cellStyle name="Currency_ECT_Form_600" xfId="950"/>
    <cellStyle name="Currency_ECT_Form_608" xfId="951"/>
    <cellStyle name="Currency_ECT_Form_727" xfId="952"/>
    <cellStyle name="Currency_ECT_Form_777" xfId="953"/>
    <cellStyle name="Currency_ECT_Form_BS" xfId="954"/>
    <cellStyle name="Currency_ECT_Form_GRP" xfId="955"/>
    <cellStyle name="Currency_emserdefault" xfId="956"/>
    <cellStyle name="Currency_emserdefault_1" xfId="957"/>
    <cellStyle name="Currency_form" xfId="958"/>
    <cellStyle name="Currency_FP 20 A (1)" xfId="959"/>
    <cellStyle name="Currency_FP 20 A (2)" xfId="960"/>
    <cellStyle name="Currency_FP-20 (App. E)" xfId="961"/>
    <cellStyle name="Currency_FP-20 (App.A) " xfId="962"/>
    <cellStyle name="Currency_FP-20 (App.D)" xfId="963"/>
    <cellStyle name="Currency_FP-20(App.B)" xfId="964"/>
    <cellStyle name="Currency_FP-20(C1) (a)" xfId="965"/>
    <cellStyle name="Currency_FP-20(C1) (a) (2)" xfId="966"/>
    <cellStyle name="Currency_FP-20(C1) (b)" xfId="967"/>
    <cellStyle name="Currency_FP-20(C1) (b) " xfId="968"/>
    <cellStyle name="Currency_FP-20(C1) (b) (2)" xfId="969"/>
    <cellStyle name="Currency_GenAssum" xfId="970"/>
    <cellStyle name="Currency_GP C1a" xfId="971"/>
    <cellStyle name="Currency_GP C1b" xfId="972"/>
    <cellStyle name="Currency_GP_EI_3" xfId="973"/>
    <cellStyle name="Currency_GQ C1A" xfId="974"/>
    <cellStyle name="Currency_GQ C1B" xfId="975"/>
    <cellStyle name="Currency_HOGANGAS" xfId="976"/>
    <cellStyle name="Currency_HOGANOIL" xfId="977"/>
    <cellStyle name="Currency_IPM C1b" xfId="978"/>
    <cellStyle name="Currency_IPMC1a" xfId="979"/>
    <cellStyle name="Currency_IS-Hold" xfId="980"/>
    <cellStyle name="Currency_JETEMP" xfId="981"/>
    <cellStyle name="Currency_JETEMP_1" xfId="982"/>
    <cellStyle name="Currency_JETEMP_VOUCHER" xfId="983"/>
    <cellStyle name="Currency_june gas estimate" xfId="984"/>
    <cellStyle name="Currency_laroux" xfId="985"/>
    <cellStyle name="Currency_laroux_1" xfId="986"/>
    <cellStyle name="Currency_laroux_1_dimon" xfId="987"/>
    <cellStyle name="Currency_laroux_1_dimon_1" xfId="988"/>
    <cellStyle name="Currency_laroux_1_dimon_2" xfId="989"/>
    <cellStyle name="Currency_laroux_1_dimon_Swap" xfId="990"/>
    <cellStyle name="Currency_laroux_1_dimon_Swap_1" xfId="991"/>
    <cellStyle name="Currency_laroux_1_dimon_Swap_2" xfId="992"/>
    <cellStyle name="Currency_laroux_1_dimon_Swap_3" xfId="993"/>
    <cellStyle name="Currency_laroux_1_laroux" xfId="994"/>
    <cellStyle name="Currency_laroux_1_laroux_1" xfId="995"/>
    <cellStyle name="Currency_laroux_1_laroux_1_Swap" xfId="996"/>
    <cellStyle name="Currency_laroux_1_laroux_1_Swap_1" xfId="997"/>
    <cellStyle name="Currency_laroux_1_laroux_1_Swap_2" xfId="998"/>
    <cellStyle name="Currency_laroux_1_laroux_1_Swap_3" xfId="999"/>
    <cellStyle name="Currency_laroux_1_laroux_dimon" xfId="1000"/>
    <cellStyle name="Currency_laroux_1_Locas" xfId="1001"/>
    <cellStyle name="Currency_laroux_1_Locas_Swap" xfId="1002"/>
    <cellStyle name="Currency_laroux_1_Locas_Swap_1" xfId="1003"/>
    <cellStyle name="Currency_laroux_1_Locas_Swap_2" xfId="1004"/>
    <cellStyle name="Currency_laroux_1_Locas_Swap_3" xfId="1005"/>
    <cellStyle name="Currency_laroux_1_PLDT" xfId="1006"/>
    <cellStyle name="Currency_laroux_1_PLDT_Swap" xfId="1007"/>
    <cellStyle name="Currency_laroux_1_PLDT_Swap_1" xfId="1008"/>
    <cellStyle name="Currency_laroux_1_PLDT_Swap_2" xfId="1009"/>
    <cellStyle name="Currency_laroux_1_PLDT_Swap_3" xfId="1010"/>
    <cellStyle name="Currency_laroux_1_VERA" xfId="1011"/>
    <cellStyle name="Currency_laroux_1_VERA_1" xfId="1012"/>
    <cellStyle name="Currency_laroux_1_VIRUS-EDY" xfId="1013"/>
    <cellStyle name="Currency_laroux_2" xfId="1014"/>
    <cellStyle name="Currency_laroux_2_dimon" xfId="1015"/>
    <cellStyle name="Currency_laroux_2_dimon_1" xfId="1016"/>
    <cellStyle name="Currency_laroux_2_dimon_1_Swap" xfId="1017"/>
    <cellStyle name="Currency_laroux_2_dimon_1_Swap_1" xfId="1018"/>
    <cellStyle name="Currency_laroux_2_dimon_1_Swap_2" xfId="1019"/>
    <cellStyle name="Currency_laroux_2_dimon_1_Swap_3" xfId="1020"/>
    <cellStyle name="Currency_laroux_2_dimon_2" xfId="1021"/>
    <cellStyle name="Currency_laroux_2_laroux" xfId="1022"/>
    <cellStyle name="Currency_laroux_2_laroux_dimon" xfId="1023"/>
    <cellStyle name="Currency_laroux_2_Locas" xfId="1024"/>
    <cellStyle name="Currency_laroux_2_PLDT" xfId="1025"/>
    <cellStyle name="Currency_laroux_2_Swap" xfId="1026"/>
    <cellStyle name="Currency_laroux_2_Swap_1" xfId="1027"/>
    <cellStyle name="Currency_laroux_2_VIRUS-EDY" xfId="1028"/>
    <cellStyle name="Currency_laroux_3" xfId="1029"/>
    <cellStyle name="Currency_laroux_3_dimon" xfId="1030"/>
    <cellStyle name="Currency_laroux_3_dimon_1" xfId="1031"/>
    <cellStyle name="Currency_laroux_3_dimon_1_Swap" xfId="1032"/>
    <cellStyle name="Currency_laroux_3_dimon_1_Swap_1" xfId="1033"/>
    <cellStyle name="Currency_laroux_3_dimon_1_Swap_2" xfId="1034"/>
    <cellStyle name="Currency_laroux_3_dimon_1_Swap_3" xfId="1035"/>
    <cellStyle name="Currency_laroux_3_dimon_2" xfId="1036"/>
    <cellStyle name="Currency_laroux_4" xfId="1037"/>
    <cellStyle name="Currency_laroux_4_dimon" xfId="1038"/>
    <cellStyle name="Currency_laroux_4_dimon_1" xfId="1039"/>
    <cellStyle name="Currency_laroux_4_Hedge Strategy Comparison" xfId="1040"/>
    <cellStyle name="Currency_laroux_4_Hedge Strategy Comparison_Swap" xfId="1041"/>
    <cellStyle name="Currency_laroux_4_Hedge Strategy Comparison_Swap_1" xfId="1042"/>
    <cellStyle name="Currency_laroux_4_Swap" xfId="1043"/>
    <cellStyle name="Currency_laroux_4_Swap_1" xfId="1044"/>
    <cellStyle name="Currency_laroux_5" xfId="1045"/>
    <cellStyle name="Currency_laroux_5_Hedge Strategy Comparison" xfId="1046"/>
    <cellStyle name="Currency_laroux_5_Hedge Strategy Comparison_Swap" xfId="1047"/>
    <cellStyle name="Currency_laroux_5_Hedge Strategy Comparison_Swap_1" xfId="1048"/>
    <cellStyle name="Currency_laroux_5_Swap" xfId="1049"/>
    <cellStyle name="Currency_laroux_5_Swap_1" xfId="1050"/>
    <cellStyle name="Currency_laroux_6" xfId="1051"/>
    <cellStyle name="Currency_laroux_7" xfId="1052"/>
    <cellStyle name="Currency_laroux_8" xfId="1053"/>
    <cellStyle name="Currency_laroux_8_Swap" xfId="1054"/>
    <cellStyle name="Currency_laroux_8_Swap_1" xfId="1055"/>
    <cellStyle name="Currency_laroux_8_Swap_2" xfId="1056"/>
    <cellStyle name="Currency_laroux_8_Swap_3" xfId="1057"/>
    <cellStyle name="Currency_laroux_dimon" xfId="1058"/>
    <cellStyle name="Currency_laroux_dimon_1" xfId="1059"/>
    <cellStyle name="Currency_laroux_dimon_2" xfId="1060"/>
    <cellStyle name="Currency_laroux_dimon_2_Swap" xfId="1061"/>
    <cellStyle name="Currency_laroux_dimon_2_Swap_1" xfId="1062"/>
    <cellStyle name="Currency_laroux_dimon_2_Swap_2" xfId="1063"/>
    <cellStyle name="Currency_laroux_laroux" xfId="1064"/>
    <cellStyle name="Currency_laroux_laroux_1" xfId="1065"/>
    <cellStyle name="Currency_laroux_laroux_1_dimon" xfId="1066"/>
    <cellStyle name="Currency_laroux_laroux_dimon" xfId="1067"/>
    <cellStyle name="Currency_laroux_Locas" xfId="1068"/>
    <cellStyle name="Currency_laroux_VERA" xfId="1069"/>
    <cellStyle name="Currency_laroux_VERA_1" xfId="1070"/>
    <cellStyle name="Currency_laroux_VIRUS-EDY" xfId="1071"/>
    <cellStyle name="Currency_laroux_VIRUS-EDY_Swap" xfId="1072"/>
    <cellStyle name="Currency_laroux_VIRUS-EDY_Swap_1" xfId="1073"/>
    <cellStyle name="Currency_laroux_VIRUS-EDY_Swap_2" xfId="1074"/>
    <cellStyle name="Currency_List" xfId="1075"/>
    <cellStyle name="Currency_MATERAL2" xfId="1076"/>
    <cellStyle name="Currency_MATERAL2_dimon" xfId="1077"/>
    <cellStyle name="Currency_MATERAL2_dimon_Swap" xfId="1078"/>
    <cellStyle name="Currency_MATERAL2_dimon_Swap_1" xfId="1079"/>
    <cellStyle name="Currency_MATERAL2_dimon_Swap_2" xfId="1080"/>
    <cellStyle name="Currency_MATERAL2_dimon_Swap_3" xfId="1081"/>
    <cellStyle name="Currency_MATERAL2_Hedge Strategy Comparison" xfId="1082"/>
    <cellStyle name="Currency_MATERAL2_Hedge Strategy Comparison_Swap" xfId="1083"/>
    <cellStyle name="Currency_MATERAL2_Hedge Strategy Comparison_Swap_1" xfId="1084"/>
    <cellStyle name="Currency_MATERAL2_Swap" xfId="1085"/>
    <cellStyle name="Currency_MATERAL2_Swap_1" xfId="1086"/>
    <cellStyle name="Currency_MMBtu Conversion" xfId="1087"/>
    <cellStyle name="Currency_monci" xfId="1088"/>
    <cellStyle name="Currency_mud plant bolted" xfId="1089"/>
    <cellStyle name="Currency_mud plant bolted_dimon" xfId="1090"/>
    <cellStyle name="Currency_mud plant bolted_dimon_Hedge Strategy Comparison" xfId="1091"/>
    <cellStyle name="Currency_mud plant bolted_dimon_Hedge Strategy Comparison_Swap" xfId="1092"/>
    <cellStyle name="Currency_mud plant bolted_dimon_Hedge Strategy Comparison_Swap_1" xfId="1093"/>
    <cellStyle name="Currency_mud plant bolted_dimon_Swap" xfId="1094"/>
    <cellStyle name="Currency_mud plant bolted_dimon_Swap_1" xfId="1095"/>
    <cellStyle name="Currency_mud plant bolted_dimon_Swap_2" xfId="1096"/>
    <cellStyle name="Currency_mud plant bolted_Hedge Strategy Comparison" xfId="1097"/>
    <cellStyle name="Currency_mud plant bolted_Hedge Strategy Comparison_Swap" xfId="1098"/>
    <cellStyle name="Currency_mud plant bolted_Hedge Strategy Comparison_Swap_1" xfId="1099"/>
    <cellStyle name="Currency_mud plant bolted_PLDT" xfId="1100"/>
    <cellStyle name="Currency_mud plant bolted_PLDT_Swap" xfId="1101"/>
    <cellStyle name="Currency_mud plant bolted_PLDT_Swap_1" xfId="1102"/>
    <cellStyle name="Currency_mud plant bolted_PLDT_Swap_2" xfId="1103"/>
    <cellStyle name="Currency_mud plant bolted_PLDT_Swap_3" xfId="1104"/>
    <cellStyle name="Currency_mud plant bolted_Swap" xfId="1105"/>
    <cellStyle name="Currency_mud plant bolted_Swap_1" xfId="1106"/>
    <cellStyle name="Currency_mud plant bolted_Swap_2" xfId="1107"/>
    <cellStyle name="Currency_mud plant bolted_VERA" xfId="1108"/>
    <cellStyle name="Currency_mud plant bolted_VERA_1" xfId="1109"/>
    <cellStyle name="Currency_mud plant bolted_VERA_1_Swap" xfId="1110"/>
    <cellStyle name="Currency_mud plant bolted_VERA_1_Swap_1" xfId="1111"/>
    <cellStyle name="Currency_mud plant bolted_VERA_Swap" xfId="1112"/>
    <cellStyle name="Currency_mud plant bolted_VERA_Swap_1" xfId="1113"/>
    <cellStyle name="Currency_mud plant bolted_VERA_Swap_2" xfId="1114"/>
    <cellStyle name="Currency_Net Crude Equiv Total Chart" xfId="1115"/>
    <cellStyle name="Currency_NGL Chart" xfId="1116"/>
    <cellStyle name="Currency_NGL Cover" xfId="1117"/>
    <cellStyle name="Currency_Odner" xfId="1118"/>
    <cellStyle name="Currency_Odner (2)" xfId="1119"/>
    <cellStyle name="Currency_Odner (2)_Swap" xfId="1120"/>
    <cellStyle name="Currency_Odner (2)_Swap_1" xfId="1121"/>
    <cellStyle name="Currency_Odner (3)" xfId="1122"/>
    <cellStyle name="Currency_Odner (3)_Swap" xfId="1123"/>
    <cellStyle name="Currency_Odner (3)_Swap_1" xfId="1124"/>
    <cellStyle name="Currency_Odner_Swap" xfId="1125"/>
    <cellStyle name="Currency_Odner_Swap_1" xfId="1126"/>
    <cellStyle name="Currency_Other Months" xfId="1127"/>
    <cellStyle name="Currency_P7APRFNL" xfId="1128"/>
    <cellStyle name="Currency_pbdefault" xfId="1129"/>
    <cellStyle name="Currency_pbdefault_1" xfId="1130"/>
    <cellStyle name="Currency_PERSONAL" xfId="1131"/>
    <cellStyle name="Currency_Pink" xfId="1132"/>
    <cellStyle name="Currency_Plan" xfId="1133"/>
    <cellStyle name="Currency_Plan_Swap" xfId="1134"/>
    <cellStyle name="Currency_Plan_Swap_1" xfId="1135"/>
    <cellStyle name="Currency_PLDT" xfId="1136"/>
    <cellStyle name="Currency_PLDT_1" xfId="1137"/>
    <cellStyle name="Currency_pldt_1_dimon" xfId="1138"/>
    <cellStyle name="Currency_pldt_Calculations" xfId="1139"/>
    <cellStyle name="Currency_pldt_dimon" xfId="1140"/>
    <cellStyle name="Currency_Position" xfId="1141"/>
    <cellStyle name="Currency_priccurv" xfId="1142"/>
    <cellStyle name="Currency_Prior Day" xfId="1143"/>
    <cellStyle name="Currency_Products Chart" xfId="1144"/>
    <cellStyle name="Currency_Products Cover" xfId="1145"/>
    <cellStyle name="Currency_PROFILE4" xfId="1146"/>
    <cellStyle name="Currency_Projects" xfId="1147"/>
    <cellStyle name="Currency_Projects_Swap" xfId="1148"/>
    <cellStyle name="Currency_Projects_Swap_1" xfId="1149"/>
    <cellStyle name="Currency_PURCHASE" xfId="1150"/>
    <cellStyle name="Currency_Quarter End Months" xfId="1151"/>
    <cellStyle name="Currency_r1" xfId="1152"/>
    <cellStyle name="Currency_Resid Chart" xfId="1153"/>
    <cellStyle name="Currency_Resid Cover" xfId="1154"/>
    <cellStyle name="Currency_RFI" xfId="1155"/>
    <cellStyle name="Currency_RFI_1" xfId="1156"/>
    <cellStyle name="Currency_RFI_1_Swap" xfId="1157"/>
    <cellStyle name="Currency_RFI_1_Swap_1" xfId="1158"/>
    <cellStyle name="Currency_Sales Order" xfId="1159"/>
    <cellStyle name="Currency_Sales Order_Swap" xfId="1160"/>
    <cellStyle name="Currency_Sales Order_Swap_1" xfId="1161"/>
    <cellStyle name="Currency_Sheet1" xfId="1162"/>
    <cellStyle name="Currency_Sheet1 (2)" xfId="1163"/>
    <cellStyle name="Currency_Snr. CO" xfId="1164"/>
    <cellStyle name="Currency_Snr. CO_Swap" xfId="1165"/>
    <cellStyle name="Currency_Snr. CO_Swap_1" xfId="1166"/>
    <cellStyle name="Currency_Subcont File" xfId="1167"/>
    <cellStyle name="Currency_Subcont File_Swap" xfId="1168"/>
    <cellStyle name="Currency_Subcont File_Swap_1" xfId="1169"/>
    <cellStyle name="Currency_Summary Info" xfId="1170"/>
    <cellStyle name="Currency_Summary Info_Swap" xfId="1171"/>
    <cellStyle name="Currency_Summary Info_Swap_1" xfId="1172"/>
    <cellStyle name="Currency_SUMPAGE" xfId="1173"/>
    <cellStyle name="Currency_VERA" xfId="1174"/>
    <cellStyle name="Currency_VERA_Swap" xfId="1175"/>
    <cellStyle name="Currency_VERA_Swap_1" xfId="1176"/>
    <cellStyle name="Currency_VERA_Swap_2" xfId="1177"/>
    <cellStyle name="Currency_VIRUS-EDY" xfId="1178"/>
    <cellStyle name="Currency_VIRUS-EDY_1" xfId="1179"/>
    <cellStyle name="Currency_VIRUS-EDY_1_Swap" xfId="1180"/>
    <cellStyle name="Currency_VIRUS-EDY_1_Swap_1" xfId="1181"/>
    <cellStyle name="Currency_VIRUS-EDY_1_Swap_2" xfId="1182"/>
    <cellStyle name="Currency_VOUCHER" xfId="1183"/>
    <cellStyle name="Currency_White" xfId="1184"/>
    <cellStyle name="Currency_WSP" xfId="1185"/>
    <cellStyle name="Date" xfId="1186"/>
    <cellStyle name="Fixed" xfId="1187"/>
    <cellStyle name="Fixed_Swap" xfId="1188"/>
    <cellStyle name="Fixed_Swap_1" xfId="1189"/>
    <cellStyle name="HEADER" xfId="1190"/>
    <cellStyle name="Heading 1" xfId="1191"/>
    <cellStyle name="Heading2" xfId="1192"/>
    <cellStyle name="HIGHLIGHT" xfId="1193"/>
    <cellStyle name="Hyperlink 1" xfId="1194"/>
    <cellStyle name="NewFill" xfId="1195"/>
    <cellStyle name="Normal - Style1" xfId="1196"/>
    <cellStyle name="Normal_1422V11" xfId="1197"/>
    <cellStyle name="Normal_2 DAY" xfId="1198"/>
    <cellStyle name="Normal_2 Days Prior" xfId="1199"/>
    <cellStyle name="Normal_20196" xfId="1200"/>
    <cellStyle name="Normal_3 days prior" xfId="1201"/>
    <cellStyle name="Normal_4 days prior" xfId="1202"/>
    <cellStyle name="Normal_4018fin" xfId="1203"/>
    <cellStyle name="Normal_4021fin" xfId="1204"/>
    <cellStyle name="Normal_5 DAY" xfId="1205"/>
    <cellStyle name="Normal_A" xfId="1206"/>
    <cellStyle name="Normal_A (2)" xfId="1207"/>
    <cellStyle name="Normal_A_CurvMI" xfId="1208"/>
    <cellStyle name="Normal_A_dimon" xfId="1209"/>
    <cellStyle name="Normal_A_intra" xfId="1210"/>
    <cellStyle name="Normal_A_Swap" xfId="1211"/>
    <cellStyle name="Normal_A_VERA" xfId="1212"/>
    <cellStyle name="Normal_algasdefault" xfId="1213"/>
    <cellStyle name="Normal_algasdefault_1" xfId="1214"/>
    <cellStyle name="Normal_Alternative1" xfId="1215"/>
    <cellStyle name="Normal_Alternative1_1" xfId="1216"/>
    <cellStyle name="Normal_AOPS" xfId="1217"/>
    <cellStyle name="Normal_App E" xfId="1218"/>
    <cellStyle name="Normal_Arapahoe" xfId="1219"/>
    <cellStyle name="Normal_Assumptions" xfId="1220"/>
    <cellStyle name="Normal_B" xfId="1221"/>
    <cellStyle name="Normal_bahiadefault" xfId="1222"/>
    <cellStyle name="Normal_bahiadefault_1" xfId="1223"/>
    <cellStyle name="Normal_BIGOUT" xfId="1224"/>
    <cellStyle name="Normal_Book3" xfId="1225"/>
    <cellStyle name="Normal_BREPAIR" xfId="1226"/>
    <cellStyle name="Normal_C" xfId="1227"/>
    <cellStyle name="Normal_c2" xfId="1228"/>
    <cellStyle name="Normal_c2 " xfId="1229"/>
    <cellStyle name="Normal_C2 1" xfId="1230"/>
    <cellStyle name="Normal_C2 5" xfId="1231"/>
    <cellStyle name="Normal_c3" xfId="1232"/>
    <cellStyle name="Normal_C3 1" xfId="1233"/>
    <cellStyle name="Normal_C3 5" xfId="1234"/>
    <cellStyle name="Normal_C4AUGFIN" xfId="1235"/>
    <cellStyle name="Normal_c5+" xfId="1236"/>
    <cellStyle name="Normal_C5+ 1" xfId="1237"/>
    <cellStyle name="Normal_C5+ 5" xfId="1238"/>
    <cellStyle name="Normal_Calculations" xfId="1239"/>
    <cellStyle name="Normal_Calculations (2)" xfId="1240"/>
    <cellStyle name="Normal_Calculations II" xfId="1241"/>
    <cellStyle name="Normal_Calculations II_1" xfId="1242"/>
    <cellStyle name="Normal_Calculations III" xfId="1243"/>
    <cellStyle name="Normal_Calculations_1" xfId="1244"/>
    <cellStyle name="Normal_Calculations_2" xfId="1245"/>
    <cellStyle name="Normal_CAPEX" xfId="1246"/>
    <cellStyle name="Normal_CAPEX2" xfId="1247"/>
    <cellStyle name="Normal_CAPEX94" xfId="1248"/>
    <cellStyle name="Normal_CAPEX_VERA" xfId="1249"/>
    <cellStyle name="Normal_Cardig GHS" xfId="1250"/>
    <cellStyle name="Normal_Cash Flows" xfId="1251"/>
    <cellStyle name="Normal_ccentanrla" xfId="1252"/>
    <cellStyle name="Normal_Certs Q2" xfId="1253"/>
    <cellStyle name="Normal_Certs Q2 (2)" xfId="1254"/>
    <cellStyle name="Normal_CFMACROS.XLM" xfId="1255"/>
    <cellStyle name="Normal_CFMODEL.XLS" xfId="1256"/>
    <cellStyle name="Normal_Co-wide Monthly" xfId="1257"/>
    <cellStyle name="Normal_CO444JE" xfId="1258"/>
    <cellStyle name="Normal_Codes2" xfId="1259"/>
    <cellStyle name="Normal_COMOTH" xfId="1260"/>
    <cellStyle name="Normal_Compare" xfId="1261"/>
    <cellStyle name="Normal_coperdefault" xfId="1262"/>
    <cellStyle name="Normal_coperdefault_1" xfId="1263"/>
    <cellStyle name="Normal_Cost Code" xfId="1264"/>
    <cellStyle name="Normal_Costs" xfId="1265"/>
    <cellStyle name="Normal_Crude &amp; Resid" xfId="1266"/>
    <cellStyle name="Normal_Curves" xfId="1267"/>
    <cellStyle name="Normal_Curves_Codes" xfId="1268"/>
    <cellStyle name="Normal_Curves_Curve" xfId="1269"/>
    <cellStyle name="Normal_Curves_CurvMI" xfId="1270"/>
    <cellStyle name="Normal_Curves_Input" xfId="1271"/>
    <cellStyle name="Normal_Curves_m1" xfId="1272"/>
    <cellStyle name="Normal_Curves_Module1" xfId="1273"/>
    <cellStyle name="Normal_Curves_Tables" xfId="1274"/>
    <cellStyle name="Normal_D" xfId="1275"/>
    <cellStyle name="Normal_Daily" xfId="1276"/>
    <cellStyle name="Normal_Daily Changes" xfId="1277"/>
    <cellStyle name="Normal_Daily Changes 2" xfId="1278"/>
    <cellStyle name="Normal_Daily Changes_1" xfId="1279"/>
    <cellStyle name="Normal_Data" xfId="1280"/>
    <cellStyle name="Normal_Data_1" xfId="1281"/>
    <cellStyle name="Normal_Deals" xfId="1282"/>
    <cellStyle name="Normal_DEFAULT" xfId="1283"/>
    <cellStyle name="Normal_Dialog1" xfId="1284"/>
    <cellStyle name="Normal_Dialog1_1" xfId="1285"/>
    <cellStyle name="Normal_Dialog1_2" xfId="1286"/>
    <cellStyle name="Normal_dimon" xfId="1287"/>
    <cellStyle name="Normal_dimon_1" xfId="1288"/>
    <cellStyle name="Normal_dimon_2" xfId="1289"/>
    <cellStyle name="Normal_dimon_3" xfId="1290"/>
    <cellStyle name="Normal_DIV" xfId="1291"/>
    <cellStyle name="Normal_dlgPostID" xfId="1292"/>
    <cellStyle name="Normal_Dowell C1b" xfId="1293"/>
    <cellStyle name="Normal_Dowell-C1a" xfId="1294"/>
    <cellStyle name="Normal_E" xfId="1295"/>
    <cellStyle name="Normal_ECT_Form" xfId="1296"/>
    <cellStyle name="Normal_ECT_Form_005" xfId="1297"/>
    <cellStyle name="Normal_ECT_Form_600" xfId="1298"/>
    <cellStyle name="Normal_ECT_Form_608" xfId="1299"/>
    <cellStyle name="Normal_ECT_Form_727" xfId="1300"/>
    <cellStyle name="Normal_ECT_Form_777" xfId="1301"/>
    <cellStyle name="Normal_ECT_Form_BS" xfId="1302"/>
    <cellStyle name="Normal_ECT_Form_GRP" xfId="1303"/>
    <cellStyle name="Normal_emserdefault" xfId="1304"/>
    <cellStyle name="Normal_emserdefault_1" xfId="1305"/>
    <cellStyle name="Normal_EQCON" xfId="1306"/>
    <cellStyle name="Normal_F" xfId="1307"/>
    <cellStyle name="Normal_FP 20 A (1)" xfId="1308"/>
    <cellStyle name="Normal_FP 20 A (2)" xfId="1309"/>
    <cellStyle name="Normal_FP-20 (App. E)" xfId="1310"/>
    <cellStyle name="Normal_FP-20 (App.A) " xfId="1311"/>
    <cellStyle name="Normal_FP-20 (App.A) _1" xfId="1312"/>
    <cellStyle name="Normal_FP-20(C1) (a)" xfId="1313"/>
    <cellStyle name="Normal_FP-20(C1) (a) (2)" xfId="1314"/>
    <cellStyle name="Normal_FP-20(C1) (a)_1" xfId="1315"/>
    <cellStyle name="Normal_FP-20(C1) (b)" xfId="1316"/>
    <cellStyle name="Normal_FP-20(C1) (b) " xfId="1317"/>
    <cellStyle name="Normal_FP-20(C1) (b) (2)" xfId="1318"/>
    <cellStyle name="Normal_FP-20(C1) (e)" xfId="1319"/>
    <cellStyle name="Normal_FP20_C1A" xfId="1320"/>
    <cellStyle name="Normal_FP20_C1B" xfId="1321"/>
    <cellStyle name="Normal_FRAC" xfId="1322"/>
    <cellStyle name="Normal_frac " xfId="1323"/>
    <cellStyle name="Normal_G" xfId="1324"/>
    <cellStyle name="Normal_GE03" xfId="1325"/>
    <cellStyle name="Normal_GE04" xfId="1326"/>
    <cellStyle name="Normal_GenAssum" xfId="1327"/>
    <cellStyle name="Normal_GP C1a" xfId="1328"/>
    <cellStyle name="Normal_GP C1b" xfId="1329"/>
    <cellStyle name="Normal_GP_EI_3" xfId="1330"/>
    <cellStyle name="Normal_GQ C1A" xfId="1331"/>
    <cellStyle name="Normal_GQ C1B" xfId="1332"/>
    <cellStyle name="Normal_HC" xfId="1333"/>
    <cellStyle name="Normal_HOGANGAS" xfId="1334"/>
    <cellStyle name="Normal_HOGANOIL" xfId="1335"/>
    <cellStyle name="Normal_ic4" xfId="1336"/>
    <cellStyle name="Normal_IC4 1" xfId="1337"/>
    <cellStyle name="Normal_IC4 5" xfId="1338"/>
    <cellStyle name="Normal_Igobox" xfId="1339"/>
    <cellStyle name="Normal_Igobox_1" xfId="1340"/>
    <cellStyle name="Normal_Igobox_2" xfId="1341"/>
    <cellStyle name="Normal_Igobox_Imacros" xfId="1342"/>
    <cellStyle name="Normal_Igobox_IPP" xfId="1343"/>
    <cellStyle name="Normal_Igobox_Iprintbox" xfId="1344"/>
    <cellStyle name="Normal_Imacros" xfId="1345"/>
    <cellStyle name="Normal_Imacros_1" xfId="1346"/>
    <cellStyle name="Normal_Imacros_2" xfId="1347"/>
    <cellStyle name="Normal_Input" xfId="1348"/>
    <cellStyle name="Normal_INPUT_1" xfId="1349"/>
    <cellStyle name="Normal_Input_CurvMI" xfId="1350"/>
    <cellStyle name="Normal_INPUT_GenAssum" xfId="1351"/>
    <cellStyle name="Normal_Input_intra" xfId="1352"/>
    <cellStyle name="Normal_Input_Swap" xfId="1353"/>
    <cellStyle name="Normal_Inputs" xfId="1354"/>
    <cellStyle name="Normal_intra" xfId="1355"/>
    <cellStyle name="Normal_INVREV" xfId="1356"/>
    <cellStyle name="Normal_IPM C1b" xfId="1357"/>
    <cellStyle name="Normal_IPMC1a" xfId="1358"/>
    <cellStyle name="Normal_IPP" xfId="1359"/>
    <cellStyle name="Normal_IPP_1" xfId="1360"/>
    <cellStyle name="Normal_IPP_1_Igobox" xfId="1361"/>
    <cellStyle name="Normal_IPP_1_Imacros" xfId="1362"/>
    <cellStyle name="Normal_IPP_1_Iprintbox" xfId="1363"/>
    <cellStyle name="Normal_IPP_2" xfId="1364"/>
    <cellStyle name="Normal_Iprintbox" xfId="1365"/>
    <cellStyle name="Normal_Iprintbox_1" xfId="1366"/>
    <cellStyle name="Normal_Iprintbox_2" xfId="1367"/>
    <cellStyle name="Normal_IS-Hold" xfId="1368"/>
    <cellStyle name="Normal_Iterbox" xfId="1369"/>
    <cellStyle name="Normal_JETEMP" xfId="1370"/>
    <cellStyle name="Normal_JETEMP_1" xfId="1371"/>
    <cellStyle name="Normal_JETEMP_VOUCHER" xfId="1372"/>
    <cellStyle name="Normal_laroux" xfId="1373"/>
    <cellStyle name="Normal_laroux_1" xfId="1374"/>
    <cellStyle name="Normal_laroux_1_dimon" xfId="1375"/>
    <cellStyle name="Normal_laroux_1_dimon_1" xfId="1376"/>
    <cellStyle name="Normal_laroux_1_laroux" xfId="1377"/>
    <cellStyle name="Normal_laroux_1_laroux_1" xfId="1378"/>
    <cellStyle name="Normal_laroux_1_laroux_1_Swap" xfId="1379"/>
    <cellStyle name="Normal_laroux_1_laroux_1_Swap_1" xfId="1380"/>
    <cellStyle name="Normal_laroux_1_laroux_2" xfId="1381"/>
    <cellStyle name="Normal_laroux_1_Locas" xfId="1382"/>
    <cellStyle name="Normal_laroux_1_Locas_1" xfId="1383"/>
    <cellStyle name="Normal_laroux_1_PLDT" xfId="1384"/>
    <cellStyle name="Normal_laroux_1_VERA" xfId="1385"/>
    <cellStyle name="Normal_laroux_1_VERA_1" xfId="1386"/>
    <cellStyle name="Normal_laroux_1_VIRUS-EDY" xfId="1387"/>
    <cellStyle name="Normal_laroux_2" xfId="1388"/>
    <cellStyle name="Normal_laroux_2_dimon" xfId="1389"/>
    <cellStyle name="Normal_laroux_2_dimon_1" xfId="1390"/>
    <cellStyle name="Normal_laroux_2_dimon_2" xfId="1391"/>
    <cellStyle name="Normal_laroux_2_laroux" xfId="1392"/>
    <cellStyle name="Normal_laroux_2_laroux_1" xfId="1393"/>
    <cellStyle name="Normal_laroux_2_laroux_2" xfId="1394"/>
    <cellStyle name="Normal_laroux_2_Locas" xfId="1395"/>
    <cellStyle name="Normal_laroux_2_Locas_1" xfId="1396"/>
    <cellStyle name="Normal_laroux_2_VIRUS-EDY" xfId="1397"/>
    <cellStyle name="Normal_laroux_3" xfId="1398"/>
    <cellStyle name="Normal_laroux_3_dimon" xfId="1399"/>
    <cellStyle name="Normal_laroux_3_dimon_1" xfId="1400"/>
    <cellStyle name="Normal_laroux_3_dimon_2" xfId="1401"/>
    <cellStyle name="Normal_laroux_3_dimon_3" xfId="1402"/>
    <cellStyle name="Normal_laroux_3_laroux" xfId="1403"/>
    <cellStyle name="Normal_laroux_3_laroux_1" xfId="1404"/>
    <cellStyle name="Normal_laroux_3_laroux_2" xfId="1405"/>
    <cellStyle name="Normal_laroux_3_Locas" xfId="1406"/>
    <cellStyle name="Normal_laroux_3_PLDT" xfId="1407"/>
    <cellStyle name="Normal_laroux_3_VERA" xfId="1408"/>
    <cellStyle name="Normal_laroux_3_VERA_1" xfId="1409"/>
    <cellStyle name="Normal_laroux_3_VIRUS-EDY" xfId="1410"/>
    <cellStyle name="Normal_laroux_4" xfId="1411"/>
    <cellStyle name="Normal_laroux_4_dimon" xfId="1412"/>
    <cellStyle name="Normal_laroux_4_dimon_1" xfId="1413"/>
    <cellStyle name="Normal_laroux_4_dimon_2" xfId="1414"/>
    <cellStyle name="Normal_laroux_4_laroux" xfId="1415"/>
    <cellStyle name="Normal_laroux_4_laroux_1" xfId="1416"/>
    <cellStyle name="Normal_laroux_4_laroux_2" xfId="1417"/>
    <cellStyle name="Normal_laroux_4_PLDT" xfId="1418"/>
    <cellStyle name="Normal_laroux_4_VERA" xfId="1419"/>
    <cellStyle name="Normal_laroux_4_VIRUS-EDY" xfId="1420"/>
    <cellStyle name="Normal_laroux_5" xfId="1421"/>
    <cellStyle name="Normal_laroux_5_dimon" xfId="1422"/>
    <cellStyle name="Normal_laroux_5_dimon_1" xfId="1423"/>
    <cellStyle name="Normal_laroux_5_dimon_2" xfId="1424"/>
    <cellStyle name="Normal_laroux_5_laroux" xfId="1425"/>
    <cellStyle name="Normal_laroux_5_laroux_1" xfId="1426"/>
    <cellStyle name="Normal_laroux_5_laroux_2" xfId="1427"/>
    <cellStyle name="Normal_laroux_5_PLDT" xfId="1428"/>
    <cellStyle name="Normal_laroux_5_VERA" xfId="1429"/>
    <cellStyle name="Normal_laroux_5_VIRUS-EDY" xfId="1430"/>
    <cellStyle name="Normal_laroux_6" xfId="1431"/>
    <cellStyle name="Normal_laroux_6_dimon" xfId="1432"/>
    <cellStyle name="Normal_laroux_6_dimon_1" xfId="1433"/>
    <cellStyle name="Normal_laroux_6_dimon_2" xfId="1434"/>
    <cellStyle name="Normal_laroux_6_laroux" xfId="1435"/>
    <cellStyle name="Normal_laroux_6_laroux_1" xfId="1436"/>
    <cellStyle name="Normal_laroux_6_PLDT" xfId="1437"/>
    <cellStyle name="Normal_laroux_6_VERA" xfId="1438"/>
    <cellStyle name="Normal_laroux_6_VIRUS-EDY" xfId="1439"/>
    <cellStyle name="Normal_laroux_7" xfId="1440"/>
    <cellStyle name="Normal_laroux_7_dimon" xfId="1441"/>
    <cellStyle name="Normal_laroux_7_dimon_1" xfId="1442"/>
    <cellStyle name="Normal_laroux_7_laroux" xfId="1443"/>
    <cellStyle name="Normal_laroux_7_VERA" xfId="1444"/>
    <cellStyle name="Normal_laroux_7_VIRUS-EDY" xfId="1445"/>
    <cellStyle name="Normal_laroux_8" xfId="1446"/>
    <cellStyle name="Normal_laroux_8_dimon" xfId="1447"/>
    <cellStyle name="Normal_laroux_8_VERA" xfId="1448"/>
    <cellStyle name="Normal_laroux_9" xfId="1449"/>
    <cellStyle name="Normal_laroux_9_dimon" xfId="1450"/>
    <cellStyle name="Normal_laroux_A" xfId="1451"/>
    <cellStyle name="Normal_laroux_B" xfId="1452"/>
    <cellStyle name="Normal_laroux_C" xfId="1453"/>
    <cellStyle name="Normal_laroux_D" xfId="1454"/>
    <cellStyle name="Normal_laroux_dimon" xfId="1455"/>
    <cellStyle name="Normal_laroux_dimon_1" xfId="1456"/>
    <cellStyle name="Normal_laroux_dimon_2" xfId="1457"/>
    <cellStyle name="Normal_laroux_dimon_3" xfId="1458"/>
    <cellStyle name="Normal_laroux_dimon_4" xfId="1459"/>
    <cellStyle name="Normal_laroux_laroux" xfId="1460"/>
    <cellStyle name="Normal_laroux_laroux_1" xfId="1461"/>
    <cellStyle name="Normal_laroux_laroux_2" xfId="1462"/>
    <cellStyle name="Normal_laroux_Locas" xfId="1463"/>
    <cellStyle name="Normal_laroux_PLDT" xfId="1464"/>
    <cellStyle name="Normal_laroux_VERA" xfId="1465"/>
    <cellStyle name="Normal_laroux_VERA_1" xfId="1466"/>
    <cellStyle name="Normal_laroux_VIRUS-EDY" xfId="1467"/>
    <cellStyle name="Normal_Liquids Book Origination" xfId="1468"/>
    <cellStyle name="Normal_List" xfId="1469"/>
    <cellStyle name="Normal_Locas" xfId="1470"/>
    <cellStyle name="Normal_Locas_1" xfId="1471"/>
    <cellStyle name="Normal_m1" xfId="1472"/>
    <cellStyle name="Normal_MAJREP" xfId="1473"/>
    <cellStyle name="Normal_MATERAL2" xfId="1474"/>
    <cellStyle name="Normal_mdlCode" xfId="1475"/>
    <cellStyle name="Normal_MID CURVE" xfId="1476"/>
    <cellStyle name="Normal_MMBtu Conversion" xfId="1477"/>
    <cellStyle name="Normal_MMBtu Conversion_Dialog1" xfId="1478"/>
    <cellStyle name="Normal_Module1" xfId="1479"/>
    <cellStyle name="Normal_Module1 (2)" xfId="1480"/>
    <cellStyle name="Normal_Module1 (2)_1" xfId="1481"/>
    <cellStyle name="Normal_monci" xfId="1482"/>
    <cellStyle name="Normal_MONTHLY" xfId="1483"/>
    <cellStyle name="Normal_MOR  - Supp" xfId="1484"/>
    <cellStyle name="Normal_MTBE" xfId="1485"/>
    <cellStyle name="Normal_mtbe " xfId="1486"/>
    <cellStyle name="Normal_mud plant bolted" xfId="1487"/>
    <cellStyle name="Normal_Multikarya" xfId="1488"/>
    <cellStyle name="Normal_nc4" xfId="1489"/>
    <cellStyle name="Normal_NC4 1" xfId="1490"/>
    <cellStyle name="Normal_NC4 5" xfId="1491"/>
    <cellStyle name="Normal_NGL" xfId="1492"/>
    <cellStyle name="Normal_OPSTAT" xfId="1493"/>
    <cellStyle name="Normal_Other Months" xfId="1494"/>
    <cellStyle name="Normal_P&amp;L" xfId="1495"/>
    <cellStyle name="Normal_pbdefault" xfId="1496"/>
    <cellStyle name="Normal_pbdefault_1" xfId="1497"/>
    <cellStyle name="Normal_PERMANT.XLS" xfId="1498"/>
    <cellStyle name="Normal_PERSONAL" xfId="1499"/>
    <cellStyle name="Normal_PERSONAL_dimon" xfId="1500"/>
    <cellStyle name="Normal_PERSONAL_Locas" xfId="1501"/>
    <cellStyle name="Normal_Pink" xfId="1502"/>
    <cellStyle name="Normal_PLDT" xfId="1503"/>
    <cellStyle name="Normal_PLDT_1" xfId="1504"/>
    <cellStyle name="Normal_pldt_1_Calculations" xfId="1505"/>
    <cellStyle name="Normal_PLDT_2" xfId="1506"/>
    <cellStyle name="Normal_pldt_2_Calculations" xfId="1507"/>
    <cellStyle name="Normal_pldt_2_dimon" xfId="1508"/>
    <cellStyle name="Normal_pldt_3" xfId="1509"/>
    <cellStyle name="Normal_pldt_4" xfId="1510"/>
    <cellStyle name="Normal_PLDT_4_dimon" xfId="1511"/>
    <cellStyle name="Normal_pldt_Calculations" xfId="1512"/>
    <cellStyle name="Normal_PLDT_dimon" xfId="1513"/>
    <cellStyle name="Normal_Position" xfId="1514"/>
    <cellStyle name="Normal_Positions" xfId="1515"/>
    <cellStyle name="Normal_POW-Provision" xfId="1516"/>
    <cellStyle name="Normal_priccurv" xfId="1517"/>
    <cellStyle name="Normal_priccurv_1" xfId="1518"/>
    <cellStyle name="Normal_priccurv_2" xfId="1519"/>
    <cellStyle name="Normal_PrintBox (2)" xfId="1520"/>
    <cellStyle name="Normal_Prior" xfId="1521"/>
    <cellStyle name="Normal_Prior Day" xfId="1522"/>
    <cellStyle name="Normal_Prior Day 2" xfId="1523"/>
    <cellStyle name="Normal_Prod" xfId="1524"/>
    <cellStyle name="Normal_PROD SALES" xfId="1525"/>
    <cellStyle name="Normal_PROD SALES by Region Pg 2" xfId="1526"/>
    <cellStyle name="Normal_PRODUCT" xfId="1527"/>
    <cellStyle name="Normal_Production Payment model" xfId="1528"/>
    <cellStyle name="Normal_production tony" xfId="1529"/>
    <cellStyle name="Normal_PROFILE4" xfId="1530"/>
    <cellStyle name="Normal_Prudency" xfId="1531"/>
    <cellStyle name="Normal_Prudsum" xfId="1532"/>
    <cellStyle name="Normal_PURCHASE" xfId="1533"/>
    <cellStyle name="Normal_Q08-95.XLS" xfId="1534"/>
    <cellStyle name="Normal_QMM-1" xfId="1535"/>
    <cellStyle name="Normal_Quarter End Months" xfId="1536"/>
    <cellStyle name="Normal_r1" xfId="1537"/>
    <cellStyle name="Normal_Rate Server Master" xfId="1538"/>
    <cellStyle name="Normal_Report" xfId="1539"/>
    <cellStyle name="Normal_resid " xfId="1540"/>
    <cellStyle name="Normal_RESID (2)" xfId="1541"/>
    <cellStyle name="Normal_ROM" xfId="1542"/>
    <cellStyle name="Normal_RUL Current Month Price" xfId="1543"/>
    <cellStyle name="Normal_Sales Order" xfId="1544"/>
    <cellStyle name="Normal_SC COP" xfId="1545"/>
    <cellStyle name="Normal_Settle Price Lookup" xfId="1546"/>
    <cellStyle name="Normal_Sheet1" xfId="1547"/>
    <cellStyle name="Normal_Sheet1 (2)" xfId="1548"/>
    <cellStyle name="Normal_Sheet1 (2)_VERA" xfId="1549"/>
    <cellStyle name="Normal_Sheet1 (2)_VERA_1" xfId="1550"/>
    <cellStyle name="Normal_Sheet1_List" xfId="1551"/>
    <cellStyle name="Normal_Sheet1_VERA" xfId="1552"/>
    <cellStyle name="Normal_Sheet1_VERA_1" xfId="1553"/>
    <cellStyle name="Normal_SOP" xfId="1554"/>
    <cellStyle name="Normal_Storage" xfId="1555"/>
    <cellStyle name="Normal_Summary" xfId="0"/>
    <cellStyle name="Normal_SUMPAGE" xfId="0"/>
    <cellStyle name="Normal_Swap" xfId="0"/>
    <cellStyle name="Normal_Tables" xfId="0"/>
    <cellStyle name="Normal_TEMP.XLS" xfId="0"/>
    <cellStyle name="Normal_Template" xfId="0"/>
    <cellStyle name="Normal_Transport_1" xfId="0"/>
    <cellStyle name="Normal_UNL" xfId="0"/>
    <cellStyle name="Normal_unl " xfId="0"/>
    <cellStyle name="Normal_VOL" xfId="0"/>
    <cellStyle name="Normal_VOL " xfId="0"/>
    <cellStyle name="Normal_VOUCHER" xfId="0"/>
    <cellStyle name="Normal_VOUCHER.XLS" xfId="0"/>
    <cellStyle name="Normal_White" xfId="0"/>
    <cellStyle name="Normal_WSP" xfId="0"/>
    <cellStyle name="Normal_wti " xfId="0"/>
    <cellStyle name="Normal_WTI (2)" xfId="0"/>
    <cellStyle name="Normal_zodiac.prod.980518" xfId="0"/>
    <cellStyle name="Percent_PERMANT.XLS" xfId="0"/>
    <cellStyle name="Percent_TEMP.XLS" xfId="0"/>
    <cellStyle name="Percent_VOUCHER.XLS" xfId="0"/>
    <cellStyle name="Total" xfId="0"/>
    <cellStyle name="Unprot" xfId="0"/>
    <cellStyle name="Unprot$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7F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Times New Roman"/>
              </a:rPr>
              <a:t>OCTMAR (credit K.H.)</a:t>
            </a:r>
          </a:p>
        </c:rich>
      </c:tx>
      <c:layout>
        <c:manualLayout>
          <c:xMode val="edge"/>
          <c:yMode val="edge"/>
          <c:x val="0.413375585300099"/>
          <c:y val="0.01656616526406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8242444307809"/>
          <c:y val="0.079915181233848"/>
          <c:w val="0.988175755569219"/>
          <c:h val="0.8587237426280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"Merc"</c:f>
              <c:strCache>
                <c:ptCount val="1"/>
                <c:pt idx="0">
                  <c:v>Merc</c:v>
                </c:pt>
              </c:strCache>
            </c:strRef>
          </c:tx>
          <c:spPr>
            <a:solidFill>
              <a:srgbClr val="dddddd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Swap!$Q$7:$Q$8</c:f>
              <c:strCache>
                <c:ptCount val="2"/>
                <c:pt idx="0">
                  <c:v>Feb-01</c:v>
                </c:pt>
                <c:pt idx="1">
                  <c:v>Mar-01</c:v>
                </c:pt>
              </c:strCache>
            </c:strRef>
          </c:cat>
          <c:val>
            <c:numRef>
              <c:f>Swap!$R$7:$R$8</c:f>
              <c:numCache>
                <c:formatCode>0.000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ser>
          <c:idx val="1"/>
          <c:order val="1"/>
          <c:tx>
            <c:strRef>
              <c:f>"Basis"</c:f>
              <c:strCache>
                <c:ptCount val="1"/>
                <c:pt idx="0">
                  <c:v>Basis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Swap!$Q$7:$Q$8</c:f>
              <c:strCache>
                <c:ptCount val="2"/>
                <c:pt idx="0">
                  <c:v>Feb-01</c:v>
                </c:pt>
                <c:pt idx="1">
                  <c:v>Mar-01</c:v>
                </c:pt>
              </c:strCache>
            </c:strRef>
          </c:cat>
          <c:val>
            <c:numRef>
              <c:f>Swap!$S$7:$S$8</c:f>
              <c:numCache>
                <c:formatCode>0.000</c:formatCode>
                <c:ptCount val="2"/>
                <c:pt idx="0">
                  <c:v>0.23</c:v>
                </c:pt>
                <c:pt idx="1">
                  <c:v>0.245</c:v>
                </c:pt>
              </c:numCache>
            </c:numRef>
          </c:val>
        </c:ser>
        <c:gapWidth val="150"/>
        <c:overlap val="100"/>
        <c:axId val="33790477"/>
        <c:axId val="22120498"/>
      </c:barChart>
      <c:catAx>
        <c:axId val="33790477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2120498"/>
        <c:crossesAt val="2"/>
        <c:auto val="1"/>
        <c:lblAlgn val="ctr"/>
        <c:lblOffset val="100"/>
        <c:noMultiLvlLbl val="0"/>
      </c:catAx>
      <c:valAx>
        <c:axId val="22120498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3379047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63051601002696"/>
          <c:y val="0.939169041150355"/>
          <c:w val="0.777515016790427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9.49"/>
    <col collapsed="false" customWidth="true" hidden="false" outlineLevel="0" max="5" min="5" style="0" width="10.65"/>
    <col collapsed="false" customWidth="true" hidden="false" outlineLevel="0" max="6" min="6" style="0" width="9.82"/>
    <col collapsed="false" customWidth="true" hidden="false" outlineLevel="0" max="7" min="7" style="0" width="13.15"/>
    <col collapsed="false" customWidth="true" hidden="false" outlineLevel="0" max="8" min="8" style="0" width="12.99"/>
    <col collapsed="false" customWidth="true" hidden="false" outlineLevel="0" max="9" min="9" style="0" width="9.99"/>
    <col collapsed="false" customWidth="true" hidden="false" outlineLevel="0" max="10" min="10" style="0" width="9.65"/>
    <col collapsed="false" customWidth="true" hidden="false" outlineLevel="0" max="11" min="11" style="0" width="9.49"/>
    <col collapsed="false" customWidth="true" hidden="false" outlineLevel="0" max="12" min="12" style="0" width="11.65"/>
    <col collapsed="false" customWidth="true" hidden="false" outlineLevel="0" max="14" min="13" style="0" width="9.49"/>
    <col collapsed="false" customWidth="true" hidden="false" outlineLevel="0" max="17" min="16" style="0" width="10.65"/>
  </cols>
  <sheetData>
    <row r="1" customFormat="false" ht="12.75" hidden="false" customHeight="false" outlineLevel="0" collapsed="false">
      <c r="M1" s="0" t="s">
        <v>0</v>
      </c>
    </row>
    <row r="2" customFormat="false" ht="12.75" hidden="false" customHeight="false" outlineLevel="0" collapsed="false">
      <c r="E2" s="0" t="s">
        <v>1</v>
      </c>
      <c r="I2" s="0" t="s">
        <v>2</v>
      </c>
    </row>
    <row r="3" customFormat="false" ht="12.75" hidden="false" customHeight="false" outlineLevel="0" collapsed="false">
      <c r="C3" s="1" t="s">
        <v>3</v>
      </c>
      <c r="E3" s="0" t="s">
        <v>4</v>
      </c>
      <c r="I3" s="0" t="n">
        <v>1.4995</v>
      </c>
      <c r="M3" s="1" t="s">
        <v>3</v>
      </c>
    </row>
    <row r="4" customFormat="false" ht="12.75" hidden="false" customHeight="false" outlineLevel="0" collapsed="false">
      <c r="C4" s="1" t="s">
        <v>5</v>
      </c>
      <c r="G4" s="1" t="s">
        <v>6</v>
      </c>
      <c r="H4" s="1" t="s">
        <v>6</v>
      </c>
      <c r="M4" s="1" t="s">
        <v>5</v>
      </c>
      <c r="N4" s="0" t="s">
        <v>7</v>
      </c>
    </row>
    <row r="5" customFormat="false" ht="12.75" hidden="false" customHeight="false" outlineLevel="0" collapsed="false">
      <c r="B5" s="1" t="s">
        <v>8</v>
      </c>
      <c r="C5" s="1" t="s">
        <v>9</v>
      </c>
      <c r="D5" s="1" t="s">
        <v>10</v>
      </c>
      <c r="E5" s="1" t="s">
        <v>11</v>
      </c>
      <c r="F5" s="2" t="s">
        <v>12</v>
      </c>
      <c r="G5" s="1" t="s">
        <v>13</v>
      </c>
      <c r="H5" s="1" t="s">
        <v>14</v>
      </c>
      <c r="I5" s="2" t="s">
        <v>15</v>
      </c>
      <c r="J5" s="2" t="s">
        <v>16</v>
      </c>
      <c r="M5" s="1" t="s">
        <v>10</v>
      </c>
      <c r="N5" s="1" t="s">
        <v>10</v>
      </c>
    </row>
    <row r="6" customFormat="false" ht="12.75" hidden="false" customHeight="false" outlineLevel="0" collapsed="false">
      <c r="A6" s="3" t="n">
        <v>36387</v>
      </c>
      <c r="B6" s="0" t="n">
        <v>1.5</v>
      </c>
      <c r="C6" s="0" t="n">
        <v>2.25</v>
      </c>
      <c r="D6" s="4" t="n">
        <f aca="false">C6*B6/1.055056</f>
        <v>3.19888233420785</v>
      </c>
      <c r="E6" s="5" t="n">
        <v>15000</v>
      </c>
      <c r="F6" s="6" t="n">
        <f aca="false">(E6/1.055056*C6*30)-(E6*3.19/B6*30)</f>
        <v>2664.70026235573</v>
      </c>
      <c r="G6" s="5" t="n">
        <f aca="false">E6*30*3.19</f>
        <v>1435500</v>
      </c>
      <c r="H6" s="5" t="n">
        <f aca="false">G6/1.4995</f>
        <v>957319.10636879</v>
      </c>
      <c r="I6" s="5" t="n">
        <f aca="false">G6/B6-H6</f>
        <v>-319.106368789566</v>
      </c>
      <c r="J6" s="7" t="n">
        <f aca="false">F6+I6</f>
        <v>2345.59389356617</v>
      </c>
    </row>
    <row r="7" customFormat="false" ht="12.75" hidden="false" customHeight="false" outlineLevel="0" collapsed="false">
      <c r="A7" s="3" t="n">
        <v>36388</v>
      </c>
      <c r="B7" s="0" t="n">
        <v>1.5005</v>
      </c>
      <c r="C7" s="0" t="n">
        <v>2.25</v>
      </c>
      <c r="D7" s="4" t="n">
        <f aca="false">C7*B7/1.055056</f>
        <v>3.19994862831926</v>
      </c>
      <c r="E7" s="5" t="n">
        <v>15000</v>
      </c>
      <c r="F7" s="6" t="n">
        <f aca="false">(E7/1.055056*C7*30)-(E7*3.19/B7*30)</f>
        <v>2983.59396445495</v>
      </c>
      <c r="G7" s="5" t="n">
        <f aca="false">E7*30*3.19</f>
        <v>1435500</v>
      </c>
      <c r="H7" s="5" t="n">
        <f aca="false">G7/1.4995</f>
        <v>957319.10636879</v>
      </c>
      <c r="I7" s="5" t="n">
        <f aca="false">G7/B7-H7</f>
        <v>-638.000070888782</v>
      </c>
      <c r="J7" s="7" t="n">
        <f aca="false">F7+I7</f>
        <v>2345.59389356617</v>
      </c>
    </row>
    <row r="8" customFormat="false" ht="12.75" hidden="false" customHeight="false" outlineLevel="0" collapsed="false">
      <c r="A8" s="3" t="n">
        <v>36389</v>
      </c>
      <c r="B8" s="0" t="n">
        <v>1.501</v>
      </c>
      <c r="C8" s="0" t="n">
        <v>2.25</v>
      </c>
      <c r="D8" s="4" t="n">
        <f aca="false">C8*B8/1.055056</f>
        <v>3.20101492243066</v>
      </c>
      <c r="E8" s="5" t="n">
        <v>15000</v>
      </c>
      <c r="F8" s="6" t="n">
        <f aca="false">(E8/1.055056*C8*30)-(E8*3.19/B8*30)</f>
        <v>3302.27521238895</v>
      </c>
      <c r="G8" s="5" t="n">
        <f aca="false">E8*30*3.19</f>
        <v>1435500</v>
      </c>
      <c r="H8" s="5" t="n">
        <f aca="false">G8/1.4995</f>
        <v>957319.10636879</v>
      </c>
      <c r="I8" s="5" t="n">
        <f aca="false">G8/B8-H8</f>
        <v>-956.681318822783</v>
      </c>
      <c r="J8" s="7" t="n">
        <f aca="false">F8+I8</f>
        <v>2345.59389356617</v>
      </c>
    </row>
    <row r="9" customFormat="false" ht="12.75" hidden="false" customHeight="false" outlineLevel="0" collapsed="false">
      <c r="A9" s="3" t="n">
        <v>36390</v>
      </c>
      <c r="B9" s="0" t="n">
        <v>1.5015</v>
      </c>
      <c r="C9" s="0" t="n">
        <v>2.25</v>
      </c>
      <c r="D9" s="4" t="n">
        <f aca="false">C9*B9/1.055056</f>
        <v>3.20208121654206</v>
      </c>
      <c r="E9" s="5" t="n">
        <v>15000</v>
      </c>
      <c r="F9" s="6" t="n">
        <f aca="false">(E9/1.055056*C9*30)-(E9*3.19/B9*30)</f>
        <v>3620.74421839975</v>
      </c>
      <c r="G9" s="5" t="n">
        <f aca="false">E9*30*3.19</f>
        <v>1435500</v>
      </c>
      <c r="H9" s="5" t="n">
        <f aca="false">G9/1.4995</f>
        <v>957319.10636879</v>
      </c>
      <c r="I9" s="5" t="n">
        <f aca="false">G9/B9-H9</f>
        <v>-1275.15032483358</v>
      </c>
      <c r="J9" s="7" t="n">
        <f aca="false">F9+I9</f>
        <v>2345.59389356617</v>
      </c>
    </row>
    <row r="10" customFormat="false" ht="12.75" hidden="false" customHeight="false" outlineLevel="0" collapsed="false">
      <c r="A10" s="3" t="n">
        <v>36391</v>
      </c>
      <c r="B10" s="0" t="n">
        <v>1.502</v>
      </c>
      <c r="C10" s="0" t="n">
        <v>2.25</v>
      </c>
      <c r="D10" s="4" t="n">
        <f aca="false">C10*B10/1.055056</f>
        <v>3.20314751065346</v>
      </c>
      <c r="E10" s="5" t="n">
        <v>15000</v>
      </c>
      <c r="F10" s="6" t="n">
        <f aca="false">(E10/1.055056*C10*30)-(E10*3.19/B10*30)</f>
        <v>3939.00119444623</v>
      </c>
      <c r="G10" s="5" t="n">
        <f aca="false">E10*30*3.19</f>
        <v>1435500</v>
      </c>
      <c r="H10" s="5" t="n">
        <f aca="false">G10/1.4995</f>
        <v>957319.10636879</v>
      </c>
      <c r="I10" s="5" t="n">
        <f aca="false">G10/B10-H10</f>
        <v>-1593.40730088006</v>
      </c>
      <c r="J10" s="7" t="n">
        <f aca="false">F10+I10</f>
        <v>2345.59389356617</v>
      </c>
    </row>
    <row r="11" customFormat="false" ht="12.75" hidden="false" customHeight="false" outlineLevel="0" collapsed="false">
      <c r="A11" s="3" t="n">
        <v>36392</v>
      </c>
      <c r="B11" s="0" t="n">
        <v>1.5025</v>
      </c>
      <c r="C11" s="0" t="n">
        <v>2.25</v>
      </c>
      <c r="D11" s="4" t="n">
        <f aca="false">C11*B11/1.055056</f>
        <v>3.20421380476487</v>
      </c>
      <c r="E11" s="5" t="n">
        <v>15000</v>
      </c>
      <c r="F11" s="6" t="n">
        <f aca="false">(E11/1.055056*C11*30)-(E11*3.19/B11*30)</f>
        <v>4257.04635220591</v>
      </c>
      <c r="G11" s="5" t="n">
        <f aca="false">E11*30*3.19</f>
        <v>1435500</v>
      </c>
      <c r="H11" s="5" t="n">
        <f aca="false">G11/1.4995</f>
        <v>957319.10636879</v>
      </c>
      <c r="I11" s="5" t="n">
        <f aca="false">G11/B11-H11</f>
        <v>-1911.45245863975</v>
      </c>
      <c r="J11" s="7" t="n">
        <f aca="false">F11+I11</f>
        <v>2345.59389356617</v>
      </c>
    </row>
    <row r="12" customFormat="false" ht="12.75" hidden="false" customHeight="false" outlineLevel="0" collapsed="false">
      <c r="A12" s="3" t="n">
        <v>36393</v>
      </c>
      <c r="B12" s="0" t="n">
        <v>1.503</v>
      </c>
      <c r="C12" s="0" t="n">
        <v>2.25</v>
      </c>
      <c r="D12" s="4" t="n">
        <f aca="false">C12*B12/1.055056</f>
        <v>3.20528009887627</v>
      </c>
      <c r="E12" s="5" t="n">
        <v>15000</v>
      </c>
      <c r="F12" s="6" t="n">
        <f aca="false">(E12/1.055056*C12*30)-(E12*3.19/B12*30)</f>
        <v>4574.87990307424</v>
      </c>
      <c r="G12" s="5" t="n">
        <f aca="false">E12*30*3.19</f>
        <v>1435500</v>
      </c>
      <c r="H12" s="5" t="n">
        <f aca="false">G12/1.4995</f>
        <v>957319.10636879</v>
      </c>
      <c r="I12" s="5" t="n">
        <f aca="false">G12/B12-H12</f>
        <v>-2229.28600950807</v>
      </c>
      <c r="J12" s="7" t="n">
        <f aca="false">F12+I12</f>
        <v>2345.59389356617</v>
      </c>
    </row>
    <row r="13" customFormat="false" ht="12.75" hidden="false" customHeight="false" outlineLevel="0" collapsed="false">
      <c r="A13" s="3" t="n">
        <v>36394</v>
      </c>
      <c r="B13" s="0" t="n">
        <v>1.5035</v>
      </c>
      <c r="C13" s="0" t="n">
        <v>2.25</v>
      </c>
      <c r="D13" s="4" t="n">
        <f aca="false">C13*B13/1.055056</f>
        <v>3.20634639298767</v>
      </c>
      <c r="E13" s="5" t="n">
        <v>15000</v>
      </c>
      <c r="F13" s="6" t="n">
        <f aca="false">(E13/1.055056*C13*30)-(E13*3.19/B13*30)</f>
        <v>4892.50205816561</v>
      </c>
      <c r="G13" s="5" t="n">
        <f aca="false">E13*30*3.19</f>
        <v>1435500</v>
      </c>
      <c r="H13" s="5" t="n">
        <f aca="false">G13/1.4995</f>
        <v>957319.10636879</v>
      </c>
      <c r="I13" s="5" t="n">
        <f aca="false">G13/B13-H13</f>
        <v>-2546.90816459933</v>
      </c>
      <c r="J13" s="7" t="n">
        <f aca="false">F13+I13</f>
        <v>2345.59389356629</v>
      </c>
    </row>
    <row r="14" customFormat="false" ht="12.75" hidden="false" customHeight="false" outlineLevel="0" collapsed="false">
      <c r="A14" s="3" t="n">
        <v>36395</v>
      </c>
      <c r="B14" s="0" t="n">
        <v>1.504</v>
      </c>
      <c r="C14" s="0" t="n">
        <v>2.25</v>
      </c>
      <c r="D14" s="4" t="n">
        <f aca="false">C14*B14/1.055056</f>
        <v>3.20741268709907</v>
      </c>
      <c r="E14" s="5" t="n">
        <v>15000</v>
      </c>
      <c r="F14" s="6" t="n">
        <f aca="false">(E14/1.055056*C14*30)-(E14*3.19/B14*30)</f>
        <v>5209.9130283132</v>
      </c>
      <c r="G14" s="5" t="n">
        <f aca="false">E14*30*3.19</f>
        <v>1435500</v>
      </c>
      <c r="H14" s="5" t="n">
        <f aca="false">G14/1.4995</f>
        <v>957319.10636879</v>
      </c>
      <c r="I14" s="5" t="n">
        <f aca="false">G14/B14-H14</f>
        <v>-2864.31913474703</v>
      </c>
      <c r="J14" s="7" t="n">
        <f aca="false">F14+I14</f>
        <v>2345.59389356617</v>
      </c>
    </row>
    <row r="15" customFormat="false" ht="12.75" hidden="false" customHeight="false" outlineLevel="0" collapsed="false">
      <c r="A15" s="3" t="n">
        <v>36396</v>
      </c>
      <c r="B15" s="0" t="n">
        <v>1.5045</v>
      </c>
      <c r="C15" s="0" t="n">
        <v>2.25</v>
      </c>
      <c r="D15" s="4" t="n">
        <f aca="false">C15*B15/1.055056</f>
        <v>3.20847898121048</v>
      </c>
      <c r="E15" s="5" t="n">
        <v>15000</v>
      </c>
      <c r="F15" s="6" t="n">
        <f aca="false">(E15/1.055056*C15*30)-(E15*3.19/B15*30)</f>
        <v>5527.11302407063</v>
      </c>
      <c r="G15" s="5" t="n">
        <f aca="false">E15*30*3.19</f>
        <v>1435500</v>
      </c>
      <c r="H15" s="5" t="n">
        <f aca="false">G15/1.4995</f>
        <v>957319.10636879</v>
      </c>
      <c r="I15" s="5" t="n">
        <f aca="false">G15/B15-H15</f>
        <v>-3181.51913050434</v>
      </c>
      <c r="J15" s="7" t="n">
        <f aca="false">F15+I15</f>
        <v>2345.59389356629</v>
      </c>
    </row>
    <row r="16" customFormat="false" ht="12.75" hidden="false" customHeight="false" outlineLevel="0" collapsed="false">
      <c r="A16" s="3" t="n">
        <v>36397</v>
      </c>
      <c r="B16" s="0" t="n">
        <v>1.505</v>
      </c>
      <c r="C16" s="0" t="n">
        <v>2.25</v>
      </c>
      <c r="D16" s="4" t="n">
        <f aca="false">C16*B16/1.055056</f>
        <v>3.20954527532188</v>
      </c>
      <c r="E16" s="5" t="n">
        <v>15000</v>
      </c>
      <c r="F16" s="6" t="n">
        <f aca="false">(E16/1.055056*C16*30)-(E16*3.19/B16*30)</f>
        <v>5844.1022557111</v>
      </c>
      <c r="G16" s="5" t="n">
        <f aca="false">E16*30*3.19</f>
        <v>1435500</v>
      </c>
      <c r="H16" s="5" t="n">
        <f aca="false">G16/1.4995</f>
        <v>957319.10636879</v>
      </c>
      <c r="I16" s="5" t="n">
        <f aca="false">G16/B16-H16</f>
        <v>-3498.50836214493</v>
      </c>
      <c r="J16" s="7" t="n">
        <f aca="false">F16+I16</f>
        <v>2345.59389356617</v>
      </c>
    </row>
    <row r="17" customFormat="false" ht="12.75" hidden="false" customHeight="false" outlineLevel="0" collapsed="false">
      <c r="A17" s="3" t="n">
        <v>36398</v>
      </c>
      <c r="B17" s="0" t="n">
        <v>1.5055</v>
      </c>
      <c r="C17" s="0" t="n">
        <v>2.25</v>
      </c>
      <c r="D17" s="4" t="n">
        <f aca="false">C17*B17/1.055056</f>
        <v>3.21061156943328</v>
      </c>
      <c r="E17" s="5" t="n">
        <v>15000</v>
      </c>
      <c r="F17" s="6" t="n">
        <f aca="false">(E17/1.055056*C17*30)-(E17*3.19/B17*30)</f>
        <v>6160.88093322923</v>
      </c>
      <c r="G17" s="5" t="n">
        <f aca="false">E17*30*3.19</f>
        <v>1435500</v>
      </c>
      <c r="H17" s="5" t="n">
        <f aca="false">G17/1.4995</f>
        <v>957319.10636879</v>
      </c>
      <c r="I17" s="5" t="n">
        <f aca="false">G17/B17-H17</f>
        <v>-3815.28703966306</v>
      </c>
      <c r="J17" s="7" t="n">
        <f aca="false">F17+I17</f>
        <v>2345.59389356617</v>
      </c>
    </row>
    <row r="18" customFormat="false" ht="12.75" hidden="false" customHeight="false" outlineLevel="0" collapsed="false">
      <c r="A18" s="3" t="n">
        <v>36399</v>
      </c>
      <c r="B18" s="0" t="n">
        <v>1.506</v>
      </c>
      <c r="C18" s="0" t="n">
        <v>2.25</v>
      </c>
      <c r="D18" s="4" t="n">
        <f aca="false">C18*B18/1.055056</f>
        <v>3.21167786354468</v>
      </c>
      <c r="E18" s="5" t="n">
        <v>15000</v>
      </c>
      <c r="F18" s="6" t="n">
        <f aca="false">(E18/1.055056*C18*30)-(E18*3.19/B18*30)</f>
        <v>6477.44926633977</v>
      </c>
      <c r="G18" s="5" t="n">
        <f aca="false">E18*30*3.19</f>
        <v>1435500</v>
      </c>
      <c r="H18" s="5" t="n">
        <f aca="false">G18/1.4995</f>
        <v>957319.10636879</v>
      </c>
      <c r="I18" s="5" t="n">
        <f aca="false">G18/B18-H18</f>
        <v>-4131.8553727736</v>
      </c>
      <c r="J18" s="7" t="n">
        <f aca="false">F18+I18</f>
        <v>2345.59389356617</v>
      </c>
    </row>
    <row r="19" customFormat="false" ht="12.75" hidden="false" customHeight="false" outlineLevel="0" collapsed="false">
      <c r="A19" s="3" t="n">
        <v>36400</v>
      </c>
      <c r="B19" s="0" t="n">
        <v>1.5065</v>
      </c>
      <c r="C19" s="0" t="n">
        <v>2.25</v>
      </c>
      <c r="D19" s="4" t="n">
        <f aca="false">C19*B19/1.055056</f>
        <v>3.21274415765609</v>
      </c>
      <c r="E19" s="5" t="n">
        <v>15000</v>
      </c>
      <c r="F19" s="6" t="n">
        <f aca="false">(E19/1.055056*C19*30)-(E19*3.19/B19*30)</f>
        <v>6793.80746447982</v>
      </c>
      <c r="G19" s="5" t="n">
        <f aca="false">E19*30*3.19</f>
        <v>1435500</v>
      </c>
      <c r="H19" s="5" t="n">
        <f aca="false">G19/1.4995</f>
        <v>957319.10636879</v>
      </c>
      <c r="I19" s="5" t="n">
        <f aca="false">G19/B19-H19</f>
        <v>-4448.21357091365</v>
      </c>
      <c r="J19" s="7" t="n">
        <f aca="false">F19+I19</f>
        <v>2345.59389356617</v>
      </c>
    </row>
    <row r="20" customFormat="false" ht="12.75" hidden="false" customHeight="false" outlineLevel="0" collapsed="false">
      <c r="A20" s="3" t="n">
        <v>36401</v>
      </c>
      <c r="B20" s="0" t="n">
        <v>1.507</v>
      </c>
      <c r="C20" s="0" t="n">
        <v>2.25</v>
      </c>
      <c r="D20" s="4" t="n">
        <f aca="false">C20*B20/1.055056</f>
        <v>3.21381045176749</v>
      </c>
      <c r="E20" s="5" t="n">
        <v>15000</v>
      </c>
      <c r="F20" s="6" t="n">
        <f aca="false">(E20/1.055056*C20*30)-(E20*3.19/B20*30)</f>
        <v>7109.95573680825</v>
      </c>
      <c r="G20" s="5" t="n">
        <f aca="false">E20*30*3.19</f>
        <v>1435500</v>
      </c>
      <c r="H20" s="5" t="n">
        <f aca="false">G20/1.4995</f>
        <v>957319.10636879</v>
      </c>
      <c r="I20" s="5" t="n">
        <f aca="false">G20/B20-H20</f>
        <v>-4764.36184324208</v>
      </c>
      <c r="J20" s="7" t="n">
        <f aca="false">F20+I20</f>
        <v>2345.59389356617</v>
      </c>
      <c r="L20" s="5" t="n">
        <f aca="false">15000*30</f>
        <v>450000</v>
      </c>
      <c r="M20" s="4" t="n">
        <f aca="false">C20*B20/1.055056</f>
        <v>3.21381045176749</v>
      </c>
      <c r="N20" s="4" t="n">
        <f aca="false">M20</f>
        <v>3.21381045176749</v>
      </c>
    </row>
    <row r="21" customFormat="false" ht="12.75" hidden="false" customHeight="false" outlineLevel="0" collapsed="false">
      <c r="A21" s="3" t="n">
        <v>36402</v>
      </c>
      <c r="B21" s="0" t="n">
        <v>1.5075</v>
      </c>
      <c r="C21" s="0" t="n">
        <v>2.25</v>
      </c>
      <c r="D21" s="4" t="n">
        <f aca="false">C21*B21/1.055056</f>
        <v>3.21487674587889</v>
      </c>
      <c r="E21" s="5" t="n">
        <v>15000</v>
      </c>
      <c r="F21" s="6" t="n">
        <f aca="false">(E21/1.055056*C21*30)-(E21*3.19/B21*30)</f>
        <v>7425.8942922065</v>
      </c>
      <c r="G21" s="5" t="n">
        <f aca="false">E21*30*3.19</f>
        <v>1435500</v>
      </c>
      <c r="H21" s="5" t="n">
        <f aca="false">G21/1.4995</f>
        <v>957319.10636879</v>
      </c>
      <c r="I21" s="5" t="n">
        <f aca="false">G21/B21-H21</f>
        <v>-5080.30039864034</v>
      </c>
      <c r="J21" s="7" t="n">
        <f aca="false">F21+I21</f>
        <v>2345.59389356617</v>
      </c>
      <c r="L21" s="5" t="n">
        <f aca="false">15000*30</f>
        <v>450000</v>
      </c>
      <c r="M21" s="4" t="n">
        <f aca="false">C21*B21/1.055056</f>
        <v>3.21487674587889</v>
      </c>
      <c r="N21" s="4" t="n">
        <f aca="false">M21</f>
        <v>3.21487674587889</v>
      </c>
    </row>
    <row r="22" customFormat="false" ht="12.75" hidden="false" customHeight="false" outlineLevel="0" collapsed="false">
      <c r="A22" s="3" t="n">
        <v>36403</v>
      </c>
      <c r="B22" s="0" t="n">
        <v>1.508</v>
      </c>
      <c r="C22" s="0" t="n">
        <v>2.25</v>
      </c>
      <c r="D22" s="4" t="n">
        <f aca="false">C22*B22/1.055056</f>
        <v>3.21594303999029</v>
      </c>
      <c r="E22" s="5" t="n">
        <v>15000</v>
      </c>
      <c r="F22" s="6" t="n">
        <f aca="false">(E22/1.055056*C22*30)-(E22*3.19/B22*30)</f>
        <v>7741.62333927886</v>
      </c>
      <c r="G22" s="5" t="n">
        <f aca="false">E22*30*3.19</f>
        <v>1435500</v>
      </c>
      <c r="H22" s="5" t="n">
        <f aca="false">G22/1.4995</f>
        <v>957319.10636879</v>
      </c>
      <c r="I22" s="5" t="n">
        <f aca="false">G22/B22-H22</f>
        <v>-5396.02944571269</v>
      </c>
      <c r="J22" s="7" t="n">
        <f aca="false">F22+I22</f>
        <v>2345.59389356617</v>
      </c>
      <c r="L22" s="5" t="n">
        <f aca="false">15000*30</f>
        <v>450000</v>
      </c>
      <c r="M22" s="4" t="n">
        <f aca="false">C22*B22/1.055056</f>
        <v>3.21594303999029</v>
      </c>
      <c r="N22" s="4" t="n">
        <f aca="false">M22</f>
        <v>3.21594303999029</v>
      </c>
      <c r="Q22" s="0" t="s">
        <v>16</v>
      </c>
    </row>
    <row r="23" customFormat="false" ht="12.75" hidden="false" customHeight="false" outlineLevel="0" collapsed="false">
      <c r="A23" s="3" t="n">
        <v>36404</v>
      </c>
      <c r="B23" s="0" t="n">
        <v>1.5085</v>
      </c>
      <c r="C23" s="0" t="n">
        <v>2.25</v>
      </c>
      <c r="D23" s="4" t="n">
        <f aca="false">C23*B23/1.055056</f>
        <v>3.2170093341017</v>
      </c>
      <c r="E23" s="5" t="n">
        <v>15000</v>
      </c>
      <c r="F23" s="6" t="n">
        <f aca="false">(E23/1.055056*C23*30)-(E23*3.19/B23*30)</f>
        <v>8057.14308635308</v>
      </c>
      <c r="G23" s="5" t="n">
        <f aca="false">E23*30*3.19</f>
        <v>1435500</v>
      </c>
      <c r="H23" s="5" t="n">
        <f aca="false">G23/1.4995</f>
        <v>957319.10636879</v>
      </c>
      <c r="I23" s="5" t="n">
        <f aca="false">G23/B23-H23</f>
        <v>-5711.54919278692</v>
      </c>
      <c r="J23" s="7" t="n">
        <f aca="false">F23+I23</f>
        <v>2345.59389356617</v>
      </c>
      <c r="K23" s="0" t="n">
        <v>29</v>
      </c>
      <c r="L23" s="5" t="n">
        <f aca="false">K23*15000</f>
        <v>435000</v>
      </c>
      <c r="M23" s="4" t="n">
        <f aca="false">C23*B23/1.055056</f>
        <v>3.2170093341017</v>
      </c>
      <c r="N23" s="4" t="n">
        <f aca="false">M23</f>
        <v>3.2170093341017</v>
      </c>
      <c r="P23" s="5" t="n">
        <f aca="false">(30-K23)*15000</f>
        <v>15000</v>
      </c>
      <c r="Q23" s="5" t="n">
        <f aca="false">(P23*C23/1.055056)-(P23*3.19/B23)</f>
        <v>268.571436211769</v>
      </c>
    </row>
    <row r="24" customFormat="false" ht="12.75" hidden="false" customHeight="false" outlineLevel="0" collapsed="false">
      <c r="A24" s="3" t="n">
        <v>36405</v>
      </c>
      <c r="B24" s="0" t="n">
        <v>1.509</v>
      </c>
      <c r="C24" s="0" t="n">
        <v>2.25</v>
      </c>
      <c r="D24" s="4" t="n">
        <f aca="false">C24*B24/1.055056</f>
        <v>3.2180756282131</v>
      </c>
      <c r="E24" s="5" t="n">
        <v>15000</v>
      </c>
      <c r="F24" s="6" t="n">
        <f aca="false">(E24/1.055056*C24*30)-(E24*3.19/B24*30)</f>
        <v>8372.45374148095</v>
      </c>
      <c r="G24" s="5" t="n">
        <f aca="false">E24*30*3.19</f>
        <v>1435500</v>
      </c>
      <c r="H24" s="5" t="n">
        <f aca="false">G24/1.4995</f>
        <v>957319.10636879</v>
      </c>
      <c r="I24" s="5" t="n">
        <f aca="false">G24/B24-H24</f>
        <v>-6026.85984791478</v>
      </c>
      <c r="J24" s="7" t="n">
        <f aca="false">F24+I24</f>
        <v>2345.59389356617</v>
      </c>
      <c r="K24" s="0" t="n">
        <v>28</v>
      </c>
      <c r="L24" s="5" t="n">
        <f aca="false">K24*15000</f>
        <v>420000</v>
      </c>
      <c r="M24" s="4" t="n">
        <f aca="false">C24*B24/1.055056</f>
        <v>3.2180756282131</v>
      </c>
      <c r="N24" s="4" t="n">
        <f aca="false">M24</f>
        <v>3.2180756282131</v>
      </c>
      <c r="P24" s="5" t="n">
        <f aca="false">(30-K24)*15000</f>
        <v>30000</v>
      </c>
      <c r="Q24" s="5" t="n">
        <f aca="false">(P24*C24/1.055056)-(P24*3.19/B24)</f>
        <v>558.163582765395</v>
      </c>
    </row>
    <row r="25" customFormat="false" ht="12.75" hidden="false" customHeight="false" outlineLevel="0" collapsed="false">
      <c r="A25" s="3" t="n">
        <v>36406</v>
      </c>
      <c r="B25" s="0" t="n">
        <v>1.5095</v>
      </c>
      <c r="C25" s="0" t="n">
        <v>2.25</v>
      </c>
      <c r="D25" s="4" t="n">
        <f aca="false">C25*B25/1.055056</f>
        <v>3.2191419223245</v>
      </c>
      <c r="E25" s="5" t="n">
        <v>15000</v>
      </c>
      <c r="F25" s="6" t="n">
        <f aca="false">(E25/1.055056*C25*30)-(E25*3.19/B25*30)</f>
        <v>8687.55551243853</v>
      </c>
      <c r="G25" s="5" t="n">
        <f aca="false">E25*30*3.19</f>
        <v>1435500</v>
      </c>
      <c r="H25" s="5" t="n">
        <f aca="false">G25/1.4995</f>
        <v>957319.10636879</v>
      </c>
      <c r="I25" s="5" t="n">
        <f aca="false">G25/B25-H25</f>
        <v>-6341.96161887236</v>
      </c>
      <c r="J25" s="7" t="n">
        <f aca="false">F25+I25</f>
        <v>2345.59389356617</v>
      </c>
      <c r="K25" s="0" t="n">
        <v>27</v>
      </c>
      <c r="L25" s="5" t="n">
        <f aca="false">K25*15000</f>
        <v>405000</v>
      </c>
      <c r="M25" s="4" t="n">
        <f aca="false">C25*B25/1.055056</f>
        <v>3.2191419223245</v>
      </c>
      <c r="N25" s="4" t="n">
        <f aca="false">M25</f>
        <v>3.2191419223245</v>
      </c>
      <c r="P25" s="5" t="n">
        <f aca="false">(30-K25)*15000</f>
        <v>45000</v>
      </c>
      <c r="Q25" s="5" t="n">
        <f aca="false">(P25*C25/1.055056)-(P25*3.19/B25)</f>
        <v>868.755551243856</v>
      </c>
    </row>
    <row r="26" customFormat="false" ht="12.75" hidden="false" customHeight="false" outlineLevel="0" collapsed="false">
      <c r="A26" s="3" t="n">
        <v>36407</v>
      </c>
      <c r="B26" s="0" t="n">
        <v>1.51</v>
      </c>
      <c r="C26" s="0" t="n">
        <v>2.25</v>
      </c>
      <c r="D26" s="4" t="n">
        <f aca="false">C26*B26/1.055056</f>
        <v>3.2202082164359</v>
      </c>
      <c r="E26" s="5" t="n">
        <v>15000</v>
      </c>
      <c r="F26" s="6" t="n">
        <f aca="false">(E26/1.055056*C26*30)-(E26*3.19/B26*30)</f>
        <v>9002.4486067266</v>
      </c>
      <c r="G26" s="5" t="n">
        <f aca="false">E26*30*3.19</f>
        <v>1435500</v>
      </c>
      <c r="H26" s="5" t="n">
        <f aca="false">G26/1.4995</f>
        <v>957319.10636879</v>
      </c>
      <c r="I26" s="5" t="n">
        <f aca="false">G26/B26-H26</f>
        <v>-6656.85471316043</v>
      </c>
      <c r="J26" s="7" t="n">
        <f aca="false">F26+I26</f>
        <v>2345.59389356617</v>
      </c>
      <c r="K26" s="0" t="n">
        <v>26</v>
      </c>
      <c r="L26" s="5" t="n">
        <f aca="false">K26*15000</f>
        <v>390000</v>
      </c>
      <c r="M26" s="4" t="n">
        <f aca="false">C26*B26/1.055056</f>
        <v>3.2202082164359</v>
      </c>
      <c r="N26" s="4" t="n">
        <f aca="false">M26</f>
        <v>3.2202082164359</v>
      </c>
      <c r="P26" s="5" t="n">
        <f aca="false">(30-K26)*15000</f>
        <v>60000</v>
      </c>
      <c r="Q26" s="5" t="n">
        <f aca="false">(P26*C26/1.055056)-(P26*3.19/B26)</f>
        <v>1200.32648089688</v>
      </c>
    </row>
    <row r="27" customFormat="false" ht="12.75" hidden="false" customHeight="false" outlineLevel="0" collapsed="false">
      <c r="A27" s="3" t="n">
        <v>36408</v>
      </c>
      <c r="B27" s="0" t="n">
        <v>1.5105</v>
      </c>
      <c r="C27" s="0" t="n">
        <v>2.25</v>
      </c>
      <c r="D27" s="4" t="n">
        <f aca="false">C27*B27/1.055056</f>
        <v>3.22127451054731</v>
      </c>
      <c r="E27" s="5" t="n">
        <v>15000</v>
      </c>
      <c r="F27" s="6" t="n">
        <f aca="false">(E27/1.055056*C27*30)-(E27*3.19/B27*30)</f>
        <v>9317.13323157129</v>
      </c>
      <c r="G27" s="5" t="n">
        <f aca="false">E27*30*3.19</f>
        <v>1435500</v>
      </c>
      <c r="H27" s="5" t="n">
        <f aca="false">G27/1.4995</f>
        <v>957319.10636879</v>
      </c>
      <c r="I27" s="5" t="n">
        <f aca="false">G27/B27-H27</f>
        <v>-6971.53933800501</v>
      </c>
      <c r="J27" s="7" t="n">
        <f aca="false">F27+I27</f>
        <v>2345.59389356629</v>
      </c>
      <c r="K27" s="0" t="n">
        <v>25</v>
      </c>
      <c r="L27" s="5" t="n">
        <f aca="false">K27*15000</f>
        <v>375000</v>
      </c>
      <c r="M27" s="4" t="n">
        <f aca="false">C27*B27/1.055056</f>
        <v>3.22127451054731</v>
      </c>
      <c r="N27" s="4" t="n">
        <f aca="false">M27</f>
        <v>3.22127451054731</v>
      </c>
      <c r="P27" s="5" t="n">
        <f aca="false">(30-K27)*15000</f>
        <v>75000</v>
      </c>
      <c r="Q27" s="5" t="n">
        <f aca="false">(P27*C27/1.055056)-(P27*3.19/B27)</f>
        <v>1552.85553859518</v>
      </c>
    </row>
    <row r="28" customFormat="false" ht="12.75" hidden="false" customHeight="false" outlineLevel="0" collapsed="false">
      <c r="A28" s="3" t="n">
        <v>36409</v>
      </c>
      <c r="B28" s="0" t="n">
        <v>1.511</v>
      </c>
      <c r="C28" s="0" t="n">
        <v>2.25</v>
      </c>
      <c r="D28" s="4" t="n">
        <f aca="false">C28*B28/1.055056</f>
        <v>3.22234080465871</v>
      </c>
      <c r="E28" s="5" t="n">
        <v>15000</v>
      </c>
      <c r="F28" s="6" t="n">
        <f aca="false">(E28/1.055056*C28*30)-(E28*3.19/B28*30)</f>
        <v>9631.60959392414</v>
      </c>
      <c r="G28" s="5" t="n">
        <f aca="false">E28*30*3.19</f>
        <v>1435500</v>
      </c>
      <c r="H28" s="5" t="n">
        <f aca="false">G28/1.4995</f>
        <v>957319.10636879</v>
      </c>
      <c r="I28" s="5" t="n">
        <f aca="false">G28/B28-H28</f>
        <v>-7286.01570035797</v>
      </c>
      <c r="J28" s="7" t="n">
        <f aca="false">F28+I28</f>
        <v>2345.59389356617</v>
      </c>
      <c r="K28" s="0" t="n">
        <v>24</v>
      </c>
      <c r="L28" s="5" t="n">
        <f aca="false">K28*15000</f>
        <v>360000</v>
      </c>
      <c r="M28" s="4" t="n">
        <f aca="false">C28*B28/1.055056</f>
        <v>3.22234080465871</v>
      </c>
      <c r="N28" s="4" t="n">
        <f aca="false">M28</f>
        <v>3.22234080465871</v>
      </c>
      <c r="P28" s="5" t="n">
        <f aca="false">(30-K28)*15000</f>
        <v>90000</v>
      </c>
      <c r="Q28" s="5" t="n">
        <f aca="false">(P28*C28/1.055056)-(P28*3.19/B28)</f>
        <v>1926.32191878484</v>
      </c>
    </row>
    <row r="29" customFormat="false" ht="12.75" hidden="false" customHeight="false" outlineLevel="0" collapsed="false">
      <c r="A29" s="3" t="n">
        <v>36410</v>
      </c>
      <c r="B29" s="0" t="n">
        <v>1.5115</v>
      </c>
      <c r="C29" s="0" t="n">
        <v>2.25</v>
      </c>
      <c r="D29" s="4" t="n">
        <f aca="false">C29*B29/1.055056</f>
        <v>3.22340709877011</v>
      </c>
      <c r="E29" s="5" t="n">
        <v>15000</v>
      </c>
      <c r="F29" s="6" t="n">
        <f aca="false">(E29/1.055056*C29*30)-(E29*3.19/B29*30)</f>
        <v>9945.87790046365</v>
      </c>
      <c r="G29" s="5" t="n">
        <f aca="false">E29*30*3.19</f>
        <v>1435500</v>
      </c>
      <c r="H29" s="5" t="n">
        <f aca="false">G29/1.4995</f>
        <v>957319.10636879</v>
      </c>
      <c r="I29" s="5" t="n">
        <f aca="false">G29/B29-H29</f>
        <v>-7600.28400689748</v>
      </c>
      <c r="J29" s="7" t="n">
        <f aca="false">F29+I29</f>
        <v>2345.59389356617</v>
      </c>
      <c r="K29" s="0" t="n">
        <v>23</v>
      </c>
      <c r="L29" s="5" t="n">
        <f aca="false">K29*15000</f>
        <v>345000</v>
      </c>
      <c r="M29" s="4" t="n">
        <f aca="false">C29*B29/1.055056</f>
        <v>3.22340709877011</v>
      </c>
      <c r="N29" s="4" t="n">
        <f aca="false">M29</f>
        <v>3.22340709877011</v>
      </c>
      <c r="P29" s="5" t="n">
        <f aca="false">(30-K29)*15000</f>
        <v>105000</v>
      </c>
      <c r="Q29" s="5" t="n">
        <f aca="false">(P29*C29/1.055056)-(P29*3.19/B29)</f>
        <v>2320.70484344149</v>
      </c>
    </row>
    <row r="30" customFormat="false" ht="12.75" hidden="false" customHeight="false" outlineLevel="0" collapsed="false">
      <c r="A30" s="3" t="n">
        <v>36411</v>
      </c>
      <c r="B30" s="0" t="n">
        <v>1.512</v>
      </c>
      <c r="C30" s="0" t="n">
        <v>2.25</v>
      </c>
      <c r="D30" s="4" t="n">
        <f aca="false">C30*B30/1.055056</f>
        <v>3.22447339288152</v>
      </c>
      <c r="E30" s="5" t="n">
        <v>15000</v>
      </c>
      <c r="F30" s="6" t="n">
        <f aca="false">(E30/1.055056*C30*30)-(E30*3.19/B30*30)</f>
        <v>10259.9383575938</v>
      </c>
      <c r="G30" s="5" t="n">
        <f aca="false">E30*30*3.19</f>
        <v>1435500</v>
      </c>
      <c r="H30" s="5" t="n">
        <f aca="false">G30/1.4995</f>
        <v>957319.10636879</v>
      </c>
      <c r="I30" s="5" t="n">
        <f aca="false">G30/B30-H30</f>
        <v>-7914.34446402767</v>
      </c>
      <c r="J30" s="7" t="n">
        <f aca="false">F30+I30</f>
        <v>2345.59389356617</v>
      </c>
      <c r="K30" s="0" t="n">
        <v>22</v>
      </c>
      <c r="L30" s="5" t="n">
        <f aca="false">K30*15000</f>
        <v>330000</v>
      </c>
      <c r="M30" s="4" t="n">
        <f aca="false">C30*B30/1.055056</f>
        <v>3.22447339288152</v>
      </c>
      <c r="N30" s="4" t="n">
        <f aca="false">M30</f>
        <v>3.22447339288152</v>
      </c>
      <c r="P30" s="5" t="n">
        <f aca="false">(30-K30)*15000</f>
        <v>120000</v>
      </c>
      <c r="Q30" s="5" t="n">
        <f aca="false">(P30*C30/1.055056)-(P30*3.19/B30)</f>
        <v>2735.98356202504</v>
      </c>
    </row>
    <row r="31" customFormat="false" ht="12.75" hidden="false" customHeight="false" outlineLevel="0" collapsed="false">
      <c r="A31" s="3" t="n">
        <v>36412</v>
      </c>
      <c r="B31" s="0" t="n">
        <v>1.5125</v>
      </c>
      <c r="C31" s="0" t="n">
        <v>2.25</v>
      </c>
      <c r="D31" s="4" t="n">
        <f aca="false">C31*B31/1.055056</f>
        <v>3.22553968699292</v>
      </c>
      <c r="E31" s="5" t="n">
        <v>15000</v>
      </c>
      <c r="F31" s="6" t="n">
        <f aca="false">(E31/1.055056*C31*30)-(E31*3.19/B31*30)</f>
        <v>10573.7911714467</v>
      </c>
      <c r="G31" s="5" t="n">
        <f aca="false">E31*30*3.19</f>
        <v>1435500</v>
      </c>
      <c r="H31" s="5" t="n">
        <f aca="false">G31/1.4995</f>
        <v>957319.10636879</v>
      </c>
      <c r="I31" s="5" t="n">
        <f aca="false">G31/B31-H31</f>
        <v>-8228.19727788039</v>
      </c>
      <c r="J31" s="7" t="n">
        <f aca="false">F31+I31</f>
        <v>2345.59389356629</v>
      </c>
      <c r="K31" s="0" t="n">
        <v>21</v>
      </c>
      <c r="L31" s="5" t="n">
        <f aca="false">K31*15000</f>
        <v>315000</v>
      </c>
      <c r="M31" s="4" t="n">
        <f aca="false">C31*B31/1.055056</f>
        <v>3.22553968699292</v>
      </c>
      <c r="N31" s="4" t="n">
        <f aca="false">M31</f>
        <v>3.22553968699292</v>
      </c>
      <c r="P31" s="5" t="n">
        <f aca="false">(30-K31)*15000</f>
        <v>135000</v>
      </c>
      <c r="Q31" s="5" t="n">
        <f aca="false">(P31*C31/1.055056)-(P31*3.19/B31)</f>
        <v>3172.13735143398</v>
      </c>
    </row>
    <row r="32" customFormat="false" ht="12.75" hidden="false" customHeight="false" outlineLevel="0" collapsed="false">
      <c r="A32" s="3" t="n">
        <v>36413</v>
      </c>
      <c r="B32" s="0" t="n">
        <v>1.513</v>
      </c>
      <c r="C32" s="0" t="n">
        <v>2.25</v>
      </c>
      <c r="D32" s="4" t="n">
        <f aca="false">C32*B32/1.055056</f>
        <v>3.22660598110432</v>
      </c>
      <c r="E32" s="5" t="n">
        <v>15000</v>
      </c>
      <c r="F32" s="6" t="n">
        <f aca="false">(E32/1.055056*C32*30)-(E32*3.19/B32*30)</f>
        <v>10887.4365478811</v>
      </c>
      <c r="G32" s="5" t="n">
        <f aca="false">E32*30*3.19</f>
        <v>1435500</v>
      </c>
      <c r="H32" s="5" t="n">
        <f aca="false">G32/1.4995</f>
        <v>957319.10636879</v>
      </c>
      <c r="I32" s="5" t="n">
        <f aca="false">G32/B32-H32</f>
        <v>-8541.84265431494</v>
      </c>
      <c r="J32" s="7" t="n">
        <f aca="false">F32+I32</f>
        <v>2345.59389356617</v>
      </c>
      <c r="K32" s="0" t="n">
        <v>20</v>
      </c>
      <c r="L32" s="5" t="n">
        <f aca="false">K32*15000</f>
        <v>300000</v>
      </c>
      <c r="M32" s="4" t="n">
        <f aca="false">C32*B32/1.055056</f>
        <v>3.22660598110432</v>
      </c>
      <c r="N32" s="4" t="n">
        <f aca="false">M32</f>
        <v>3.22660598110432</v>
      </c>
      <c r="P32" s="5" t="n">
        <f aca="false">(30-K32)*15000</f>
        <v>150000</v>
      </c>
      <c r="Q32" s="5" t="n">
        <f aca="false">(P32*C32/1.055056)-(P32*3.19/B32)</f>
        <v>3629.14551596035</v>
      </c>
    </row>
    <row r="33" customFormat="false" ht="12.75" hidden="false" customHeight="false" outlineLevel="0" collapsed="false">
      <c r="A33" s="3" t="n">
        <v>36414</v>
      </c>
      <c r="B33" s="0" t="n">
        <v>1.5135</v>
      </c>
      <c r="C33" s="0" t="n">
        <v>2.25</v>
      </c>
      <c r="D33" s="4" t="n">
        <f aca="false">C33*B33/1.055056</f>
        <v>3.22767227521572</v>
      </c>
      <c r="E33" s="5" t="n">
        <v>15000</v>
      </c>
      <c r="F33" s="6" t="n">
        <f aca="false">(E33/1.055056*C33*30)-(E33*3.19/B33*30)</f>
        <v>11200.8746924846</v>
      </c>
      <c r="G33" s="5" t="n">
        <f aca="false">E33*30*3.19</f>
        <v>1435500</v>
      </c>
      <c r="H33" s="5" t="n">
        <f aca="false">G33/1.4995</f>
        <v>957319.10636879</v>
      </c>
      <c r="I33" s="5" t="n">
        <f aca="false">G33/B33-H33</f>
        <v>-8855.28079891845</v>
      </c>
      <c r="J33" s="7" t="n">
        <f aca="false">F33+I33</f>
        <v>2345.59389356617</v>
      </c>
      <c r="K33" s="0" t="n">
        <v>19</v>
      </c>
      <c r="L33" s="5" t="n">
        <f aca="false">K33*15000</f>
        <v>285000</v>
      </c>
      <c r="M33" s="4" t="n">
        <f aca="false">C33*B33/1.055056</f>
        <v>3.22767227521572</v>
      </c>
      <c r="N33" s="4" t="n">
        <f aca="false">M33</f>
        <v>3.22767227521572</v>
      </c>
      <c r="P33" s="5" t="n">
        <f aca="false">(30-K33)*15000</f>
        <v>165000</v>
      </c>
      <c r="Q33" s="5" t="n">
        <f aca="false">(P33*C33/1.055056)-(P33*3.19/B33)</f>
        <v>4106.98738724436</v>
      </c>
    </row>
    <row r="34" customFormat="false" ht="12.75" hidden="false" customHeight="false" outlineLevel="0" collapsed="false">
      <c r="A34" s="3" t="n">
        <v>36415</v>
      </c>
      <c r="B34" s="0" t="n">
        <v>1.514</v>
      </c>
      <c r="C34" s="0" t="n">
        <v>2.25</v>
      </c>
      <c r="D34" s="4" t="n">
        <f aca="false">C34*B34/1.055056</f>
        <v>3.22873856932713</v>
      </c>
      <c r="E34" s="5" t="n">
        <v>15000</v>
      </c>
      <c r="F34" s="6" t="n">
        <f aca="false">(E34/1.055056*C34*30)-(E34*3.19/B34*30)</f>
        <v>11514.1058105724</v>
      </c>
      <c r="G34" s="5" t="n">
        <f aca="false">E34*30*3.19</f>
        <v>1435500</v>
      </c>
      <c r="H34" s="5" t="n">
        <f aca="false">G34/1.4995</f>
        <v>957319.10636879</v>
      </c>
      <c r="I34" s="5" t="n">
        <f aca="false">G34/B34-H34</f>
        <v>-9168.51191700622</v>
      </c>
      <c r="J34" s="7" t="n">
        <f aca="false">F34+I34</f>
        <v>2345.59389356617</v>
      </c>
      <c r="K34" s="0" t="n">
        <v>18</v>
      </c>
      <c r="L34" s="5" t="n">
        <f aca="false">K34*15000</f>
        <v>270000</v>
      </c>
      <c r="M34" s="4" t="n">
        <f aca="false">C34*B34/1.055056</f>
        <v>3.22873856932713</v>
      </c>
      <c r="N34" s="4" t="n">
        <f aca="false">M34</f>
        <v>3.22873856932713</v>
      </c>
      <c r="P34" s="5" t="n">
        <f aca="false">(30-K34)*15000</f>
        <v>180000</v>
      </c>
      <c r="Q34" s="5" t="n">
        <f aca="false">(P34*C34/1.055056)-(P34*3.19/B34)</f>
        <v>4605.64232422895</v>
      </c>
    </row>
    <row r="35" customFormat="false" ht="12.75" hidden="false" customHeight="false" outlineLevel="0" collapsed="false">
      <c r="A35" s="3" t="n">
        <v>36416</v>
      </c>
      <c r="B35" s="0" t="n">
        <v>1.5145</v>
      </c>
      <c r="C35" s="0" t="n">
        <v>2.25</v>
      </c>
      <c r="D35" s="4" t="n">
        <f aca="false">C35*B35/1.055056</f>
        <v>3.22980486343853</v>
      </c>
      <c r="E35" s="5" t="n">
        <v>15000</v>
      </c>
      <c r="F35" s="6" t="n">
        <f aca="false">(E35/1.055056*C35*30)-(E35*3.19/B35*30)</f>
        <v>11827.1301071889</v>
      </c>
      <c r="G35" s="5" t="n">
        <f aca="false">E35*30*3.19</f>
        <v>1435500</v>
      </c>
      <c r="H35" s="5" t="n">
        <f aca="false">G35/1.4995</f>
        <v>957319.10636879</v>
      </c>
      <c r="I35" s="5" t="n">
        <f aca="false">G35/B35-H35</f>
        <v>-9481.53621362278</v>
      </c>
      <c r="J35" s="7" t="n">
        <f aca="false">F35+I35</f>
        <v>2345.59389356617</v>
      </c>
      <c r="K35" s="0" t="n">
        <v>17</v>
      </c>
      <c r="L35" s="5" t="n">
        <f aca="false">K35*15000</f>
        <v>255000</v>
      </c>
      <c r="M35" s="4" t="n">
        <f aca="false">C35*B35/1.055056</f>
        <v>3.22980486343853</v>
      </c>
      <c r="N35" s="4" t="n">
        <f aca="false">M35</f>
        <v>3.22980486343853</v>
      </c>
      <c r="P35" s="5" t="n">
        <f aca="false">(30-K35)*15000</f>
        <v>195000</v>
      </c>
      <c r="Q35" s="5" t="n">
        <f aca="false">(P35*C35/1.055056)-(P35*3.19/B35)</f>
        <v>5125.08971311525</v>
      </c>
    </row>
    <row r="36" customFormat="false" ht="12.75" hidden="false" customHeight="false" outlineLevel="0" collapsed="false">
      <c r="A36" s="3" t="n">
        <v>36417</v>
      </c>
      <c r="B36" s="0" t="n">
        <v>1.515</v>
      </c>
      <c r="C36" s="0" t="n">
        <v>2.25</v>
      </c>
      <c r="D36" s="4" t="n">
        <f aca="false">C36*B36/1.055056</f>
        <v>3.23087115754993</v>
      </c>
      <c r="E36" s="5" t="n">
        <v>15000</v>
      </c>
      <c r="F36" s="6" t="n">
        <f aca="false">(E36/1.055056*C36*30)-(E36*3.19/B36*30)</f>
        <v>12139.9477871081</v>
      </c>
      <c r="G36" s="5" t="n">
        <f aca="false">E36*30*3.19</f>
        <v>1435500</v>
      </c>
      <c r="H36" s="5" t="n">
        <f aca="false">G36/1.4995</f>
        <v>957319.10636879</v>
      </c>
      <c r="I36" s="5" t="n">
        <f aca="false">G36/B36-H36</f>
        <v>-9794.35389354196</v>
      </c>
      <c r="J36" s="7" t="n">
        <f aca="false">F36+I36</f>
        <v>2345.59389356617</v>
      </c>
      <c r="K36" s="0" t="n">
        <v>16</v>
      </c>
      <c r="L36" s="5" t="n">
        <f aca="false">K36*15000</f>
        <v>240000</v>
      </c>
      <c r="M36" s="4" t="n">
        <f aca="false">C36*B36/1.055056</f>
        <v>3.23087115754993</v>
      </c>
      <c r="N36" s="4" t="n">
        <f aca="false">M36</f>
        <v>3.23087115754993</v>
      </c>
      <c r="P36" s="5" t="n">
        <f aca="false">(30-K36)*15000</f>
        <v>210000</v>
      </c>
      <c r="Q36" s="5" t="n">
        <f aca="false">(P36*C36/1.055056)-(P36*3.19/B36)</f>
        <v>5665.30896731711</v>
      </c>
    </row>
    <row r="37" customFormat="false" ht="12.75" hidden="false" customHeight="false" outlineLevel="0" collapsed="false">
      <c r="A37" s="3" t="n">
        <v>36418</v>
      </c>
      <c r="B37" s="0" t="n">
        <v>1.5155</v>
      </c>
      <c r="C37" s="0" t="n">
        <v>2.25</v>
      </c>
      <c r="D37" s="4" t="n">
        <f aca="false">C37*B37/1.055056</f>
        <v>3.23193745166133</v>
      </c>
      <c r="E37" s="5" t="n">
        <v>15000</v>
      </c>
      <c r="F37" s="6" t="n">
        <f aca="false">(E37/1.055056*C37*30)-(E37*3.19/B37*30)</f>
        <v>12452.5590548335</v>
      </c>
      <c r="G37" s="5" t="n">
        <f aca="false">E37*30*3.19</f>
        <v>1435500</v>
      </c>
      <c r="H37" s="5" t="n">
        <f aca="false">G37/1.4995</f>
        <v>957319.10636879</v>
      </c>
      <c r="I37" s="5" t="n">
        <f aca="false">G37/B37-H37</f>
        <v>-10106.9651612673</v>
      </c>
      <c r="J37" s="7" t="n">
        <f aca="false">F37+I37</f>
        <v>2345.59389356617</v>
      </c>
      <c r="K37" s="0" t="n">
        <v>15</v>
      </c>
      <c r="L37" s="5" t="n">
        <f aca="false">K37*15000</f>
        <v>225000</v>
      </c>
      <c r="M37" s="4" t="n">
        <f aca="false">C37*B37/1.055056</f>
        <v>3.23193745166133</v>
      </c>
      <c r="N37" s="4" t="n">
        <f aca="false">M37</f>
        <v>3.23193745166133</v>
      </c>
      <c r="P37" s="5" t="n">
        <f aca="false">(30-K37)*15000</f>
        <v>225000</v>
      </c>
      <c r="Q37" s="5" t="n">
        <f aca="false">(P37*C37/1.055056)-(P37*3.19/B37)</f>
        <v>6226.27952741674</v>
      </c>
    </row>
    <row r="38" customFormat="false" ht="12.75" hidden="false" customHeight="false" outlineLevel="0" collapsed="false">
      <c r="A38" s="3" t="n">
        <v>36419</v>
      </c>
      <c r="B38" s="0" t="n">
        <v>1.516</v>
      </c>
      <c r="C38" s="0" t="n">
        <v>2.25</v>
      </c>
      <c r="D38" s="4" t="n">
        <f aca="false">C38*B38/1.055056</f>
        <v>3.23300374577274</v>
      </c>
      <c r="E38" s="5" t="n">
        <v>15000</v>
      </c>
      <c r="F38" s="6" t="n">
        <f aca="false">(E38/1.055056*C38*30)-(E38*3.19/B38*30)</f>
        <v>12764.9641145986</v>
      </c>
      <c r="G38" s="5" t="n">
        <f aca="false">E38*30*3.19</f>
        <v>1435500</v>
      </c>
      <c r="H38" s="5" t="n">
        <f aca="false">G38/1.4995</f>
        <v>957319.10636879</v>
      </c>
      <c r="I38" s="5" t="n">
        <f aca="false">G38/B38-H38</f>
        <v>-10419.3702210323</v>
      </c>
      <c r="J38" s="7" t="n">
        <f aca="false">F38+I38</f>
        <v>2345.59389356629</v>
      </c>
      <c r="K38" s="0" t="n">
        <v>14</v>
      </c>
      <c r="L38" s="5" t="n">
        <f aca="false">K38*15000</f>
        <v>210000</v>
      </c>
      <c r="M38" s="4" t="n">
        <f aca="false">C38*B38/1.055056</f>
        <v>3.23300374577274</v>
      </c>
      <c r="N38" s="4" t="n">
        <f aca="false">M38</f>
        <v>3.23300374577274</v>
      </c>
      <c r="P38" s="5" t="n">
        <f aca="false">(30-K38)*15000</f>
        <v>240000</v>
      </c>
      <c r="Q38" s="5" t="n">
        <f aca="false">(P38*C38/1.055056)-(P38*3.19/B38)</f>
        <v>6807.98086111923</v>
      </c>
    </row>
    <row r="39" customFormat="false" ht="12.75" hidden="false" customHeight="false" outlineLevel="0" collapsed="false">
      <c r="A39" s="3" t="n">
        <v>36420</v>
      </c>
      <c r="B39" s="0" t="n">
        <v>1.5165</v>
      </c>
      <c r="C39" s="0" t="n">
        <v>2.25</v>
      </c>
      <c r="D39" s="4" t="n">
        <f aca="false">C39*B39/1.055056</f>
        <v>3.23407003988414</v>
      </c>
      <c r="E39" s="5" t="n">
        <v>15000</v>
      </c>
      <c r="F39" s="6" t="n">
        <f aca="false">(E39/1.055056*C39*30)-(E39*3.19/B39*30)</f>
        <v>13077.1631703676</v>
      </c>
      <c r="G39" s="5" t="n">
        <f aca="false">E39*30*3.19</f>
        <v>1435500</v>
      </c>
      <c r="H39" s="5" t="n">
        <f aca="false">G39/1.4995</f>
        <v>957319.10636879</v>
      </c>
      <c r="I39" s="5" t="n">
        <f aca="false">G39/B39-H39</f>
        <v>-10731.5692768014</v>
      </c>
      <c r="J39" s="7" t="n">
        <f aca="false">F39+I39</f>
        <v>2345.59389356617</v>
      </c>
      <c r="K39" s="0" t="n">
        <v>13</v>
      </c>
      <c r="L39" s="5" t="n">
        <f aca="false">K39*15000</f>
        <v>195000</v>
      </c>
      <c r="M39" s="4" t="n">
        <f aca="false">C39*B39/1.055056</f>
        <v>3.23407003988414</v>
      </c>
      <c r="N39" s="4" t="n">
        <f aca="false">M39</f>
        <v>3.23407003988414</v>
      </c>
      <c r="P39" s="5" t="n">
        <f aca="false">(30-K39)*15000</f>
        <v>255000</v>
      </c>
      <c r="Q39" s="5" t="n">
        <f aca="false">(P39*C39/1.055056)-(P39*3.19/B39)</f>
        <v>7410.39246320829</v>
      </c>
    </row>
    <row r="40" customFormat="false" ht="12.75" hidden="false" customHeight="false" outlineLevel="0" collapsed="false">
      <c r="A40" s="3" t="n">
        <v>36421</v>
      </c>
      <c r="B40" s="0" t="n">
        <v>1.517</v>
      </c>
      <c r="C40" s="0" t="n">
        <v>2.25</v>
      </c>
      <c r="D40" s="4" t="n">
        <f aca="false">C40*B40/1.055056</f>
        <v>3.23513633399554</v>
      </c>
      <c r="E40" s="5" t="n">
        <v>15000</v>
      </c>
      <c r="F40" s="6" t="n">
        <f aca="false">(E40/1.055056*C40*30)-(E40*3.19/B40*30)</f>
        <v>13389.1564258361</v>
      </c>
      <c r="G40" s="5" t="n">
        <f aca="false">E40*30*3.19</f>
        <v>1435500</v>
      </c>
      <c r="H40" s="5" t="n">
        <f aca="false">G40/1.4995</f>
        <v>957319.10636879</v>
      </c>
      <c r="I40" s="5" t="n">
        <f aca="false">G40/B40-H40</f>
        <v>-11043.5625322701</v>
      </c>
      <c r="J40" s="7" t="n">
        <f aca="false">F40+I40</f>
        <v>2345.59389356605</v>
      </c>
      <c r="K40" s="0" t="n">
        <v>12</v>
      </c>
      <c r="L40" s="5" t="n">
        <f aca="false">K40*15000</f>
        <v>180000</v>
      </c>
      <c r="M40" s="4" t="n">
        <f aca="false">C40*B40/1.055056</f>
        <v>3.23513633399554</v>
      </c>
      <c r="N40" s="4" t="n">
        <f aca="false">M40</f>
        <v>3.23513633399554</v>
      </c>
      <c r="P40" s="5" t="n">
        <f aca="false">(30-K40)*15000</f>
        <v>270000</v>
      </c>
      <c r="Q40" s="5" t="n">
        <f aca="false">(P40*C40/1.055056)-(P40*3.19/B40)</f>
        <v>8033.49385550176</v>
      </c>
    </row>
    <row r="41" customFormat="false" ht="12.75" hidden="false" customHeight="false" outlineLevel="0" collapsed="false">
      <c r="A41" s="3" t="n">
        <v>36422</v>
      </c>
      <c r="B41" s="0" t="n">
        <v>1.5175</v>
      </c>
      <c r="C41" s="0" t="n">
        <v>2.25</v>
      </c>
      <c r="D41" s="4" t="n">
        <f aca="false">C41*B41/1.055056</f>
        <v>3.23620262810694</v>
      </c>
      <c r="E41" s="5" t="n">
        <v>15000</v>
      </c>
      <c r="F41" s="6" t="n">
        <f aca="false">(E41/1.055056*C41*30)-(E41*3.19/B41*30)</f>
        <v>13700.9440844315</v>
      </c>
      <c r="G41" s="5" t="n">
        <f aca="false">E41*30*3.19</f>
        <v>1435500</v>
      </c>
      <c r="H41" s="5" t="n">
        <f aca="false">G41/1.4995</f>
        <v>957319.10636879</v>
      </c>
      <c r="I41" s="5" t="n">
        <f aca="false">G41/B41-H41</f>
        <v>-11355.3501908653</v>
      </c>
      <c r="J41" s="7" t="n">
        <f aca="false">F41+I41</f>
        <v>2345.59389356617</v>
      </c>
      <c r="K41" s="0" t="n">
        <v>11</v>
      </c>
      <c r="L41" s="5" t="n">
        <f aca="false">K41*15000</f>
        <v>165000</v>
      </c>
      <c r="M41" s="4" t="n">
        <f aca="false">C41*B41/1.055056</f>
        <v>3.23620262810694</v>
      </c>
      <c r="N41" s="4" t="n">
        <f aca="false">M41</f>
        <v>3.23620262810694</v>
      </c>
      <c r="P41" s="5" t="n">
        <f aca="false">(30-K41)*15000</f>
        <v>285000</v>
      </c>
      <c r="Q41" s="5" t="n">
        <f aca="false">(P41*C41/1.055056)-(P41*3.19/B41)</f>
        <v>8677.26458680665</v>
      </c>
    </row>
    <row r="42" customFormat="false" ht="12.75" hidden="false" customHeight="false" outlineLevel="0" collapsed="false">
      <c r="A42" s="3" t="n">
        <v>36423</v>
      </c>
      <c r="B42" s="0" t="n">
        <v>1.518</v>
      </c>
      <c r="C42" s="0" t="n">
        <v>2.25</v>
      </c>
      <c r="D42" s="4" t="n">
        <f aca="false">C42*B42/1.055056</f>
        <v>3.23726892221835</v>
      </c>
      <c r="E42" s="5" t="n">
        <v>15000</v>
      </c>
      <c r="F42" s="6" t="n">
        <f aca="false">(E42/1.055056*C42*30)-(E42*3.19/B42*30)</f>
        <v>14012.5263493123</v>
      </c>
      <c r="G42" s="5" t="n">
        <f aca="false">E42*30*3.19</f>
        <v>1435500</v>
      </c>
      <c r="H42" s="5" t="n">
        <f aca="false">G42/1.4995</f>
        <v>957319.10636879</v>
      </c>
      <c r="I42" s="5" t="n">
        <f aca="false">G42/B42-H42</f>
        <v>-11666.9324557461</v>
      </c>
      <c r="J42" s="7" t="n">
        <f aca="false">F42+I42</f>
        <v>2345.59389356617</v>
      </c>
      <c r="K42" s="0" t="n">
        <v>10</v>
      </c>
      <c r="L42" s="5" t="n">
        <f aca="false">K42*15000</f>
        <v>150000</v>
      </c>
      <c r="M42" s="4" t="n">
        <f aca="false">C42*B42/1.055056</f>
        <v>3.23726892221835</v>
      </c>
      <c r="N42" s="4" t="n">
        <f aca="false">M42</f>
        <v>3.23726892221835</v>
      </c>
      <c r="P42" s="5" t="n">
        <f aca="false">(30-K42)*15000</f>
        <v>300000</v>
      </c>
      <c r="Q42" s="5" t="n">
        <f aca="false">(P42*C42/1.055056)-(P42*3.19/B42)</f>
        <v>9341.68423287477</v>
      </c>
    </row>
    <row r="43" customFormat="false" ht="12.75" hidden="false" customHeight="false" outlineLevel="0" collapsed="false">
      <c r="A43" s="3" t="n">
        <v>36424</v>
      </c>
      <c r="B43" s="0" t="n">
        <v>1.5185</v>
      </c>
      <c r="C43" s="0" t="n">
        <v>2.25</v>
      </c>
      <c r="D43" s="4" t="n">
        <f aca="false">C43*B43/1.055056</f>
        <v>3.23833521632975</v>
      </c>
      <c r="E43" s="5" t="n">
        <v>15000</v>
      </c>
      <c r="F43" s="6" t="n">
        <f aca="false">(E43/1.055056*C43*30)-(E43*3.19/B43*30)</f>
        <v>14323.9034233699</v>
      </c>
      <c r="G43" s="5" t="n">
        <f aca="false">E43*30*3.19</f>
        <v>1435500</v>
      </c>
      <c r="H43" s="5" t="n">
        <f aca="false">G43/1.4995</f>
        <v>957319.10636879</v>
      </c>
      <c r="I43" s="5" t="n">
        <f aca="false">G43/B43-H43</f>
        <v>-11978.3095298037</v>
      </c>
      <c r="J43" s="7" t="n">
        <f aca="false">F43+I43</f>
        <v>2345.59389356617</v>
      </c>
      <c r="K43" s="0" t="n">
        <v>9</v>
      </c>
      <c r="L43" s="5" t="n">
        <f aca="false">K43*15000</f>
        <v>135000</v>
      </c>
      <c r="M43" s="4" t="n">
        <f aca="false">C43*B43/1.055056</f>
        <v>3.23833521632975</v>
      </c>
      <c r="N43" s="4" t="n">
        <f aca="false">M43</f>
        <v>3.23833521632975</v>
      </c>
      <c r="P43" s="5" t="n">
        <f aca="false">(30-K43)*15000</f>
        <v>315000</v>
      </c>
      <c r="Q43" s="5" t="n">
        <f aca="false">(P43*C43/1.055056)-(P43*3.19/B43)</f>
        <v>10026.732396359</v>
      </c>
    </row>
    <row r="44" customFormat="false" ht="12.75" hidden="false" customHeight="false" outlineLevel="0" collapsed="false">
      <c r="A44" s="3" t="n">
        <v>36425</v>
      </c>
      <c r="B44" s="0" t="n">
        <v>1.519</v>
      </c>
      <c r="C44" s="0" t="n">
        <v>2.25</v>
      </c>
      <c r="D44" s="4" t="n">
        <f aca="false">C44*B44/1.055056</f>
        <v>3.23940151044115</v>
      </c>
      <c r="E44" s="5" t="n">
        <v>15000</v>
      </c>
      <c r="F44" s="6" t="n">
        <f aca="false">(E44/1.055056*C44*30)-(E44*3.19/B44*30)</f>
        <v>14635.0755092286</v>
      </c>
      <c r="G44" s="5" t="n">
        <f aca="false">E44*30*3.19</f>
        <v>1435500</v>
      </c>
      <c r="H44" s="5" t="n">
        <f aca="false">G44/1.4995</f>
        <v>957319.10636879</v>
      </c>
      <c r="I44" s="5" t="n">
        <f aca="false">G44/B44-H44</f>
        <v>-12289.4816156625</v>
      </c>
      <c r="J44" s="7" t="n">
        <f aca="false">F44+I44</f>
        <v>2345.59389356617</v>
      </c>
      <c r="K44" s="0" t="n">
        <v>8</v>
      </c>
      <c r="L44" s="5" t="n">
        <f aca="false">K44*15000</f>
        <v>120000</v>
      </c>
      <c r="M44" s="4" t="n">
        <f aca="false">C44*B44/1.055056</f>
        <v>3.23940151044115</v>
      </c>
      <c r="N44" s="4" t="n">
        <f aca="false">M44</f>
        <v>3.23940151044115</v>
      </c>
      <c r="P44" s="5" t="n">
        <f aca="false">(30-K44)*15000</f>
        <v>330000</v>
      </c>
      <c r="Q44" s="5" t="n">
        <f aca="false">(P44*C44/1.055056)-(P44*3.19/B44)</f>
        <v>10732.3887067677</v>
      </c>
    </row>
    <row r="45" customFormat="false" ht="12.75" hidden="false" customHeight="false" outlineLevel="0" collapsed="false">
      <c r="A45" s="3" t="n">
        <v>36426</v>
      </c>
      <c r="B45" s="0" t="n">
        <v>1.5195</v>
      </c>
      <c r="C45" s="0" t="n">
        <v>2.25</v>
      </c>
      <c r="D45" s="4" t="n">
        <f aca="false">C45*B45/1.055056</f>
        <v>3.24046780455256</v>
      </c>
      <c r="E45" s="5" t="n">
        <v>15000</v>
      </c>
      <c r="F45" s="6" t="n">
        <f aca="false">(E45/1.055056*C45*30)-(E45*3.19/B45*30)</f>
        <v>14946.0428092462</v>
      </c>
      <c r="G45" s="5" t="n">
        <f aca="false">E45*30*3.19</f>
        <v>1435500</v>
      </c>
      <c r="H45" s="5" t="n">
        <f aca="false">G45/1.4995</f>
        <v>957319.10636879</v>
      </c>
      <c r="I45" s="5" t="n">
        <f aca="false">G45/B45-H45</f>
        <v>-12600.4489156801</v>
      </c>
      <c r="J45" s="7" t="n">
        <f aca="false">F45+I45</f>
        <v>2345.59389356617</v>
      </c>
      <c r="K45" s="0" t="n">
        <v>7</v>
      </c>
      <c r="L45" s="5" t="n">
        <f aca="false">K45*15000</f>
        <v>105000</v>
      </c>
      <c r="M45" s="4" t="n">
        <f aca="false">C45*B45/1.055056</f>
        <v>3.24046780455256</v>
      </c>
      <c r="N45" s="4" t="n">
        <f aca="false">M45</f>
        <v>3.24046780455256</v>
      </c>
      <c r="P45" s="5" t="n">
        <f aca="false">(30-K45)*15000</f>
        <v>345000</v>
      </c>
      <c r="Q45" s="5" t="n">
        <f aca="false">(P45*C45/1.055056)-(P45*3.19/B45)</f>
        <v>11458.6328204222</v>
      </c>
    </row>
    <row r="46" customFormat="false" ht="12.75" hidden="false" customHeight="false" outlineLevel="0" collapsed="false">
      <c r="A46" s="3" t="n">
        <v>36427</v>
      </c>
      <c r="B46" s="0" t="n">
        <v>1.52</v>
      </c>
      <c r="C46" s="0" t="n">
        <v>2.25</v>
      </c>
      <c r="D46" s="4" t="n">
        <f aca="false">C46*B46/1.055056</f>
        <v>3.24153409866396</v>
      </c>
      <c r="E46" s="5" t="n">
        <v>15000</v>
      </c>
      <c r="F46" s="6" t="n">
        <f aca="false">(E46/1.055056*C46*30)-(E46*3.19/B46*30)</f>
        <v>15256.8055255136</v>
      </c>
      <c r="G46" s="5" t="n">
        <f aca="false">E46*30*3.19</f>
        <v>1435500</v>
      </c>
      <c r="H46" s="5" t="n">
        <f aca="false">G46/1.4995</f>
        <v>957319.10636879</v>
      </c>
      <c r="I46" s="5" t="n">
        <f aca="false">G46/B46-H46</f>
        <v>-12911.2116319474</v>
      </c>
      <c r="J46" s="7" t="n">
        <f aca="false">F46+I46</f>
        <v>2345.59389356617</v>
      </c>
      <c r="K46" s="0" t="n">
        <v>6</v>
      </c>
      <c r="L46" s="5" t="n">
        <f aca="false">K46*15000</f>
        <v>90000</v>
      </c>
      <c r="M46" s="4" t="n">
        <f aca="false">C46*B46/1.055056</f>
        <v>3.24153409866396</v>
      </c>
      <c r="N46" s="4" t="n">
        <f aca="false">M46</f>
        <v>3.24153409866396</v>
      </c>
      <c r="P46" s="5" t="n">
        <f aca="false">(30-K46)*15000</f>
        <v>360000</v>
      </c>
      <c r="Q46" s="5" t="n">
        <f aca="false">(P46*C46/1.055056)-(P46*3.19/B46)</f>
        <v>12205.4444204109</v>
      </c>
    </row>
    <row r="47" customFormat="false" ht="12.75" hidden="false" customHeight="false" outlineLevel="0" collapsed="false">
      <c r="A47" s="3" t="n">
        <v>36428</v>
      </c>
      <c r="B47" s="0" t="n">
        <v>1.5205</v>
      </c>
      <c r="C47" s="0" t="n">
        <v>2.25</v>
      </c>
      <c r="D47" s="4" t="n">
        <f aca="false">C47*B47/1.055056</f>
        <v>3.24260039277536</v>
      </c>
      <c r="E47" s="5" t="n">
        <v>15000</v>
      </c>
      <c r="F47" s="6" t="n">
        <f aca="false">(E47/1.055056*C47*30)-(E47*3.19/B47*30)</f>
        <v>15567.3638598566</v>
      </c>
      <c r="G47" s="5" t="n">
        <f aca="false">E47*30*3.19</f>
        <v>1435500</v>
      </c>
      <c r="H47" s="5" t="n">
        <f aca="false">G47/1.4995</f>
        <v>957319.10636879</v>
      </c>
      <c r="I47" s="5" t="n">
        <f aca="false">G47/B47-H47</f>
        <v>-13221.7699662903</v>
      </c>
      <c r="J47" s="7" t="n">
        <f aca="false">F47+I47</f>
        <v>2345.59389356629</v>
      </c>
      <c r="K47" s="0" t="n">
        <v>5</v>
      </c>
      <c r="L47" s="5" t="n">
        <f aca="false">K47*15000</f>
        <v>75000</v>
      </c>
      <c r="M47" s="4" t="n">
        <f aca="false">C47*B47/1.055056</f>
        <v>3.24260039277536</v>
      </c>
      <c r="N47" s="4" t="n">
        <f aca="false">M47</f>
        <v>3.24260039277536</v>
      </c>
      <c r="P47" s="5" t="n">
        <f aca="false">(30-K47)*15000</f>
        <v>375000</v>
      </c>
      <c r="Q47" s="5" t="n">
        <f aca="false">(P47*C47/1.055056)-(P47*3.19/B47)</f>
        <v>12972.8032165471</v>
      </c>
    </row>
    <row r="48" customFormat="false" ht="12.75" hidden="false" customHeight="false" outlineLevel="0" collapsed="false">
      <c r="A48" s="3" t="n">
        <v>36429</v>
      </c>
      <c r="B48" s="0" t="n">
        <v>1.521</v>
      </c>
      <c r="C48" s="0" t="n">
        <v>2.25</v>
      </c>
      <c r="D48" s="4" t="n">
        <f aca="false">C48*B48/1.055056</f>
        <v>3.24366668688676</v>
      </c>
      <c r="E48" s="5" t="n">
        <v>15000</v>
      </c>
      <c r="F48" s="6" t="n">
        <f aca="false">(E48/1.055056*C48*30)-(E48*3.19/B48*30)</f>
        <v>15877.7180138349</v>
      </c>
      <c r="G48" s="5" t="n">
        <f aca="false">E48*30*3.19</f>
        <v>1435500</v>
      </c>
      <c r="H48" s="5" t="n">
        <f aca="false">G48/1.4995</f>
        <v>957319.10636879</v>
      </c>
      <c r="I48" s="5" t="n">
        <f aca="false">G48/B48-H48</f>
        <v>-13532.1241202689</v>
      </c>
      <c r="J48" s="7" t="n">
        <f aca="false">F48+I48</f>
        <v>2345.59389356605</v>
      </c>
      <c r="K48" s="0" t="n">
        <v>4</v>
      </c>
      <c r="L48" s="5" t="n">
        <f aca="false">K48*15000</f>
        <v>60000</v>
      </c>
      <c r="M48" s="4" t="n">
        <f aca="false">C48*B48/1.055056</f>
        <v>3.24366668688676</v>
      </c>
      <c r="N48" s="4" t="n">
        <f aca="false">M48</f>
        <v>3.24366668688676</v>
      </c>
      <c r="P48" s="5" t="n">
        <f aca="false">(30-K48)*15000</f>
        <v>390000</v>
      </c>
      <c r="Q48" s="5" t="n">
        <f aca="false">(P48*C48/1.055056)-(P48*3.19/B48)</f>
        <v>13760.6889453237</v>
      </c>
    </row>
    <row r="49" customFormat="false" ht="12.75" hidden="false" customHeight="false" outlineLevel="0" collapsed="false">
      <c r="A49" s="3" t="n">
        <v>36430</v>
      </c>
      <c r="B49" s="0" t="n">
        <v>1.5215</v>
      </c>
      <c r="C49" s="0" t="n">
        <v>2.25</v>
      </c>
      <c r="D49" s="4" t="n">
        <f aca="false">C49*B49/1.055056</f>
        <v>3.24473298099817</v>
      </c>
      <c r="E49" s="5" t="n">
        <v>15000</v>
      </c>
      <c r="F49" s="6" t="n">
        <f aca="false">(E49/1.055056*C49*30)-(E49*3.19/B49*30)</f>
        <v>16187.8681887442</v>
      </c>
      <c r="G49" s="5" t="n">
        <f aca="false">E49*30*3.19</f>
        <v>1435500</v>
      </c>
      <c r="H49" s="5" t="n">
        <f aca="false">G49/1.4995</f>
        <v>957319.10636879</v>
      </c>
      <c r="I49" s="5" t="n">
        <f aca="false">G49/B49-H49</f>
        <v>-13842.274295178</v>
      </c>
      <c r="J49" s="7" t="n">
        <f aca="false">F49+I49</f>
        <v>2345.59389356617</v>
      </c>
      <c r="K49" s="0" t="n">
        <v>3</v>
      </c>
      <c r="L49" s="5" t="n">
        <f aca="false">K49*15000</f>
        <v>45000</v>
      </c>
      <c r="M49" s="4" t="n">
        <f aca="false">C49*B49/1.055056</f>
        <v>3.24473298099817</v>
      </c>
      <c r="N49" s="4" t="n">
        <f aca="false">M49</f>
        <v>3.24473298099817</v>
      </c>
      <c r="P49" s="5" t="n">
        <f aca="false">(30-K49)*15000</f>
        <v>405000</v>
      </c>
      <c r="Q49" s="5" t="n">
        <f aca="false">(P49*C49/1.055056)-(P49*3.19/B49)</f>
        <v>14569.0813698698</v>
      </c>
    </row>
    <row r="50" customFormat="false" ht="12.75" hidden="false" customHeight="false" outlineLevel="0" collapsed="false">
      <c r="A50" s="3" t="n">
        <v>36431</v>
      </c>
      <c r="B50" s="0" t="n">
        <v>1.522</v>
      </c>
      <c r="C50" s="0" t="n">
        <v>2.25</v>
      </c>
      <c r="D50" s="4" t="n">
        <f aca="false">C50*B50/1.055056</f>
        <v>3.24579927510957</v>
      </c>
      <c r="E50" s="5" t="n">
        <v>15000</v>
      </c>
      <c r="F50" s="6" t="n">
        <f aca="false">(E50/1.055056*C50*30)-(E50*3.19/B50*30)</f>
        <v>16497.8145856146</v>
      </c>
      <c r="G50" s="5" t="n">
        <f aca="false">E50*30*3.19</f>
        <v>1435500</v>
      </c>
      <c r="H50" s="5" t="n">
        <f aca="false">G50/1.4995</f>
        <v>957319.10636879</v>
      </c>
      <c r="I50" s="5" t="n">
        <f aca="false">G50/B50-H50</f>
        <v>-14152.2206920484</v>
      </c>
      <c r="J50" s="7" t="n">
        <f aca="false">F50+I50</f>
        <v>2345.59389356617</v>
      </c>
      <c r="K50" s="0" t="n">
        <v>2</v>
      </c>
      <c r="L50" s="5" t="n">
        <f aca="false">K50*15000</f>
        <v>30000</v>
      </c>
      <c r="M50" s="4" t="n">
        <f aca="false">C50*B50/1.055056</f>
        <v>3.24579927510957</v>
      </c>
      <c r="N50" s="4" t="n">
        <f aca="false">M50</f>
        <v>3.24579927510957</v>
      </c>
      <c r="P50" s="5" t="n">
        <f aca="false">(30-K50)*15000</f>
        <v>420000</v>
      </c>
      <c r="Q50" s="5" t="n">
        <f aca="false">(P50*C50/1.055056)-(P50*3.19/B50)</f>
        <v>15397.960279907</v>
      </c>
    </row>
    <row r="51" customFormat="false" ht="12.75" hidden="false" customHeight="false" outlineLevel="0" collapsed="false">
      <c r="A51" s="3" t="n">
        <v>36432</v>
      </c>
      <c r="B51" s="0" t="n">
        <v>1.5225</v>
      </c>
      <c r="C51" s="0" t="n">
        <v>2.25</v>
      </c>
      <c r="D51" s="4" t="n">
        <f aca="false">C51*B51/1.055056</f>
        <v>3.24686556922097</v>
      </c>
      <c r="E51" s="5" t="n">
        <v>15000</v>
      </c>
      <c r="F51" s="6" t="n">
        <f aca="false">(E51/1.055056*C51*30)-(E51*3.19/B51*30)</f>
        <v>16807.5574052129</v>
      </c>
      <c r="G51" s="5" t="n">
        <f aca="false">E51*30*3.19</f>
        <v>1435500</v>
      </c>
      <c r="H51" s="5" t="n">
        <f aca="false">G51/1.4995</f>
        <v>957319.10636879</v>
      </c>
      <c r="I51" s="5" t="n">
        <f aca="false">G51/B51-H51</f>
        <v>-14461.9635116467</v>
      </c>
      <c r="J51" s="7" t="n">
        <f aca="false">F51+I51</f>
        <v>2345.59389356617</v>
      </c>
      <c r="K51" s="0" t="n">
        <v>1</v>
      </c>
      <c r="L51" s="5" t="n">
        <f aca="false">K51*15000</f>
        <v>15000</v>
      </c>
      <c r="M51" s="4" t="n">
        <f aca="false">C51*B51/1.055056</f>
        <v>3.24686556922097</v>
      </c>
      <c r="N51" s="4" t="n">
        <f aca="false">M51</f>
        <v>3.24686556922097</v>
      </c>
      <c r="P51" s="5" t="n">
        <f aca="false">(30-K51)*15000</f>
        <v>435000</v>
      </c>
      <c r="Q51" s="5" t="n">
        <f aca="false">(P51*C51/1.055056)-(P51*3.19/B51)</f>
        <v>16247.3054917058</v>
      </c>
    </row>
    <row r="52" customFormat="false" ht="12.75" hidden="false" customHeight="false" outlineLevel="0" collapsed="false">
      <c r="A52" s="3" t="n">
        <v>36433</v>
      </c>
      <c r="B52" s="0" t="n">
        <v>1.523</v>
      </c>
      <c r="C52" s="0" t="n">
        <v>2.25</v>
      </c>
      <c r="D52" s="4" t="n">
        <f aca="false">C52*B52/1.055056</f>
        <v>3.24793186333237</v>
      </c>
      <c r="E52" s="5" t="n">
        <v>15000</v>
      </c>
      <c r="F52" s="6" t="n">
        <f aca="false">(E52/1.055056*C52*30)-(E52*3.19/B52*30)</f>
        <v>17117.0968480419</v>
      </c>
      <c r="G52" s="5" t="n">
        <f aca="false">E52*30*3.19</f>
        <v>1435500</v>
      </c>
      <c r="H52" s="5" t="n">
        <f aca="false">G52/1.4995</f>
        <v>957319.10636879</v>
      </c>
      <c r="I52" s="5" t="n">
        <f aca="false">G52/B52-H52</f>
        <v>-14771.5029544757</v>
      </c>
      <c r="J52" s="7" t="n">
        <f aca="false">F52+I52</f>
        <v>2345.59389356617</v>
      </c>
      <c r="K52" s="0" t="n">
        <v>0</v>
      </c>
      <c r="L52" s="5" t="n">
        <f aca="false">K52*15000</f>
        <v>0</v>
      </c>
      <c r="M52" s="4" t="n">
        <f aca="false">C52*B52/1.055056</f>
        <v>3.24793186333237</v>
      </c>
      <c r="N52" s="4" t="n">
        <f aca="false">M52</f>
        <v>3.24793186333237</v>
      </c>
      <c r="P52" s="5" t="n">
        <f aca="false">(30-K52)*15000</f>
        <v>450000</v>
      </c>
      <c r="Q52" s="5" t="n">
        <f aca="false">(P52*C52/1.055056)-(P52*3.19/B52)</f>
        <v>17117.0968480419</v>
      </c>
      <c r="S52" s="8"/>
    </row>
    <row r="53" customFormat="false" ht="12.75" hidden="false" customHeight="false" outlineLevel="0" collapsed="false">
      <c r="A53" s="3" t="n">
        <v>36434</v>
      </c>
      <c r="B53" s="0" t="n">
        <v>1.5235</v>
      </c>
      <c r="C53" s="0" t="n">
        <v>2.25</v>
      </c>
      <c r="D53" s="4" t="n">
        <f aca="false">C53*B53/1.055056</f>
        <v>3.24899815744378</v>
      </c>
      <c r="E53" s="5" t="n">
        <v>15000</v>
      </c>
      <c r="F53" s="6" t="n">
        <f aca="false">(E53/1.055056*C53*30)-(E53*3.19/B53*30)</f>
        <v>17426.4331143413</v>
      </c>
      <c r="G53" s="5" t="n">
        <f aca="false">E53*30*3.19</f>
        <v>1435500</v>
      </c>
      <c r="H53" s="5" t="n">
        <f aca="false">G53/1.4995</f>
        <v>957319.10636879</v>
      </c>
      <c r="I53" s="5" t="n">
        <f aca="false">G53/B53-H53</f>
        <v>-15080.8392207752</v>
      </c>
      <c r="J53" s="7" t="n">
        <f aca="false">F53+I53</f>
        <v>2345.59389356617</v>
      </c>
    </row>
    <row r="54" customFormat="false" ht="12.75" hidden="false" customHeight="false" outlineLevel="0" collapsed="false">
      <c r="A54" s="3" t="n">
        <v>36435</v>
      </c>
      <c r="B54" s="0" t="n">
        <v>1.524</v>
      </c>
      <c r="C54" s="0" t="n">
        <v>2.25</v>
      </c>
      <c r="D54" s="4" t="n">
        <f aca="false">C54*B54/1.055056</f>
        <v>3.25006445155518</v>
      </c>
      <c r="E54" s="5" t="n">
        <v>15000</v>
      </c>
      <c r="F54" s="6"/>
      <c r="G54" s="5" t="n">
        <f aca="false">E54*30*3.19</f>
        <v>1435500</v>
      </c>
      <c r="H54" s="5" t="n">
        <f aca="false">G54/1.4995</f>
        <v>957319.10636879</v>
      </c>
      <c r="I54" s="5" t="n">
        <f aca="false">G54/B54-H54</f>
        <v>-15389.9725105219</v>
      </c>
      <c r="J54" s="7" t="n">
        <f aca="false">F54+I54</f>
        <v>-15389.9725105219</v>
      </c>
    </row>
    <row r="55" customFormat="false" ht="12.75" hidden="false" customHeight="false" outlineLevel="0" collapsed="false">
      <c r="A55" s="3" t="n">
        <v>36436</v>
      </c>
      <c r="B55" s="0" t="n">
        <v>1.5245</v>
      </c>
      <c r="C55" s="0" t="n">
        <v>2.25</v>
      </c>
      <c r="D55" s="4" t="n">
        <f aca="false">C55*B55/1.055056</f>
        <v>3.25113074566658</v>
      </c>
      <c r="E55" s="5" t="n">
        <v>15000</v>
      </c>
      <c r="F55" s="6"/>
      <c r="G55" s="5" t="n">
        <f aca="false">E55*30*3.19</f>
        <v>1435500</v>
      </c>
      <c r="H55" s="5" t="n">
        <f aca="false">G55/1.4995</f>
        <v>957319.10636879</v>
      </c>
      <c r="I55" s="5" t="n">
        <f aca="false">G55/B55-H55</f>
        <v>-15698.9030234304</v>
      </c>
      <c r="J55" s="7" t="n">
        <f aca="false">F55+I55</f>
        <v>-15698.9030234304</v>
      </c>
    </row>
    <row r="56" customFormat="false" ht="12.75" hidden="false" customHeight="false" outlineLevel="0" collapsed="false">
      <c r="A56" s="3" t="n">
        <v>36437</v>
      </c>
      <c r="B56" s="0" t="n">
        <v>1.525</v>
      </c>
      <c r="C56" s="0" t="n">
        <v>2.25</v>
      </c>
      <c r="D56" s="4" t="n">
        <f aca="false">C56*B56/1.055056</f>
        <v>3.25219703977798</v>
      </c>
      <c r="E56" s="5" t="n">
        <v>15000</v>
      </c>
      <c r="F56" s="6"/>
      <c r="G56" s="5" t="n">
        <f aca="false">E56*30*3.19</f>
        <v>1435500</v>
      </c>
      <c r="H56" s="5" t="n">
        <f aca="false">G56/1.4995</f>
        <v>957319.10636879</v>
      </c>
      <c r="I56" s="5" t="n">
        <f aca="false">G56/B56-H56</f>
        <v>-16007.6309589534</v>
      </c>
      <c r="J56" s="7" t="n">
        <f aca="false">F56+I56</f>
        <v>-16007.6309589534</v>
      </c>
    </row>
    <row r="57" customFormat="false" ht="12.75" hidden="false" customHeight="false" outlineLevel="0" collapsed="false">
      <c r="A57" s="3" t="n">
        <v>36438</v>
      </c>
      <c r="B57" s="0" t="n">
        <v>1.5255</v>
      </c>
      <c r="C57" s="0" t="n">
        <v>2.25</v>
      </c>
      <c r="D57" s="4" t="n">
        <f aca="false">C57*B57/1.055056</f>
        <v>3.25326333388939</v>
      </c>
      <c r="E57" s="5" t="n">
        <v>15000</v>
      </c>
      <c r="F57" s="6"/>
      <c r="G57" s="5" t="n">
        <f aca="false">E57*30*3.19</f>
        <v>1435500</v>
      </c>
      <c r="H57" s="5" t="n">
        <f aca="false">G57/1.4995</f>
        <v>957319.10636879</v>
      </c>
      <c r="I57" s="5" t="n">
        <f aca="false">G57/B57-H57</f>
        <v>-16316.1565162822</v>
      </c>
      <c r="J57" s="7" t="n">
        <f aca="false">F57+I57</f>
        <v>-16316.1565162822</v>
      </c>
    </row>
    <row r="58" customFormat="false" ht="12.75" hidden="false" customHeight="false" outlineLevel="0" collapsed="false">
      <c r="A58" s="3" t="n">
        <v>36439</v>
      </c>
      <c r="B58" s="0" t="n">
        <v>1.526</v>
      </c>
      <c r="C58" s="0" t="n">
        <v>2.25</v>
      </c>
      <c r="D58" s="4" t="n">
        <f aca="false">C58*B58/1.055056</f>
        <v>3.25432962800079</v>
      </c>
      <c r="E58" s="5" t="n">
        <v>15000</v>
      </c>
      <c r="F58" s="6"/>
      <c r="G58" s="5" t="n">
        <f aca="false">E58*30*3.19</f>
        <v>1435500</v>
      </c>
      <c r="H58" s="5" t="n">
        <f aca="false">G58/1.4995</f>
        <v>957319.10636879</v>
      </c>
      <c r="I58" s="5" t="n">
        <f aca="false">G58/B58-H58</f>
        <v>-16624.4798943466</v>
      </c>
      <c r="J58" s="7" t="n">
        <f aca="false">F58+I58</f>
        <v>-16624.4798943466</v>
      </c>
    </row>
    <row r="59" customFormat="false" ht="12.75" hidden="false" customHeight="false" outlineLevel="0" collapsed="false">
      <c r="A59" s="3" t="n">
        <v>36440</v>
      </c>
      <c r="B59" s="0" t="n">
        <v>1.5265</v>
      </c>
      <c r="C59" s="0" t="n">
        <v>2.25</v>
      </c>
      <c r="D59" s="4" t="n">
        <f aca="false">C59*B59/1.055056</f>
        <v>3.25539592211219</v>
      </c>
      <c r="E59" s="5" t="n">
        <v>15000</v>
      </c>
      <c r="F59" s="6"/>
      <c r="G59" s="5" t="n">
        <f aca="false">E59*30*3.19</f>
        <v>1435500</v>
      </c>
      <c r="H59" s="5" t="n">
        <f aca="false">G59/1.4995</f>
        <v>957319.10636879</v>
      </c>
      <c r="I59" s="5" t="n">
        <f aca="false">G59/B59-H59</f>
        <v>-16932.6012918161</v>
      </c>
      <c r="J59" s="7" t="n">
        <f aca="false">F59+I59</f>
        <v>-16932.6012918161</v>
      </c>
    </row>
    <row r="60" customFormat="false" ht="12.75" hidden="false" customHeight="false" outlineLevel="0" collapsed="false">
      <c r="A60" s="3" t="n">
        <v>36441</v>
      </c>
      <c r="B60" s="0" t="n">
        <v>1.527</v>
      </c>
      <c r="C60" s="0" t="n">
        <v>2.25</v>
      </c>
      <c r="D60" s="4" t="n">
        <f aca="false">C60*B60/1.055056</f>
        <v>3.25646221622359</v>
      </c>
      <c r="E60" s="5" t="n">
        <v>15000</v>
      </c>
      <c r="F60" s="6"/>
      <c r="G60" s="5" t="n">
        <f aca="false">E60*30*3.19</f>
        <v>1435500</v>
      </c>
      <c r="H60" s="5" t="n">
        <f aca="false">G60/1.4995</f>
        <v>957319.10636879</v>
      </c>
      <c r="I60" s="5" t="n">
        <f aca="false">G60/B60-H60</f>
        <v>-17240.5209070999</v>
      </c>
      <c r="J60" s="7" t="n">
        <f aca="false">F60+I60</f>
        <v>-17240.5209070999</v>
      </c>
    </row>
    <row r="61" customFormat="false" ht="12.75" hidden="false" customHeight="false" outlineLevel="0" collapsed="false">
      <c r="A61" s="3" t="n">
        <v>36442</v>
      </c>
      <c r="B61" s="0" t="n">
        <v>1.5275</v>
      </c>
      <c r="C61" s="0" t="n">
        <v>2.25</v>
      </c>
      <c r="D61" s="4" t="n">
        <f aca="false">C61*B61/1.055056</f>
        <v>3.257528510335</v>
      </c>
      <c r="E61" s="5" t="n">
        <v>15000</v>
      </c>
      <c r="F61" s="6"/>
      <c r="G61" s="5" t="n">
        <f aca="false">E61*30*3.19</f>
        <v>1435500</v>
      </c>
      <c r="H61" s="5" t="n">
        <f aca="false">G61/1.4995</f>
        <v>957319.10636879</v>
      </c>
      <c r="I61" s="5" t="n">
        <f aca="false">G61/B61-H61</f>
        <v>-17548.2389383477</v>
      </c>
      <c r="J61" s="7" t="n">
        <f aca="false">F61+I61</f>
        <v>-17548.2389383477</v>
      </c>
    </row>
    <row r="62" customFormat="false" ht="12.75" hidden="false" customHeight="false" outlineLevel="0" collapsed="false">
      <c r="A62" s="3" t="n">
        <v>36443</v>
      </c>
      <c r="B62" s="0" t="n">
        <v>1.528</v>
      </c>
      <c r="C62" s="0" t="n">
        <v>2.25</v>
      </c>
      <c r="D62" s="4" t="n">
        <f aca="false">C62*B62/1.055056</f>
        <v>3.2585948044464</v>
      </c>
      <c r="E62" s="5" t="n">
        <v>15000</v>
      </c>
      <c r="F62" s="6"/>
      <c r="G62" s="5" t="n">
        <f aca="false">E62*30*3.19</f>
        <v>1435500</v>
      </c>
      <c r="H62" s="5" t="n">
        <f aca="false">G62/1.4995</f>
        <v>957319.10636879</v>
      </c>
      <c r="I62" s="5" t="n">
        <f aca="false">G62/B62-H62</f>
        <v>-17855.7555834493</v>
      </c>
      <c r="J62" s="7" t="n">
        <f aca="false">F62+I62</f>
        <v>-17855.7555834493</v>
      </c>
    </row>
    <row r="63" customFormat="false" ht="12.75" hidden="false" customHeight="false" outlineLevel="0" collapsed="false">
      <c r="A63" s="3" t="n">
        <v>36444</v>
      </c>
      <c r="B63" s="0" t="n">
        <v>1.5285</v>
      </c>
      <c r="C63" s="0" t="n">
        <v>2.25</v>
      </c>
      <c r="D63" s="4" t="n">
        <f aca="false">C63*B63/1.055056</f>
        <v>3.2596610985578</v>
      </c>
      <c r="E63" s="5" t="n">
        <v>15000</v>
      </c>
      <c r="F63" s="6"/>
      <c r="G63" s="5" t="n">
        <f aca="false">E63*30*3.19</f>
        <v>1435500</v>
      </c>
      <c r="H63" s="5" t="n">
        <f aca="false">G63/1.4995</f>
        <v>957319.10636879</v>
      </c>
      <c r="I63" s="5" t="n">
        <f aca="false">G63/B63-H63</f>
        <v>-18163.0710400359</v>
      </c>
      <c r="J63" s="7" t="n">
        <f aca="false">F63+I63</f>
        <v>-18163.0710400359</v>
      </c>
    </row>
    <row r="64" customFormat="false" ht="12.75" hidden="false" customHeight="false" outlineLevel="0" collapsed="false">
      <c r="A64" s="3" t="n">
        <v>36445</v>
      </c>
      <c r="B64" s="0" t="n">
        <v>1.529</v>
      </c>
      <c r="C64" s="0" t="n">
        <v>2.25</v>
      </c>
      <c r="D64" s="4" t="n">
        <f aca="false">C64*B64/1.055056</f>
        <v>3.2607273926692</v>
      </c>
      <c r="E64" s="5" t="n">
        <v>15000</v>
      </c>
      <c r="F64" s="6"/>
      <c r="G64" s="5" t="n">
        <f aca="false">E64*30*3.19</f>
        <v>1435500</v>
      </c>
      <c r="H64" s="5" t="n">
        <f aca="false">G64/1.4995</f>
        <v>957319.10636879</v>
      </c>
      <c r="I64" s="5" t="n">
        <f aca="false">G64/B64-H64</f>
        <v>-18470.1855054802</v>
      </c>
      <c r="J64" s="7" t="n">
        <f aca="false">F64+I64</f>
        <v>-18470.1855054802</v>
      </c>
    </row>
    <row r="65" customFormat="false" ht="12.75" hidden="false" customHeight="false" outlineLevel="0" collapsed="false">
      <c r="A65" s="3" t="n">
        <v>36446</v>
      </c>
      <c r="B65" s="0" t="n">
        <v>1.5295</v>
      </c>
      <c r="C65" s="0" t="n">
        <v>2.25</v>
      </c>
      <c r="D65" s="4" t="n">
        <f aca="false">C65*B65/1.055056</f>
        <v>3.26179368678061</v>
      </c>
      <c r="E65" s="5" t="n">
        <v>15000</v>
      </c>
      <c r="F65" s="6"/>
      <c r="G65" s="5" t="n">
        <f aca="false">E65*30*3.19</f>
        <v>1435500</v>
      </c>
      <c r="H65" s="5" t="n">
        <f aca="false">G65/1.4995</f>
        <v>957319.10636879</v>
      </c>
      <c r="I65" s="5" t="n">
        <f aca="false">G65/B65-H65</f>
        <v>-18777.0991768969</v>
      </c>
      <c r="J65" s="7" t="n">
        <f aca="false">F65+I65</f>
        <v>-18777.0991768969</v>
      </c>
    </row>
    <row r="66" customFormat="false" ht="12.75" hidden="false" customHeight="false" outlineLevel="0" collapsed="false">
      <c r="A66" s="3" t="n">
        <v>36447</v>
      </c>
      <c r="B66" s="0" t="n">
        <v>1.53</v>
      </c>
      <c r="C66" s="0" t="n">
        <v>2.25</v>
      </c>
      <c r="D66" s="4" t="n">
        <f aca="false">C66*B66/1.055056</f>
        <v>3.26285998089201</v>
      </c>
      <c r="E66" s="5" t="n">
        <v>15000</v>
      </c>
      <c r="F66" s="6"/>
      <c r="G66" s="5" t="n">
        <f aca="false">E66*30*3.19</f>
        <v>1435500</v>
      </c>
      <c r="H66" s="5" t="n">
        <f aca="false">G66/1.4995</f>
        <v>957319.10636879</v>
      </c>
      <c r="I66" s="5" t="n">
        <f aca="false">G66/B66-H66</f>
        <v>-19083.8122511426</v>
      </c>
      <c r="J66" s="7" t="n">
        <f aca="false">F66+I66</f>
        <v>-19083.8122511426</v>
      </c>
    </row>
    <row r="67" customFormat="false" ht="12.75" hidden="false" customHeight="false" outlineLevel="0" collapsed="false">
      <c r="A67" s="3" t="n">
        <v>36448</v>
      </c>
      <c r="B67" s="0" t="n">
        <v>1.5305</v>
      </c>
      <c r="C67" s="0" t="n">
        <v>2.25</v>
      </c>
      <c r="D67" s="4" t="n">
        <f aca="false">C67*B67/1.055056</f>
        <v>3.26392627500341</v>
      </c>
      <c r="E67" s="5" t="n">
        <v>15000</v>
      </c>
      <c r="F67" s="6"/>
      <c r="G67" s="5" t="n">
        <f aca="false">E67*30*3.19</f>
        <v>1435500</v>
      </c>
      <c r="H67" s="5" t="n">
        <f aca="false">G67/1.4995</f>
        <v>957319.10636879</v>
      </c>
      <c r="I67" s="5" t="n">
        <f aca="false">G67/B67-H67</f>
        <v>-19390.324924817</v>
      </c>
      <c r="J67" s="7" t="n">
        <f aca="false">F67+I67</f>
        <v>-19390.324924817</v>
      </c>
    </row>
    <row r="68" customFormat="false" ht="12.75" hidden="false" customHeight="false" outlineLevel="0" collapsed="false">
      <c r="A68" s="3" t="n">
        <v>36449</v>
      </c>
      <c r="B68" s="0" t="n">
        <v>1.531</v>
      </c>
      <c r="C68" s="0" t="n">
        <v>2.25</v>
      </c>
      <c r="D68" s="4" t="n">
        <f aca="false">C68*B68/1.055056</f>
        <v>3.26499256911481</v>
      </c>
      <c r="E68" s="5" t="n">
        <v>15000</v>
      </c>
      <c r="F68" s="6"/>
      <c r="G68" s="5" t="n">
        <f aca="false">E68*30*3.19</f>
        <v>1435500</v>
      </c>
      <c r="H68" s="5" t="n">
        <f aca="false">G68/1.4995</f>
        <v>957319.10636879</v>
      </c>
      <c r="I68" s="5" t="n">
        <f aca="false">G68/B68-H68</f>
        <v>-19696.6373942631</v>
      </c>
      <c r="J68" s="7" t="n">
        <f aca="false">F68+I68</f>
        <v>-19696.6373942631</v>
      </c>
    </row>
    <row r="69" customFormat="false" ht="12.75" hidden="false" customHeight="false" outlineLevel="0" collapsed="false">
      <c r="A69" s="3" t="n">
        <v>36450</v>
      </c>
      <c r="B69" s="0" t="n">
        <v>1.5315</v>
      </c>
      <c r="C69" s="0" t="n">
        <v>2.25</v>
      </c>
      <c r="D69" s="4" t="n">
        <f aca="false">C69*B69/1.055056</f>
        <v>3.26605886322622</v>
      </c>
      <c r="E69" s="5" t="n">
        <v>15000</v>
      </c>
      <c r="F69" s="6"/>
      <c r="G69" s="5" t="n">
        <f aca="false">E69*30*3.19</f>
        <v>1435500</v>
      </c>
      <c r="H69" s="5" t="n">
        <f aca="false">G69/1.4995</f>
        <v>957319.10636879</v>
      </c>
      <c r="I69" s="5" t="n">
        <f aca="false">G69/B69-H69</f>
        <v>-20002.7498555672</v>
      </c>
      <c r="J69" s="7" t="n">
        <f aca="false">F69+I69</f>
        <v>-20002.7498555672</v>
      </c>
    </row>
    <row r="70" customFormat="false" ht="12.75" hidden="false" customHeight="false" outlineLevel="0" collapsed="false">
      <c r="A70" s="3" t="n">
        <v>36451</v>
      </c>
      <c r="B70" s="0" t="n">
        <v>1.532</v>
      </c>
      <c r="C70" s="0" t="n">
        <v>2.25</v>
      </c>
      <c r="D70" s="4" t="n">
        <f aca="false">C70*B70/1.055056</f>
        <v>3.26712515733762</v>
      </c>
      <c r="E70" s="5" t="n">
        <v>15000</v>
      </c>
      <c r="F70" s="6"/>
      <c r="G70" s="5" t="n">
        <f aca="false">E70*30*3.19</f>
        <v>1435500</v>
      </c>
      <c r="H70" s="5" t="n">
        <f aca="false">G70/1.4995</f>
        <v>957319.10636879</v>
      </c>
      <c r="I70" s="5" t="n">
        <f aca="false">G70/B70-H70</f>
        <v>-20308.6625045599</v>
      </c>
      <c r="J70" s="7" t="n">
        <f aca="false">F70+I70</f>
        <v>-20308.6625045599</v>
      </c>
    </row>
    <row r="71" customFormat="false" ht="12.75" hidden="false" customHeight="false" outlineLevel="0" collapsed="false">
      <c r="A71" s="3" t="n">
        <v>36452</v>
      </c>
      <c r="B71" s="0" t="n">
        <v>1.5325</v>
      </c>
      <c r="C71" s="0" t="n">
        <v>2.25</v>
      </c>
      <c r="D71" s="4" t="n">
        <f aca="false">C71*B71/1.055056</f>
        <v>3.26819145144902</v>
      </c>
      <c r="E71" s="5" t="n">
        <v>15000</v>
      </c>
      <c r="F71" s="6"/>
      <c r="G71" s="5" t="n">
        <f aca="false">E71*30*3.19</f>
        <v>1435500</v>
      </c>
      <c r="H71" s="5" t="n">
        <f aca="false">G71/1.4995</f>
        <v>957319.10636879</v>
      </c>
      <c r="I71" s="5" t="n">
        <f aca="false">G71/B71-H71</f>
        <v>-20614.3755368156</v>
      </c>
      <c r="J71" s="7" t="n">
        <f aca="false">F71+I71</f>
        <v>-20614.3755368156</v>
      </c>
    </row>
    <row r="72" customFormat="false" ht="12.75" hidden="false" customHeight="false" outlineLevel="0" collapsed="false">
      <c r="A72" s="3" t="n">
        <v>36453</v>
      </c>
      <c r="B72" s="0" t="n">
        <v>1.533</v>
      </c>
      <c r="C72" s="0" t="n">
        <v>2.25</v>
      </c>
      <c r="D72" s="4" t="n">
        <f aca="false">C72*B72/1.055056</f>
        <v>3.26925774556043</v>
      </c>
      <c r="E72" s="5" t="n">
        <v>15000</v>
      </c>
      <c r="F72" s="6"/>
      <c r="G72" s="5" t="n">
        <f aca="false">E72*30*3.19</f>
        <v>1435500</v>
      </c>
      <c r="H72" s="5" t="n">
        <f aca="false">G72/1.4995</f>
        <v>957319.10636879</v>
      </c>
      <c r="I72" s="5" t="n">
        <f aca="false">G72/B72-H72</f>
        <v>-20919.8891476545</v>
      </c>
      <c r="J72" s="7" t="n">
        <f aca="false">F72+I72</f>
        <v>-20919.8891476545</v>
      </c>
    </row>
    <row r="73" customFormat="false" ht="12.75" hidden="false" customHeight="false" outlineLevel="0" collapsed="false">
      <c r="A73" s="3" t="n">
        <v>36454</v>
      </c>
      <c r="B73" s="0" t="n">
        <v>1.5335</v>
      </c>
      <c r="C73" s="0" t="n">
        <v>2.25</v>
      </c>
      <c r="D73" s="4" t="n">
        <f aca="false">C73*B73/1.055056</f>
        <v>3.27032403967183</v>
      </c>
      <c r="E73" s="5" t="n">
        <v>15000</v>
      </c>
      <c r="F73" s="6"/>
      <c r="G73" s="5" t="n">
        <f aca="false">E73*30*3.19</f>
        <v>1435500</v>
      </c>
      <c r="H73" s="5" t="n">
        <f aca="false">G73/1.4995</f>
        <v>957319.10636879</v>
      </c>
      <c r="I73" s="5" t="n">
        <f aca="false">G73/B73-H73</f>
        <v>-21225.2035321414</v>
      </c>
      <c r="J73" s="7" t="n">
        <f aca="false">F73+I73</f>
        <v>-21225.2035321414</v>
      </c>
    </row>
    <row r="74" customFormat="false" ht="12.75" hidden="false" customHeight="false" outlineLevel="0" collapsed="false">
      <c r="A74" s="3" t="n">
        <v>36455</v>
      </c>
      <c r="B74" s="0" t="n">
        <v>1.534</v>
      </c>
      <c r="C74" s="0" t="n">
        <v>2.25</v>
      </c>
      <c r="D74" s="4" t="n">
        <f aca="false">C74*B74/1.055056</f>
        <v>3.27139033378323</v>
      </c>
      <c r="E74" s="5" t="n">
        <v>15000</v>
      </c>
      <c r="F74" s="6"/>
      <c r="G74" s="5" t="n">
        <f aca="false">E74*30*3.19</f>
        <v>1435500</v>
      </c>
      <c r="H74" s="5" t="n">
        <f aca="false">G74/1.4995</f>
        <v>957319.10636879</v>
      </c>
      <c r="I74" s="5" t="n">
        <f aca="false">G74/B74-H74</f>
        <v>-21530.3188850868</v>
      </c>
      <c r="J74" s="7" t="n">
        <f aca="false">F74+I74</f>
        <v>-21530.3188850868</v>
      </c>
    </row>
    <row r="75" customFormat="false" ht="12.75" hidden="false" customHeight="false" outlineLevel="0" collapsed="false">
      <c r="A75" s="3" t="n">
        <v>36456</v>
      </c>
      <c r="B75" s="0" t="n">
        <v>1.5345</v>
      </c>
      <c r="C75" s="0" t="n">
        <v>2.25</v>
      </c>
      <c r="D75" s="4" t="n">
        <f aca="false">C75*B75/1.055056</f>
        <v>3.27245662789463</v>
      </c>
      <c r="E75" s="5" t="n">
        <v>15000</v>
      </c>
      <c r="F75" s="6"/>
      <c r="G75" s="5" t="n">
        <f aca="false">E75*30*3.19</f>
        <v>1435500</v>
      </c>
      <c r="H75" s="5" t="n">
        <f aca="false">G75/1.4995</f>
        <v>957319.10636879</v>
      </c>
      <c r="I75" s="5" t="n">
        <f aca="false">G75/B75-H75</f>
        <v>-21835.2354010476</v>
      </c>
      <c r="J75" s="7" t="n">
        <f aca="false">F75+I75</f>
        <v>-21835.2354010476</v>
      </c>
    </row>
    <row r="76" customFormat="false" ht="12.75" hidden="false" customHeight="false" outlineLevel="0" collapsed="false">
      <c r="A76" s="3" t="n">
        <v>36457</v>
      </c>
      <c r="B76" s="0" t="n">
        <v>1.535</v>
      </c>
      <c r="C76" s="0" t="n">
        <v>2.25</v>
      </c>
      <c r="D76" s="4" t="n">
        <f aca="false">C76*B76/1.055056</f>
        <v>3.27352292200604</v>
      </c>
      <c r="E76" s="5" t="n">
        <v>15000</v>
      </c>
      <c r="F76" s="6"/>
      <c r="G76" s="5" t="n">
        <f aca="false">E76*30*3.19</f>
        <v>1435500</v>
      </c>
      <c r="H76" s="5" t="n">
        <f aca="false">G76/1.4995</f>
        <v>957319.10636879</v>
      </c>
      <c r="I76" s="5" t="n">
        <f aca="false">G76/B76-H76</f>
        <v>-22139.953274327</v>
      </c>
      <c r="J76" s="7" t="n">
        <f aca="false">F76+I76</f>
        <v>-22139.953274327</v>
      </c>
    </row>
    <row r="77" customFormat="false" ht="12.75" hidden="false" customHeight="false" outlineLevel="0" collapsed="false">
      <c r="A77" s="3" t="n">
        <v>36458</v>
      </c>
      <c r="B77" s="0" t="n">
        <v>1.5355</v>
      </c>
      <c r="C77" s="0" t="n">
        <v>2.25</v>
      </c>
      <c r="D77" s="4" t="n">
        <f aca="false">C77*B77/1.055056</f>
        <v>3.27458921611744</v>
      </c>
      <c r="E77" s="5" t="n">
        <v>15000</v>
      </c>
      <c r="F77" s="6"/>
      <c r="G77" s="5" t="n">
        <f aca="false">E77*30*3.19</f>
        <v>1435500</v>
      </c>
      <c r="H77" s="5" t="n">
        <f aca="false">G77/1.4995</f>
        <v>957319.10636879</v>
      </c>
      <c r="I77" s="5" t="n">
        <f aca="false">G77/B77-H77</f>
        <v>-22444.4726989752</v>
      </c>
      <c r="J77" s="7" t="n">
        <f aca="false">F77+I77</f>
        <v>-22444.4726989752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2" zoomScaleNormal="82" zoomScalePageLayoutView="100" workbookViewId="0">
      <selection pane="topLeft" activeCell="A1" activeCellId="0" sqref="A1"/>
    </sheetView>
  </sheetViews>
  <sheetFormatPr defaultColWidth="12.804687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3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0" topLeftCell="G1" activePane="topRight" state="frozen"/>
      <selection pane="topLeft" activeCell="A1" activeCellId="0" sqref="A1"/>
      <selection pane="topRight" activeCell="Q15" activeCellId="0" sqref="Q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5"/>
    <col collapsed="false" customWidth="true" hidden="false" outlineLevel="0" max="2" min="2" style="0" width="3.15"/>
    <col collapsed="false" customWidth="true" hidden="false" outlineLevel="0" max="3" min="3" style="0" width="5.82"/>
    <col collapsed="false" customWidth="true" hidden="false" outlineLevel="0" max="4" min="4" style="0" width="8.49"/>
    <col collapsed="false" customWidth="true" hidden="false" outlineLevel="0" max="5" min="5" style="0" width="9.99"/>
    <col collapsed="false" customWidth="true" hidden="false" outlineLevel="0" max="6" min="6" style="0" width="10.49"/>
    <col collapsed="false" customWidth="true" hidden="false" outlineLevel="0" max="8" min="8" style="0" width="12.49"/>
    <col collapsed="false" customWidth="true" hidden="false" outlineLevel="0" max="10" min="9" style="0" width="8.65"/>
    <col collapsed="false" customWidth="true" hidden="false" outlineLevel="0" max="11" min="11" style="0" width="10.49"/>
    <col collapsed="false" customWidth="true" hidden="false" outlineLevel="0" max="12" min="12" style="0" width="1.32"/>
    <col collapsed="false" customWidth="true" hidden="false" outlineLevel="0" max="13" min="13" style="0" width="12.32"/>
    <col collapsed="false" customWidth="true" hidden="false" outlineLevel="0" max="14" min="14" style="0" width="12.49"/>
    <col collapsed="false" customWidth="true" hidden="true" outlineLevel="0" max="15" min="15" style="0" width="6.99"/>
    <col collapsed="false" customWidth="true" hidden="false" outlineLevel="0" max="16" min="16" style="0" width="1.49"/>
    <col collapsed="false" customWidth="true" hidden="false" outlineLevel="0" max="17" min="17" style="0" width="9.65"/>
    <col collapsed="false" customWidth="true" hidden="false" outlineLevel="0" max="20" min="18" style="0" width="9.49"/>
    <col collapsed="false" customWidth="true" hidden="false" outlineLevel="0" max="21" min="21" style="0" width="8.65"/>
    <col collapsed="false" customWidth="true" hidden="false" outlineLevel="0" max="22" min="22" style="0" width="10.49"/>
    <col collapsed="false" customWidth="true" hidden="false" outlineLevel="0" max="23" min="23" style="0" width="9.49"/>
    <col collapsed="false" customWidth="true" hidden="false" outlineLevel="0" max="24" min="24" style="0" width="10.49"/>
    <col collapsed="false" customWidth="true" hidden="false" outlineLevel="0" max="26" min="25" style="9" width="10.49"/>
    <col collapsed="false" customWidth="true" hidden="false" outlineLevel="0" max="28" min="27" style="0" width="10.49"/>
    <col collapsed="false" customWidth="true" hidden="false" outlineLevel="0" max="30" min="30" style="0" width="10.49"/>
    <col collapsed="false" customWidth="true" hidden="false" outlineLevel="0" max="31" min="31" style="0" width="8.99"/>
    <col collapsed="false" customWidth="true" hidden="false" outlineLevel="0" max="32" min="32" style="0" width="11.49"/>
    <col collapsed="false" customWidth="true" hidden="false" outlineLevel="0" max="40" min="40" style="0" width="13.49"/>
  </cols>
  <sheetData>
    <row r="1" customFormat="false" ht="5.25" hidden="false" customHeight="true" outlineLevel="0" collapsed="false"/>
    <row r="2" customFormat="false" ht="12.75" hidden="false" customHeight="false" outlineLevel="0" collapsed="false">
      <c r="H2" s="10" t="n">
        <v>5</v>
      </c>
      <c r="I2" s="10" t="n">
        <v>2001</v>
      </c>
      <c r="K2" s="11" t="s">
        <v>17</v>
      </c>
      <c r="L2" s="12"/>
      <c r="M2" s="13" t="n">
        <v>0.03411</v>
      </c>
      <c r="N2" s="14" t="n">
        <v>0.03778</v>
      </c>
      <c r="O2" s="15"/>
      <c r="P2" s="15"/>
      <c r="Q2" s="16" t="s">
        <v>18</v>
      </c>
      <c r="R2" s="17" t="n">
        <v>0.18</v>
      </c>
      <c r="S2" s="17" t="n">
        <v>0.14</v>
      </c>
      <c r="T2" s="18" t="n">
        <f aca="false">((T4*365)-(T3*214))/151</f>
        <v>0.228990066225166</v>
      </c>
      <c r="AB2" s="2" t="s">
        <v>19</v>
      </c>
    </row>
    <row r="3" customFormat="false" ht="13.5" hidden="false" customHeight="false" outlineLevel="0" collapsed="false">
      <c r="A3" s="19" t="n">
        <f aca="false">DATE(I2,H2,1)</f>
        <v>37012</v>
      </c>
      <c r="E3" s="6"/>
      <c r="F3" s="20" t="s">
        <v>20</v>
      </c>
      <c r="G3" s="21" t="n">
        <v>7000</v>
      </c>
      <c r="H3" s="10" t="n">
        <v>3</v>
      </c>
      <c r="I3" s="10" t="n">
        <v>2011</v>
      </c>
      <c r="J3" s="22" t="s">
        <v>21</v>
      </c>
      <c r="K3" s="23" t="n">
        <f aca="false">M5/N5</f>
        <v>0.255430451622767</v>
      </c>
      <c r="L3" s="24"/>
      <c r="M3" s="7" t="n">
        <v>596331.092266507</v>
      </c>
      <c r="N3" s="7" t="n">
        <v>660453.44546096</v>
      </c>
      <c r="O3" s="15"/>
      <c r="P3" s="15"/>
      <c r="Q3" s="25" t="s">
        <v>22</v>
      </c>
      <c r="R3" s="26" t="n">
        <v>0.02</v>
      </c>
      <c r="S3" s="27" t="n">
        <f aca="false">((S4*365)-(S2*151))/214</f>
        <v>-0.0305607476635514</v>
      </c>
      <c r="T3" s="28" t="n">
        <v>0.09</v>
      </c>
      <c r="X3" s="0" t="n">
        <v>0.01</v>
      </c>
      <c r="Z3" s="29" t="n">
        <v>0.0425</v>
      </c>
      <c r="AB3" s="0" t="n">
        <v>0.05</v>
      </c>
      <c r="AD3" s="30" t="n">
        <f aca="false">AVERAGE(AD6:AD148)</f>
        <v>0.0240066433566434</v>
      </c>
      <c r="AE3" s="6" t="n">
        <f aca="false">SUM(AE6:AE148)</f>
        <v>34329.5</v>
      </c>
      <c r="AF3" s="5"/>
      <c r="AG3" s="6" t="n">
        <f aca="false">SUM(AG6:AG148)</f>
        <v>53770.5625</v>
      </c>
    </row>
    <row r="4" customFormat="false" ht="13.5" hidden="false" customHeight="false" outlineLevel="0" collapsed="false">
      <c r="A4" s="19" t="n">
        <f aca="false">DATE(I3,H3,1)</f>
        <v>40603</v>
      </c>
      <c r="F4" s="8" t="n">
        <f aca="false">SUM(F7:F27)</f>
        <v>3843000</v>
      </c>
      <c r="H4" s="26" t="n">
        <v>2</v>
      </c>
      <c r="I4" s="31" t="n">
        <v>0</v>
      </c>
      <c r="J4" s="22" t="s">
        <v>23</v>
      </c>
      <c r="K4" s="32" t="n">
        <f aca="false">K3*D1/1.054615</f>
        <v>0</v>
      </c>
      <c r="M4" s="7"/>
      <c r="N4" s="15"/>
      <c r="O4" s="15"/>
      <c r="P4" s="15"/>
      <c r="Q4" s="33" t="s">
        <v>24</v>
      </c>
      <c r="R4" s="34" t="n">
        <f aca="false">((R2*151)+(R3*214))/365</f>
        <v>0.0861917808219178</v>
      </c>
      <c r="S4" s="35" t="n">
        <v>0.04</v>
      </c>
      <c r="T4" s="36" t="n">
        <v>0.1475</v>
      </c>
      <c r="AN4" s="7" t="e">
        <f aca="false">+AN6+AN5</f>
        <v>#REF!</v>
      </c>
    </row>
    <row r="5" customFormat="false" ht="12.75" hidden="false" customHeight="false" outlineLevel="0" collapsed="false">
      <c r="D5" s="37" t="s">
        <v>25</v>
      </c>
      <c r="E5" s="37"/>
      <c r="F5" s="7"/>
      <c r="I5" s="0" t="n">
        <f aca="false">IF($H$4=1,1,0)</f>
        <v>0</v>
      </c>
      <c r="J5" s="0" t="n">
        <f aca="false">IF($H$4=2,1,0)</f>
        <v>1</v>
      </c>
      <c r="K5" s="1" t="str">
        <f aca="false">IF(SUM(I5:J5)&lt;&gt;1,"ERROR","OK")</f>
        <v>OK</v>
      </c>
      <c r="L5" s="1"/>
      <c r="M5" s="7" t="n">
        <f aca="false">SUM(M7:M173)</f>
        <v>18476671.1145097</v>
      </c>
      <c r="N5" s="7" t="n">
        <f aca="false">SUM(N7:N173)</f>
        <v>72335428.282439</v>
      </c>
      <c r="S5" s="0" t="s">
        <v>26</v>
      </c>
      <c r="U5" s="0" t="s">
        <v>27</v>
      </c>
      <c r="V5" s="38" t="n">
        <v>0.0119</v>
      </c>
      <c r="W5" s="2"/>
      <c r="X5" s="2" t="s">
        <v>28</v>
      </c>
      <c r="Y5" s="39" t="s">
        <v>5</v>
      </c>
      <c r="Z5" s="39" t="s">
        <v>29</v>
      </c>
      <c r="AA5" s="2" t="s">
        <v>30</v>
      </c>
      <c r="AB5" s="2" t="s">
        <v>31</v>
      </c>
      <c r="AC5" s="2" t="s">
        <v>32</v>
      </c>
      <c r="AD5" s="2" t="s">
        <v>33</v>
      </c>
      <c r="AJ5" s="40" t="n">
        <v>31</v>
      </c>
      <c r="AK5" s="41" t="n">
        <v>-0.3</v>
      </c>
      <c r="AL5" s="41" t="n">
        <f aca="false">AJ5*AK5</f>
        <v>-9.3</v>
      </c>
      <c r="AM5" s="40"/>
      <c r="AN5" s="42" t="n">
        <f aca="false">AL5*15000</f>
        <v>-139500</v>
      </c>
    </row>
    <row r="6" customFormat="false" ht="12.75" hidden="false" customHeight="false" outlineLevel="0" collapsed="false">
      <c r="A6" s="43" t="n">
        <f aca="false">A20-A19</f>
        <v>28</v>
      </c>
      <c r="B6" s="1"/>
      <c r="C6" s="1"/>
      <c r="D6" s="1" t="s">
        <v>34</v>
      </c>
      <c r="E6" s="1" t="s">
        <v>35</v>
      </c>
      <c r="F6" s="1" t="s">
        <v>36</v>
      </c>
      <c r="G6" s="1" t="s">
        <v>37</v>
      </c>
      <c r="H6" s="44"/>
      <c r="I6" s="1" t="s">
        <v>38</v>
      </c>
      <c r="J6" s="1" t="s">
        <v>39</v>
      </c>
      <c r="K6" s="1" t="s">
        <v>40</v>
      </c>
      <c r="L6" s="1"/>
      <c r="M6" s="1" t="s">
        <v>41</v>
      </c>
      <c r="N6" s="1" t="s">
        <v>42</v>
      </c>
      <c r="O6" s="1"/>
      <c r="P6" s="1"/>
      <c r="Q6" s="1"/>
      <c r="R6" s="1"/>
      <c r="S6" s="1"/>
      <c r="T6" s="45"/>
      <c r="U6" s="0" t="s">
        <v>43</v>
      </c>
      <c r="V6" s="46" t="n">
        <v>0.017</v>
      </c>
      <c r="W6" s="2"/>
      <c r="X6" s="40" t="n">
        <v>2.965</v>
      </c>
      <c r="Y6" s="9" t="n">
        <v>2.945</v>
      </c>
      <c r="Z6" s="9" t="n">
        <f aca="false">X6*$Z$3</f>
        <v>0.1260125</v>
      </c>
      <c r="AA6" s="0" t="n">
        <f aca="false">+Y6-X6</f>
        <v>-0.02</v>
      </c>
      <c r="AB6" s="47" t="n">
        <f aca="false">IF(($AA6-$Z6-$AB$3)/2&lt;$AB$3,$AB$3,($AA6-$Z6-$AB$3)/2)</f>
        <v>0.05</v>
      </c>
      <c r="AC6" s="47" t="n">
        <f aca="false">IF(AA6&gt;Z6,(AA6-Z6),0)</f>
        <v>0</v>
      </c>
      <c r="AD6" s="48" t="n">
        <f aca="false">+AC6-AB6</f>
        <v>-0.05</v>
      </c>
      <c r="AE6" s="6" t="n">
        <f aca="false">10000*AD6</f>
        <v>-500</v>
      </c>
      <c r="AF6" s="48"/>
      <c r="AG6" s="6" t="n">
        <f aca="false">5000*(AC6)</f>
        <v>0</v>
      </c>
      <c r="AJ6" s="49" t="n">
        <v>12</v>
      </c>
      <c r="AK6" s="41" t="e">
        <f aca="false">AL6/AJ6</f>
        <v>#REF!</v>
      </c>
      <c r="AL6" s="41" t="e">
        <f aca="false">-AL5-#REF!</f>
        <v>#REF!</v>
      </c>
      <c r="AM6" s="50" t="e">
        <f aca="false">AL6/5</f>
        <v>#REF!</v>
      </c>
      <c r="AN6" s="42" t="e">
        <f aca="false">AM6*15000*5</f>
        <v>#REF!</v>
      </c>
    </row>
    <row r="7" customFormat="false" ht="12.75" hidden="false" customHeight="false" outlineLevel="0" collapsed="false">
      <c r="A7" s="51" t="n">
        <v>36923</v>
      </c>
      <c r="B7" s="0" t="n">
        <f aca="false">IF(A7&gt;=$A$3,IF(A7&lt;=$A$4,1,0),0)*(A8-A7)</f>
        <v>0</v>
      </c>
      <c r="C7" s="52" t="n">
        <f aca="false">Feeds!D19</f>
        <v>0</v>
      </c>
      <c r="D7" s="53"/>
      <c r="E7" s="54"/>
      <c r="F7" s="5" t="n">
        <f aca="false">$G$3*B7</f>
        <v>0</v>
      </c>
      <c r="G7" s="55" t="n">
        <f aca="true">(1+W7/2)^(-2*($A7-TODAY())/365.25)</f>
        <v>1</v>
      </c>
      <c r="H7" s="56" t="n">
        <v>0.23</v>
      </c>
      <c r="I7" s="0" t="n">
        <f aca="false">IF(E7=0,D7,E7)</f>
        <v>0</v>
      </c>
      <c r="J7" s="0" t="n">
        <f aca="false">IF($I$4=0,H7,(I7+H7))</f>
        <v>0.23</v>
      </c>
      <c r="K7" s="0" t="n">
        <f aca="false">IF($K$5="OK",((I7*$I$5)+(J7*$J$5)),"*******")</f>
        <v>0.23</v>
      </c>
      <c r="M7" s="6" t="n">
        <f aca="false">F7*G7*K7</f>
        <v>0</v>
      </c>
      <c r="N7" s="5" t="n">
        <f aca="false">F7*G7</f>
        <v>0</v>
      </c>
      <c r="Q7" s="57" t="n">
        <f aca="false">A7</f>
        <v>36923</v>
      </c>
      <c r="R7" s="45" t="n">
        <f aca="false">I7*G7</f>
        <v>0</v>
      </c>
      <c r="S7" s="45" t="n">
        <f aca="false">H7*G7</f>
        <v>0.23</v>
      </c>
      <c r="T7" s="45" t="n">
        <f aca="false">R7+S7</f>
        <v>0.23</v>
      </c>
      <c r="U7" s="58" t="s">
        <v>44</v>
      </c>
      <c r="V7" s="59" t="n">
        <v>0.0119</v>
      </c>
      <c r="X7" s="0" t="n">
        <v>2.33</v>
      </c>
      <c r="Y7" s="9" t="n">
        <v>2.58</v>
      </c>
      <c r="Z7" s="9" t="n">
        <f aca="false">X7*$Z$3</f>
        <v>0.099025</v>
      </c>
      <c r="AA7" s="0" t="n">
        <f aca="false">+Y7-X7</f>
        <v>0.25</v>
      </c>
      <c r="AB7" s="47" t="n">
        <f aca="false">IF(($AA7-$Z7-$AB$3)/2&lt;$AB$3,$AB$3,($AA7-$Z7-$AB$3)/2)</f>
        <v>0.0504875</v>
      </c>
      <c r="AC7" s="47" t="n">
        <f aca="false">IF(AA7&gt;Z7,(AA7-Z7),0)</f>
        <v>0.150975</v>
      </c>
      <c r="AD7" s="48" t="n">
        <f aca="false">+AC7-AB7</f>
        <v>0.1004875</v>
      </c>
      <c r="AE7" s="6" t="n">
        <f aca="false">10000*AD7</f>
        <v>1004.875</v>
      </c>
      <c r="AG7" s="6" t="n">
        <f aca="false">5000*(AC7)</f>
        <v>754.875</v>
      </c>
      <c r="AJ7" s="60" t="e">
        <f aca="false">+#REF!+1</f>
        <v>#REF!</v>
      </c>
      <c r="AK7" s="61" t="e">
        <f aca="false">AJ7</f>
        <v>#REF!</v>
      </c>
      <c r="AL7" s="40" t="n">
        <v>0.115</v>
      </c>
      <c r="AN7" s="60" t="e">
        <f aca="false">+#REF!+1</f>
        <v>#REF!</v>
      </c>
      <c r="AO7" s="61" t="e">
        <f aca="false">DAY(AN7)</f>
        <v>#REF!</v>
      </c>
      <c r="AP7" s="40" t="n">
        <v>0.11</v>
      </c>
    </row>
    <row r="8" customFormat="false" ht="12.75" hidden="false" customHeight="false" outlineLevel="0" collapsed="false">
      <c r="A8" s="51" t="n">
        <v>36951</v>
      </c>
      <c r="B8" s="0" t="n">
        <f aca="false">IF(A8&gt;=$A$3,IF(A8&lt;=$A$4,1,0),0)*(A9-A8)</f>
        <v>0</v>
      </c>
      <c r="C8" s="52" t="n">
        <f aca="false">Feeds!D20</f>
        <v>0</v>
      </c>
      <c r="D8" s="53"/>
      <c r="E8" s="54"/>
      <c r="F8" s="5" t="n">
        <f aca="false">$G$3*B8</f>
        <v>0</v>
      </c>
      <c r="G8" s="55" t="n">
        <f aca="true">(1+W8/2)^(-2*($A8-TODAY())/365.25)</f>
        <v>1</v>
      </c>
      <c r="H8" s="56" t="n">
        <v>0.245</v>
      </c>
      <c r="I8" s="0" t="n">
        <f aca="false">IF(E8=0,D8,E8)</f>
        <v>0</v>
      </c>
      <c r="J8" s="0" t="n">
        <f aca="false">IF($I$4=0,H8,(I8+H8))</f>
        <v>0.245</v>
      </c>
      <c r="K8" s="0" t="n">
        <f aca="false">IF($K$5="OK",((I8*$I$5)+(J8*$J$5)),"*******")</f>
        <v>0.245</v>
      </c>
      <c r="M8" s="6" t="n">
        <f aca="false">F8*G8*K8</f>
        <v>0</v>
      </c>
      <c r="N8" s="5" t="n">
        <f aca="false">F8*G8</f>
        <v>0</v>
      </c>
      <c r="Q8" s="57" t="n">
        <f aca="false">A8</f>
        <v>36951</v>
      </c>
      <c r="R8" s="45" t="n">
        <f aca="false">I8*G8</f>
        <v>0</v>
      </c>
      <c r="S8" s="45" t="n">
        <f aca="false">H8*G8</f>
        <v>0.245</v>
      </c>
      <c r="T8" s="45" t="n">
        <f aca="false">R8+S8</f>
        <v>0.245</v>
      </c>
      <c r="U8" s="62" t="n">
        <v>5.445</v>
      </c>
      <c r="V8" s="63" t="n">
        <f aca="false">U8*V7</f>
        <v>0.0647955</v>
      </c>
      <c r="X8" s="0" t="n">
        <v>2.355</v>
      </c>
      <c r="Y8" s="9" t="n">
        <v>2.62</v>
      </c>
      <c r="Z8" s="9" t="n">
        <f aca="false">X8*$Z$3</f>
        <v>0.1000875</v>
      </c>
      <c r="AA8" s="0" t="n">
        <f aca="false">+Y8-X8</f>
        <v>0.265</v>
      </c>
      <c r="AB8" s="47" t="n">
        <f aca="false">IF(($AA8-$Z8-$AB$3)/2&lt;$AB$3,$AB$3,($AA8-$Z8-$AB$3)/2)</f>
        <v>0.0574562500000001</v>
      </c>
      <c r="AC8" s="47" t="n">
        <f aca="false">IF(AA8&gt;Z8,(AA8-Z8),0)</f>
        <v>0.1649125</v>
      </c>
      <c r="AD8" s="48" t="n">
        <f aca="false">+AC8-AB8</f>
        <v>0.10745625</v>
      </c>
      <c r="AE8" s="6" t="n">
        <f aca="false">10000*AD8</f>
        <v>1074.5625</v>
      </c>
      <c r="AG8" s="6" t="n">
        <f aca="false">5000*(AC8)</f>
        <v>824.562500000001</v>
      </c>
      <c r="AJ8" s="60" t="e">
        <f aca="false">+AJ7+1</f>
        <v>#REF!</v>
      </c>
      <c r="AK8" s="61" t="e">
        <f aca="false">AJ8</f>
        <v>#REF!</v>
      </c>
      <c r="AL8" s="0" t="n">
        <f aca="false">+$AL$7</f>
        <v>0.115</v>
      </c>
      <c r="AN8" s="60" t="e">
        <f aca="false">+AN7+1</f>
        <v>#REF!</v>
      </c>
      <c r="AO8" s="61" t="e">
        <f aca="false">DAY(AN8)</f>
        <v>#REF!</v>
      </c>
      <c r="AP8" s="0" t="n">
        <v>1.3</v>
      </c>
    </row>
    <row r="9" customFormat="false" ht="12.75" hidden="false" customHeight="false" outlineLevel="0" collapsed="false">
      <c r="A9" s="64" t="n">
        <f aca="false">DATE(YEAR(A8+31),MONTH(A8+31),1)</f>
        <v>36982</v>
      </c>
      <c r="B9" s="0" t="n">
        <f aca="false">IF(A9&gt;=$A$3,IF(A9&lt;=$A$4,1,0),0)*(A10-A9)</f>
        <v>0</v>
      </c>
      <c r="C9" s="52" t="n">
        <f aca="false">Feeds!D21</f>
        <v>0</v>
      </c>
      <c r="D9" s="53"/>
      <c r="E9" s="54"/>
      <c r="F9" s="5" t="n">
        <f aca="false">$G$3*B9</f>
        <v>0</v>
      </c>
      <c r="G9" s="55" t="n">
        <f aca="true">(1+W9/2)^(-2*($A9-TODAY())/365.25)</f>
        <v>3.6172048181216</v>
      </c>
      <c r="H9" s="65" t="n">
        <v>0.01</v>
      </c>
      <c r="I9" s="0" t="n">
        <f aca="false">IF(E9=0,D9,E9)</f>
        <v>0</v>
      </c>
      <c r="J9" s="0" t="n">
        <v>-0.06</v>
      </c>
      <c r="K9" s="0" t="n">
        <f aca="false">IF($K$5="OK",((I9*$I$5)+(J9*$J$5)),"*******")</f>
        <v>-0.06</v>
      </c>
      <c r="M9" s="6" t="n">
        <f aca="false">F9*G9*K9</f>
        <v>-0</v>
      </c>
      <c r="N9" s="5" t="n">
        <f aca="false">F9*G9</f>
        <v>0</v>
      </c>
      <c r="Q9" s="66" t="n">
        <f aca="false">A9</f>
        <v>36982</v>
      </c>
      <c r="R9" s="67" t="n">
        <f aca="false">I9*G9</f>
        <v>0</v>
      </c>
      <c r="S9" s="67" t="n">
        <f aca="false">H9*G9</f>
        <v>0.036172048181216</v>
      </c>
      <c r="T9" s="67" t="n">
        <f aca="false">R9+S9</f>
        <v>0.036172048181216</v>
      </c>
      <c r="V9" s="68" t="n">
        <f aca="false">V8+U8</f>
        <v>5.5097955</v>
      </c>
      <c r="W9" s="69" t="n">
        <v>0.0532000099053538</v>
      </c>
      <c r="X9" s="0" t="n">
        <v>2.17</v>
      </c>
      <c r="Y9" s="9" t="n">
        <v>2.44</v>
      </c>
      <c r="Z9" s="9" t="n">
        <f aca="false">X9*$Z$3</f>
        <v>0.092225</v>
      </c>
      <c r="AA9" s="0" t="n">
        <f aca="false">+Y9-X9</f>
        <v>0.27</v>
      </c>
      <c r="AB9" s="47" t="n">
        <f aca="false">IF(($AA9-$Z9-$AB$3)/2&lt;$AB$3,$AB$3,($AA9-$Z9-$AB$3)/2)</f>
        <v>0.0638875</v>
      </c>
      <c r="AC9" s="47" t="n">
        <f aca="false">IF(AA9&gt;Z9,(AA9-Z9),0)</f>
        <v>0.177775</v>
      </c>
      <c r="AD9" s="48" t="n">
        <f aca="false">+AC9-AB9</f>
        <v>0.1138875</v>
      </c>
      <c r="AE9" s="6" t="n">
        <f aca="false">10000*AD9</f>
        <v>1138.875</v>
      </c>
      <c r="AG9" s="6" t="n">
        <f aca="false">5000*(AC9)</f>
        <v>888.875</v>
      </c>
      <c r="AJ9" s="60" t="e">
        <f aca="false">+AJ8+1</f>
        <v>#REF!</v>
      </c>
      <c r="AK9" s="61" t="e">
        <f aca="false">AJ9</f>
        <v>#REF!</v>
      </c>
      <c r="AL9" s="0" t="n">
        <f aca="false">+$AL$7</f>
        <v>0.115</v>
      </c>
      <c r="AN9" s="60" t="e">
        <f aca="false">+AN8+1</f>
        <v>#REF!</v>
      </c>
      <c r="AO9" s="61" t="e">
        <f aca="false">DAY(AN9)</f>
        <v>#REF!</v>
      </c>
      <c r="AP9" s="0" t="n">
        <v>1.3</v>
      </c>
    </row>
    <row r="10" customFormat="false" ht="12.75" hidden="false" customHeight="false" outlineLevel="0" collapsed="false">
      <c r="A10" s="70" t="n">
        <f aca="false">DATE(YEAR(A9+31),MONTH(A9+31),1)</f>
        <v>37012</v>
      </c>
      <c r="B10" s="0" t="n">
        <f aca="false">IF(A10&gt;=$A$3,IF(A10&lt;=$A$4,1,0),0)*(A11-A10)</f>
        <v>31</v>
      </c>
      <c r="C10" s="52" t="n">
        <f aca="false">Feeds!D22</f>
        <v>0</v>
      </c>
      <c r="D10" s="53" t="n">
        <f aca="false">Feeds!G3</f>
        <v>5.42</v>
      </c>
      <c r="E10" s="54"/>
      <c r="F10" s="5" t="n">
        <f aca="false">$G$3*B10</f>
        <v>217000</v>
      </c>
      <c r="G10" s="55" t="n">
        <f aca="true">(1+W10/2)^(-2*($A10-TODAY())/365.25)</f>
        <v>3.5137821261374</v>
      </c>
      <c r="H10" s="65" t="n">
        <v>-0.075</v>
      </c>
      <c r="I10" s="0" t="n">
        <f aca="false">IF(E10=0,D10,E10)</f>
        <v>5.42</v>
      </c>
      <c r="J10" s="0" t="n">
        <v>-0.06</v>
      </c>
      <c r="K10" s="0" t="n">
        <f aca="false">IF($K$5="OK",((I10*$I$5)+(J10*$J$5)),"*******")</f>
        <v>-0.06</v>
      </c>
      <c r="M10" s="6" t="n">
        <f aca="false">F10*G10*K10</f>
        <v>-45749.4432823089</v>
      </c>
      <c r="N10" s="5" t="n">
        <f aca="false">F10*G10</f>
        <v>762490.721371815</v>
      </c>
      <c r="Q10" s="71" t="n">
        <f aca="false">A10</f>
        <v>37012</v>
      </c>
      <c r="R10" s="72" t="n">
        <f aca="false">I10*G10</f>
        <v>19.0446991236647</v>
      </c>
      <c r="S10" s="72" t="n">
        <f aca="false">H10*G10</f>
        <v>-0.263533659460305</v>
      </c>
      <c r="T10" s="72" t="n">
        <f aca="false">R10+S10</f>
        <v>18.7811654642044</v>
      </c>
      <c r="U10" s="58"/>
      <c r="V10" s="73"/>
      <c r="W10" s="69" t="n">
        <v>0.0521614366613008</v>
      </c>
      <c r="X10" s="0" t="n">
        <v>2.17</v>
      </c>
      <c r="Y10" s="9" t="n">
        <v>2.44</v>
      </c>
      <c r="Z10" s="9" t="n">
        <f aca="false">X10*$Z$3</f>
        <v>0.092225</v>
      </c>
      <c r="AA10" s="0" t="n">
        <f aca="false">+Y10-X10</f>
        <v>0.27</v>
      </c>
      <c r="AB10" s="47" t="n">
        <f aca="false">IF(($AA10-$Z10-$AB$3)/2&lt;$AB$3,$AB$3,($AA10-$Z10-$AB$3)/2)</f>
        <v>0.0638875</v>
      </c>
      <c r="AC10" s="47" t="n">
        <f aca="false">IF(AA10&gt;Z10,(AA10-Z10),0)</f>
        <v>0.177775</v>
      </c>
      <c r="AD10" s="48" t="n">
        <f aca="false">+AC10-AB10</f>
        <v>0.1138875</v>
      </c>
      <c r="AE10" s="6" t="n">
        <f aca="false">10000*AD10</f>
        <v>1138.875</v>
      </c>
      <c r="AG10" s="6" t="n">
        <f aca="false">5000*(AC10)</f>
        <v>888.875</v>
      </c>
      <c r="AJ10" s="60" t="e">
        <f aca="false">+AJ9+1</f>
        <v>#REF!</v>
      </c>
      <c r="AK10" s="61" t="e">
        <f aca="false">AJ10</f>
        <v>#REF!</v>
      </c>
      <c r="AL10" s="0" t="n">
        <f aca="false">+$AL$7</f>
        <v>0.115</v>
      </c>
      <c r="AN10" s="60" t="e">
        <f aca="false">+AN9+1</f>
        <v>#REF!</v>
      </c>
      <c r="AO10" s="61" t="e">
        <f aca="false">DAY(AN10)</f>
        <v>#REF!</v>
      </c>
      <c r="AP10" s="0" t="n">
        <v>1.3</v>
      </c>
    </row>
    <row r="11" customFormat="false" ht="12.75" hidden="false" customHeight="false" outlineLevel="0" collapsed="false">
      <c r="A11" s="74" t="n">
        <f aca="false">DATE(YEAR(A10+31),MONTH(A10+31),1)</f>
        <v>37043</v>
      </c>
      <c r="B11" s="0" t="n">
        <f aca="false">IF(A11&gt;=$A$3,IF(A11&lt;=$A$4,1,0),0)*(A12-A11)</f>
        <v>30</v>
      </c>
      <c r="C11" s="52" t="n">
        <f aca="false">Feeds!D23</f>
        <v>0</v>
      </c>
      <c r="D11" s="53" t="n">
        <f aca="false">Feeds!G4</f>
        <v>5.47</v>
      </c>
      <c r="E11" s="54"/>
      <c r="F11" s="5" t="n">
        <f aca="false">$G$3*B11</f>
        <v>210000</v>
      </c>
      <c r="G11" s="55" t="n">
        <f aca="true">(1+W11/2)^(-2*($A11-TODAY())/365.25)</f>
        <v>3.43562468756174</v>
      </c>
      <c r="H11" s="65" t="n">
        <v>-0.075</v>
      </c>
      <c r="I11" s="0" t="n">
        <f aca="false">IF(E11=0,D11,E11)</f>
        <v>5.47</v>
      </c>
      <c r="J11" s="0" t="n">
        <v>-0.06</v>
      </c>
      <c r="K11" s="0" t="n">
        <f aca="false">IF($K$5="OK",((I11*$I$5)+(J11*$J$5)),"*******")</f>
        <v>-0.06</v>
      </c>
      <c r="M11" s="6" t="n">
        <f aca="false">F11*G11*K11</f>
        <v>-43288.8710632779</v>
      </c>
      <c r="N11" s="5" t="n">
        <f aca="false">F11*G11</f>
        <v>721481.184387965</v>
      </c>
      <c r="Q11" s="57" t="n">
        <f aca="false">A11</f>
        <v>37043</v>
      </c>
      <c r="R11" s="45" t="n">
        <f aca="false">I11*G11</f>
        <v>18.7928670409627</v>
      </c>
      <c r="S11" s="45" t="n">
        <f aca="false">H11*G11</f>
        <v>-0.25767185156713</v>
      </c>
      <c r="T11" s="45" t="n">
        <f aca="false">R11+S11</f>
        <v>18.5351951893956</v>
      </c>
      <c r="U11" s="58"/>
      <c r="V11" s="63"/>
      <c r="W11" s="69" t="n">
        <v>0.0513969294821317</v>
      </c>
      <c r="X11" s="0" t="n">
        <v>2.17</v>
      </c>
      <c r="Y11" s="9" t="n">
        <v>2.44</v>
      </c>
      <c r="Z11" s="9" t="n">
        <f aca="false">X11*$Z$3</f>
        <v>0.092225</v>
      </c>
      <c r="AA11" s="0" t="n">
        <f aca="false">+Y11-X11</f>
        <v>0.27</v>
      </c>
      <c r="AB11" s="47" t="n">
        <f aca="false">IF(($AA11-$Z11-$AB$3)/2&lt;$AB$3,$AB$3,($AA11-$Z11-$AB$3)/2)</f>
        <v>0.0638875</v>
      </c>
      <c r="AC11" s="47" t="n">
        <f aca="false">IF(AA11&gt;Z11,(AA11-Z11),0)</f>
        <v>0.177775</v>
      </c>
      <c r="AD11" s="48" t="n">
        <f aca="false">+AC11-AB11</f>
        <v>0.1138875</v>
      </c>
      <c r="AE11" s="6" t="n">
        <f aca="false">10000*AD11</f>
        <v>1138.875</v>
      </c>
      <c r="AF11" s="5"/>
      <c r="AG11" s="6" t="n">
        <f aca="false">5000*(AC11)</f>
        <v>888.875</v>
      </c>
      <c r="AJ11" s="60" t="e">
        <f aca="false">+AJ10+1</f>
        <v>#REF!</v>
      </c>
      <c r="AK11" s="61" t="e">
        <f aca="false">AJ11</f>
        <v>#REF!</v>
      </c>
      <c r="AL11" s="0" t="n">
        <v>0</v>
      </c>
      <c r="AM11" s="0" t="n">
        <v>1</v>
      </c>
      <c r="AN11" s="60" t="e">
        <f aca="false">+AN10+1</f>
        <v>#REF!</v>
      </c>
      <c r="AO11" s="61" t="e">
        <f aca="false">DAY(AN11)</f>
        <v>#REF!</v>
      </c>
      <c r="AP11" s="0" t="n">
        <v>1.3</v>
      </c>
    </row>
    <row r="12" customFormat="false" ht="12.75" hidden="false" customHeight="false" outlineLevel="0" collapsed="false">
      <c r="A12" s="74" t="n">
        <f aca="false">DATE(YEAR(A11+31),MONTH(A11+31),1)</f>
        <v>37073</v>
      </c>
      <c r="B12" s="0" t="n">
        <f aca="false">IF(A12&gt;=$A$3,IF(A12&lt;=$A$4,1,0),0)*(A13-A12)</f>
        <v>31</v>
      </c>
      <c r="C12" s="52" t="n">
        <f aca="false">Feeds!D24</f>
        <v>0</v>
      </c>
      <c r="D12" s="53" t="n">
        <f aca="false">Feeds!G5</f>
        <v>5.558</v>
      </c>
      <c r="E12" s="54"/>
      <c r="F12" s="5" t="n">
        <f aca="false">$G$3*B12</f>
        <v>217000</v>
      </c>
      <c r="G12" s="55" t="n">
        <f aca="true">(1+W12/2)^(-2*($A12-TODAY())/365.25)</f>
        <v>3.37213457993335</v>
      </c>
      <c r="H12" s="65" t="n">
        <v>-0.075</v>
      </c>
      <c r="I12" s="0" t="n">
        <f aca="false">IF(E12=0,D12,E12)</f>
        <v>5.558</v>
      </c>
      <c r="J12" s="0" t="n">
        <v>-0.06</v>
      </c>
      <c r="K12" s="0" t="n">
        <f aca="false">IF($K$5="OK",((I12*$I$5)+(J12*$J$5)),"*******")</f>
        <v>-0.06</v>
      </c>
      <c r="M12" s="6" t="n">
        <f aca="false">F12*G12*K12</f>
        <v>-43905.1922307322</v>
      </c>
      <c r="N12" s="5" t="n">
        <f aca="false">F12*G12</f>
        <v>731753.203845537</v>
      </c>
      <c r="Q12" s="57" t="n">
        <f aca="false">A12</f>
        <v>37073</v>
      </c>
      <c r="R12" s="45" t="n">
        <f aca="false">I12*G12</f>
        <v>18.7423239952695</v>
      </c>
      <c r="S12" s="45" t="n">
        <f aca="false">H12*G12</f>
        <v>-0.252910093495001</v>
      </c>
      <c r="T12" s="45" t="n">
        <f aca="false">R12+S12</f>
        <v>18.4894139017745</v>
      </c>
      <c r="U12" s="58"/>
      <c r="V12" s="73"/>
      <c r="W12" s="69" t="n">
        <v>0.0507840682184662</v>
      </c>
      <c r="X12" s="0" t="n">
        <v>2.19</v>
      </c>
      <c r="Y12" s="9" t="n">
        <v>2.545</v>
      </c>
      <c r="Z12" s="9" t="n">
        <f aca="false">X12*$Z$3</f>
        <v>0.093075</v>
      </c>
      <c r="AA12" s="0" t="n">
        <f aca="false">+Y12-X12</f>
        <v>0.355</v>
      </c>
      <c r="AB12" s="47" t="n">
        <f aca="false">IF(($AA12-$Z12-$AB$3)/2&lt;$AB$3,$AB$3,($AA12-$Z12-$AB$3)/2)</f>
        <v>0.1059625</v>
      </c>
      <c r="AC12" s="47" t="n">
        <f aca="false">IF(AA12&gt;Z12,(AA12-Z12),0)</f>
        <v>0.261925</v>
      </c>
      <c r="AD12" s="48" t="n">
        <f aca="false">+AC12-AB12</f>
        <v>0.1559625</v>
      </c>
      <c r="AE12" s="6" t="n">
        <f aca="false">10000*AD12</f>
        <v>1559.625</v>
      </c>
      <c r="AG12" s="6" t="n">
        <f aca="false">5000*(AC12)</f>
        <v>1309.625</v>
      </c>
      <c r="AJ12" s="60" t="e">
        <f aca="false">+AJ11+1</f>
        <v>#REF!</v>
      </c>
      <c r="AK12" s="61" t="e">
        <f aca="false">AJ12</f>
        <v>#REF!</v>
      </c>
      <c r="AL12" s="0" t="n">
        <v>0</v>
      </c>
      <c r="AM12" s="0" t="n">
        <v>1</v>
      </c>
      <c r="AN12" s="60" t="e">
        <f aca="false">+AN11+1</f>
        <v>#REF!</v>
      </c>
      <c r="AO12" s="61" t="e">
        <f aca="false">DAY(AN12)</f>
        <v>#REF!</v>
      </c>
      <c r="AP12" s="40" t="n">
        <v>0.11</v>
      </c>
    </row>
    <row r="13" customFormat="false" ht="12.75" hidden="false" customHeight="false" outlineLevel="0" collapsed="false">
      <c r="A13" s="74" t="n">
        <f aca="false">DATE(YEAR(A12+31),MONTH(A12+31),1)</f>
        <v>37104</v>
      </c>
      <c r="B13" s="0" t="n">
        <f aca="false">IF(A13&gt;=$A$3,IF(A13&lt;=$A$4,1,0),0)*(A14-A13)</f>
        <v>31</v>
      </c>
      <c r="C13" s="52" t="n">
        <f aca="false">Feeds!D25</f>
        <v>0</v>
      </c>
      <c r="D13" s="53" t="n">
        <f aca="false">Feeds!G6</f>
        <v>5.655</v>
      </c>
      <c r="E13" s="54"/>
      <c r="F13" s="5" t="n">
        <f aca="false">$G$3*B13</f>
        <v>217000</v>
      </c>
      <c r="G13" s="55" t="n">
        <f aca="true">(1+W13/2)^(-2*($A13-TODAY())/365.25)</f>
        <v>3.30967938232968</v>
      </c>
      <c r="H13" s="65" t="n">
        <v>-0.075</v>
      </c>
      <c r="I13" s="0" t="n">
        <f aca="false">IF(E13=0,D13,E13)</f>
        <v>5.655</v>
      </c>
      <c r="J13" s="0" t="n">
        <v>-0.06</v>
      </c>
      <c r="K13" s="0" t="n">
        <f aca="false">IF($K$5="OK",((I13*$I$5)+(J13*$J$5)),"*******")</f>
        <v>-0.06</v>
      </c>
      <c r="M13" s="6" t="n">
        <f aca="false">F13*G13*K13</f>
        <v>-43092.0255579324</v>
      </c>
      <c r="N13" s="5" t="n">
        <f aca="false">F13*G13</f>
        <v>718200.42596554</v>
      </c>
      <c r="Q13" s="57" t="n">
        <f aca="false">A13</f>
        <v>37104</v>
      </c>
      <c r="R13" s="45" t="n">
        <f aca="false">I13*G13</f>
        <v>18.7162369070743</v>
      </c>
      <c r="S13" s="45" t="n">
        <f aca="false">H13*G13</f>
        <v>-0.248225953674726</v>
      </c>
      <c r="T13" s="75" t="n">
        <f aca="false">R13+S13</f>
        <v>18.4680109533996</v>
      </c>
      <c r="U13" s="58"/>
      <c r="V13" s="63"/>
      <c r="W13" s="69" t="n">
        <v>0.0501712070801594</v>
      </c>
      <c r="X13" s="0" t="n">
        <v>2.13</v>
      </c>
      <c r="Y13" s="9" t="n">
        <v>2.36</v>
      </c>
      <c r="Z13" s="9" t="n">
        <f aca="false">X13*$Z$3</f>
        <v>0.090525</v>
      </c>
      <c r="AA13" s="0" t="n">
        <f aca="false">+Y13-X13</f>
        <v>0.23</v>
      </c>
      <c r="AB13" s="47" t="n">
        <f aca="false">IF(($AA13-$Z13-$AB$3)/2&lt;$AB$3,$AB$3,($AA13-$Z13-$AB$3)/2)</f>
        <v>0.05</v>
      </c>
      <c r="AC13" s="47" t="n">
        <f aca="false">IF(AA13&gt;Z13,(AA13-Z13),0)</f>
        <v>0.139475</v>
      </c>
      <c r="AD13" s="48" t="n">
        <f aca="false">+AC13-AB13</f>
        <v>0.089475</v>
      </c>
      <c r="AE13" s="6" t="n">
        <f aca="false">10000*AD13</f>
        <v>894.75</v>
      </c>
      <c r="AG13" s="6" t="n">
        <f aca="false">5000*(AC13)</f>
        <v>697.375</v>
      </c>
      <c r="AJ13" s="60" t="e">
        <f aca="false">+AJ12+1</f>
        <v>#REF!</v>
      </c>
      <c r="AK13" s="61" t="e">
        <f aca="false">AJ13</f>
        <v>#REF!</v>
      </c>
      <c r="AL13" s="0" t="e">
        <f aca="false">#REF!</f>
        <v>#REF!</v>
      </c>
      <c r="AM13" s="0" t="n">
        <v>1</v>
      </c>
      <c r="AN13" s="60" t="e">
        <f aca="false">+AN12+1</f>
        <v>#REF!</v>
      </c>
      <c r="AO13" s="61" t="e">
        <f aca="false">DAY(AN13)</f>
        <v>#REF!</v>
      </c>
      <c r="AP13" s="40" t="n">
        <v>0.11</v>
      </c>
    </row>
    <row r="14" customFormat="false" ht="12.75" hidden="false" customHeight="false" outlineLevel="0" collapsed="false">
      <c r="A14" s="51" t="n">
        <f aca="false">DATE(YEAR(A13+31),MONTH(A13+31),1)</f>
        <v>37135</v>
      </c>
      <c r="B14" s="0" t="n">
        <f aca="false">IF(A14&gt;=$A$3,IF(A14&lt;=$A$4,1,0),0)*(A15-A14)</f>
        <v>30</v>
      </c>
      <c r="C14" s="52" t="n">
        <f aca="false">Feeds!D26</f>
        <v>0</v>
      </c>
      <c r="D14" s="53" t="n">
        <f aca="false">Feeds!G7</f>
        <v>5.645</v>
      </c>
      <c r="E14" s="54"/>
      <c r="F14" s="5" t="n">
        <f aca="false">$G$3*B14</f>
        <v>210000</v>
      </c>
      <c r="G14" s="55" t="n">
        <f aca="true">(1+W14/2)^(-2*($A14-TODAY())/365.25)</f>
        <v>3.25862846163275</v>
      </c>
      <c r="H14" s="65" t="n">
        <v>-0.075</v>
      </c>
      <c r="I14" s="0" t="n">
        <f aca="false">IF(E14=0,D14,E14)</f>
        <v>5.645</v>
      </c>
      <c r="J14" s="0" t="n">
        <v>-0.06</v>
      </c>
      <c r="K14" s="0" t="n">
        <f aca="false">IF($K$5="OK",((I14*$I$5)+(J14*$J$5)),"*******")</f>
        <v>-0.06</v>
      </c>
      <c r="M14" s="6" t="n">
        <f aca="false">F14*G14*K14</f>
        <v>-41058.7186165726</v>
      </c>
      <c r="N14" s="5" t="n">
        <f aca="false">F14*G14</f>
        <v>684311.976942877</v>
      </c>
      <c r="Q14" s="57" t="n">
        <f aca="false">A14</f>
        <v>37135</v>
      </c>
      <c r="R14" s="45" t="n">
        <f aca="false">I14*G14</f>
        <v>18.3949576659169</v>
      </c>
      <c r="S14" s="45" t="n">
        <f aca="false">H14*G14</f>
        <v>-0.244397134622456</v>
      </c>
      <c r="T14" s="45" t="n">
        <f aca="false">R14+S14</f>
        <v>18.1505605312944</v>
      </c>
      <c r="U14" s="58"/>
      <c r="V14" s="73"/>
      <c r="W14" s="69" t="n">
        <v>0.0496883197181703</v>
      </c>
      <c r="X14" s="0" t="n">
        <v>2.23</v>
      </c>
      <c r="Y14" s="9" t="n">
        <v>2.39</v>
      </c>
      <c r="Z14" s="9" t="n">
        <f aca="false">X14*$Z$3</f>
        <v>0.094775</v>
      </c>
      <c r="AA14" s="0" t="n">
        <f aca="false">+Y14-X14</f>
        <v>0.16</v>
      </c>
      <c r="AB14" s="47" t="n">
        <f aca="false">IF(($AA14-$Z14-$AB$3)/2&lt;$AB$3,$AB$3,($AA14-$Z14-$AB$3)/2)</f>
        <v>0.05</v>
      </c>
      <c r="AC14" s="47" t="n">
        <f aca="false">IF(AA14&gt;Z14,(AA14-Z14),0)</f>
        <v>0.0652250000000001</v>
      </c>
      <c r="AD14" s="48" t="n">
        <f aca="false">+AC14-AB14</f>
        <v>0.0152250000000001</v>
      </c>
      <c r="AE14" s="6" t="n">
        <f aca="false">10000*AD14</f>
        <v>152.250000000001</v>
      </c>
      <c r="AG14" s="6" t="n">
        <f aca="false">5000*(AC14)</f>
        <v>326.125000000001</v>
      </c>
      <c r="AJ14" s="60" t="e">
        <f aca="false">+AJ13+1</f>
        <v>#REF!</v>
      </c>
      <c r="AK14" s="61" t="e">
        <f aca="false">AJ14</f>
        <v>#REF!</v>
      </c>
      <c r="AL14" s="0" t="n">
        <f aca="false">+$AL$7</f>
        <v>0.115</v>
      </c>
      <c r="AN14" s="60" t="e">
        <f aca="false">+AN13+1</f>
        <v>#REF!</v>
      </c>
      <c r="AO14" s="61" t="e">
        <f aca="false">DAY(AN14)</f>
        <v>#REF!</v>
      </c>
      <c r="AP14" s="40" t="n">
        <v>0.11</v>
      </c>
    </row>
    <row r="15" customFormat="false" ht="12.75" hidden="false" customHeight="false" outlineLevel="0" collapsed="false">
      <c r="A15" s="51" t="n">
        <f aca="false">DATE(YEAR(A14+31),MONTH(A14+31),1)</f>
        <v>37165</v>
      </c>
      <c r="B15" s="0" t="n">
        <f aca="false">IF(A15&gt;=$A$3,IF(A15&lt;=$A$4,1,0),0)*(A16-A15)</f>
        <v>31</v>
      </c>
      <c r="C15" s="52" t="n">
        <f aca="false">Feeds!D27</f>
        <v>0</v>
      </c>
      <c r="D15" s="53" t="n">
        <f aca="false">Feeds!G8</f>
        <v>5.658</v>
      </c>
      <c r="E15" s="54"/>
      <c r="F15" s="5" t="n">
        <f aca="false">$G$3*B15</f>
        <v>217000</v>
      </c>
      <c r="G15" s="55" t="n">
        <f aca="true">(1+W15/2)^(-2*($A15-TODAY())/365.25)</f>
        <v>3.22117526006186</v>
      </c>
      <c r="H15" s="65" t="n">
        <v>-0.075</v>
      </c>
      <c r="I15" s="0" t="n">
        <f aca="false">IF(E15=0,D15,E15)</f>
        <v>5.658</v>
      </c>
      <c r="J15" s="0" t="n">
        <v>-0.06</v>
      </c>
      <c r="K15" s="0" t="n">
        <f aca="false">IF($K$5="OK",((I15*$I$5)+(J15*$J$5)),"*******")</f>
        <v>-0.06</v>
      </c>
      <c r="M15" s="6" t="n">
        <f aca="false">F15*G15*K15</f>
        <v>-41939.7018860054</v>
      </c>
      <c r="N15" s="5" t="n">
        <f aca="false">F15*G15</f>
        <v>698995.031433424</v>
      </c>
      <c r="Q15" s="57" t="n">
        <f aca="false">A15</f>
        <v>37165</v>
      </c>
      <c r="R15" s="45" t="n">
        <f aca="false">I15*G15</f>
        <v>18.22540962143</v>
      </c>
      <c r="S15" s="45" t="n">
        <f aca="false">H15*G15</f>
        <v>-0.24158814450464</v>
      </c>
      <c r="T15" s="45" t="n">
        <f aca="false">R15+S15</f>
        <v>17.9838214769254</v>
      </c>
      <c r="U15" s="58"/>
      <c r="V15" s="58"/>
      <c r="W15" s="69" t="n">
        <v>0.049366667643604</v>
      </c>
      <c r="X15" s="0" t="n">
        <v>2.25</v>
      </c>
      <c r="Y15" s="9" t="n">
        <v>2.335</v>
      </c>
      <c r="Z15" s="9" t="n">
        <f aca="false">X15*$Z$3</f>
        <v>0.095625</v>
      </c>
      <c r="AA15" s="0" t="n">
        <f aca="false">+Y15-X15</f>
        <v>0.085</v>
      </c>
      <c r="AB15" s="47" t="n">
        <f aca="false">IF(($AA15-$Z15-$AB$3)/2&lt;$AB$3,$AB$3,($AA15-$Z15-$AB$3)/2)</f>
        <v>0.05</v>
      </c>
      <c r="AC15" s="47" t="n">
        <f aca="false">IF(AA15&gt;Z15,(AA15-Z15),0)</f>
        <v>0</v>
      </c>
      <c r="AD15" s="48" t="n">
        <f aca="false">+AC15-AB15</f>
        <v>-0.05</v>
      </c>
      <c r="AE15" s="6" t="n">
        <f aca="false">10000*AD15</f>
        <v>-500</v>
      </c>
      <c r="AG15" s="6" t="n">
        <f aca="false">5000*(AC15)</f>
        <v>0</v>
      </c>
      <c r="AJ15" s="60" t="e">
        <f aca="false">+AJ14+1</f>
        <v>#REF!</v>
      </c>
      <c r="AK15" s="61" t="e">
        <f aca="false">AJ15</f>
        <v>#REF!</v>
      </c>
      <c r="AL15" s="0" t="n">
        <f aca="false">+$AL$7</f>
        <v>0.115</v>
      </c>
      <c r="AN15" s="60" t="e">
        <f aca="false">+AN14+1</f>
        <v>#REF!</v>
      </c>
      <c r="AO15" s="61" t="e">
        <f aca="false">DAY(AN15)</f>
        <v>#REF!</v>
      </c>
      <c r="AP15" s="0" t="n">
        <v>1.3</v>
      </c>
    </row>
    <row r="16" customFormat="false" ht="12.75" hidden="false" customHeight="false" outlineLevel="0" collapsed="false">
      <c r="A16" s="51" t="n">
        <f aca="false">DATE(YEAR(A15+31),MONTH(A15+31),1)</f>
        <v>37196</v>
      </c>
      <c r="B16" s="0" t="n">
        <f aca="false">IF(A16&gt;=$A$3,IF(A16&lt;=$A$4,1,0),0)*(A17-A16)</f>
        <v>30</v>
      </c>
      <c r="C16" s="52" t="n">
        <f aca="false">Feeds!D28</f>
        <v>0</v>
      </c>
      <c r="D16" s="53" t="n">
        <f aca="false">Feeds!G9</f>
        <v>5.79</v>
      </c>
      <c r="E16" s="54"/>
      <c r="F16" s="5" t="n">
        <f aca="false">$G$3*B16</f>
        <v>210000</v>
      </c>
      <c r="G16" s="55" t="n">
        <f aca="true">(1+W16/2)^(-2*($A16-TODAY())/365.25)</f>
        <v>3.18466135893284</v>
      </c>
      <c r="H16" s="65" t="n">
        <v>-0.08</v>
      </c>
      <c r="I16" s="0" t="n">
        <f aca="false">IF(E16=0,D16,E16)</f>
        <v>5.79</v>
      </c>
      <c r="J16" s="0" t="n">
        <v>-0.06</v>
      </c>
      <c r="K16" s="0" t="n">
        <v>-0.0675</v>
      </c>
      <c r="M16" s="6" t="n">
        <f aca="false">F16*G16*K16</f>
        <v>-45142.574762873</v>
      </c>
      <c r="N16" s="5" t="n">
        <f aca="false">F16*G16</f>
        <v>668778.885375897</v>
      </c>
      <c r="Q16" s="57" t="n">
        <f aca="false">A16</f>
        <v>37196</v>
      </c>
      <c r="R16" s="45" t="n">
        <f aca="false">I16*G16</f>
        <v>18.4391892682212</v>
      </c>
      <c r="S16" s="45" t="n">
        <f aca="false">H16*G16</f>
        <v>-0.254772908714627</v>
      </c>
      <c r="T16" s="45" t="n">
        <f aca="false">R16+S16</f>
        <v>18.1844163595065</v>
      </c>
      <c r="U16" s="58"/>
      <c r="V16" s="58"/>
      <c r="W16" s="69" t="n">
        <v>0.0490553914753118</v>
      </c>
      <c r="X16" s="0" t="n">
        <v>2.185</v>
      </c>
      <c r="Y16" s="9" t="n">
        <v>2.255</v>
      </c>
      <c r="Z16" s="9" t="n">
        <f aca="false">X16*$Z$3</f>
        <v>0.0928625</v>
      </c>
      <c r="AA16" s="0" t="n">
        <f aca="false">+Y16-X16</f>
        <v>0.0699999999999998</v>
      </c>
      <c r="AB16" s="47" t="n">
        <f aca="false">IF(($AA16-$Z16-$AB$3)/2&lt;$AB$3,$AB$3,($AA16-$Z16-$AB$3)/2)</f>
        <v>0.05</v>
      </c>
      <c r="AC16" s="47" t="n">
        <f aca="false">IF(AA16&gt;Z16,(AA16-Z16),0)</f>
        <v>0</v>
      </c>
      <c r="AD16" s="48" t="n">
        <f aca="false">+AC16-AB16</f>
        <v>-0.05</v>
      </c>
      <c r="AE16" s="6" t="n">
        <f aca="false">10000*AD16</f>
        <v>-500</v>
      </c>
      <c r="AG16" s="6" t="n">
        <f aca="false">5000*(AC16)</f>
        <v>0</v>
      </c>
      <c r="AJ16" s="60" t="e">
        <f aca="false">+AJ15+1</f>
        <v>#REF!</v>
      </c>
      <c r="AK16" s="61" t="e">
        <f aca="false">AJ16</f>
        <v>#REF!</v>
      </c>
      <c r="AL16" s="0" t="n">
        <f aca="false">+$AL$7</f>
        <v>0.115</v>
      </c>
      <c r="AN16" s="60" t="e">
        <f aca="false">+AN15+1</f>
        <v>#REF!</v>
      </c>
      <c r="AO16" s="61" t="e">
        <f aca="false">DAY(AN16)</f>
        <v>#REF!</v>
      </c>
      <c r="AP16" s="40" t="n">
        <v>0.11</v>
      </c>
    </row>
    <row r="17" customFormat="false" ht="12.75" hidden="false" customHeight="false" outlineLevel="0" collapsed="false">
      <c r="A17" s="51" t="n">
        <f aca="false">DATE(YEAR(A16+31),MONTH(A16+31),1)</f>
        <v>37226</v>
      </c>
      <c r="B17" s="0" t="n">
        <f aca="false">IF(A17&gt;=$A$3,IF(A17&lt;=$A$4,1,0),0)*(A18-A17)</f>
        <v>31</v>
      </c>
      <c r="C17" s="52" t="n">
        <f aca="false">Feeds!D29</f>
        <v>0</v>
      </c>
      <c r="D17" s="53" t="n">
        <f aca="false">Feeds!G10</f>
        <v>5.84</v>
      </c>
      <c r="E17" s="54"/>
      <c r="F17" s="5" t="n">
        <f aca="false">$G$3*B17</f>
        <v>217000</v>
      </c>
      <c r="G17" s="55" t="n">
        <f aca="true">(1+W17/2)^(-2*($A17-TODAY())/365.25)</f>
        <v>3.15787109241355</v>
      </c>
      <c r="H17" s="65" t="n">
        <v>-0.08</v>
      </c>
      <c r="I17" s="0" t="n">
        <f aca="false">IF(E17=0,D17,E17)</f>
        <v>5.84</v>
      </c>
      <c r="J17" s="0" t="n">
        <v>-0.06</v>
      </c>
      <c r="K17" s="0" t="n">
        <v>-0.0675</v>
      </c>
      <c r="M17" s="6" t="n">
        <f aca="false">F17*G17*K17</f>
        <v>-46254.9168261275</v>
      </c>
      <c r="N17" s="5" t="n">
        <f aca="false">F17*G17</f>
        <v>685258.02705374</v>
      </c>
      <c r="Q17" s="57" t="n">
        <f aca="false">A17</f>
        <v>37226</v>
      </c>
      <c r="R17" s="45" t="n">
        <f aca="false">I17*G17</f>
        <v>18.4419671796951</v>
      </c>
      <c r="S17" s="45" t="n">
        <f aca="false">H17*G17</f>
        <v>-0.252629687393084</v>
      </c>
      <c r="T17" s="45" t="n">
        <f aca="false">R17+S17</f>
        <v>18.189337492302</v>
      </c>
      <c r="U17" s="58"/>
      <c r="V17" s="58"/>
      <c r="W17" s="69" t="n">
        <v>0.0488632510183029</v>
      </c>
      <c r="X17" s="0" t="n">
        <v>2.185</v>
      </c>
      <c r="Y17" s="9" t="n">
        <v>2.255</v>
      </c>
      <c r="Z17" s="9" t="n">
        <f aca="false">X17*$Z$3</f>
        <v>0.0928625</v>
      </c>
      <c r="AA17" s="0" t="n">
        <f aca="false">+Y17-X17</f>
        <v>0.0699999999999998</v>
      </c>
      <c r="AB17" s="47" t="n">
        <f aca="false">IF(($AA17-$Z17-$AB$3)/2&lt;$AB$3,$AB$3,($AA17-$Z17-$AB$3)/2)</f>
        <v>0.05</v>
      </c>
      <c r="AC17" s="47" t="n">
        <f aca="false">IF(AA17&gt;Z17,(AA17-Z17),0)</f>
        <v>0</v>
      </c>
      <c r="AD17" s="48" t="n">
        <f aca="false">+AC17-AB17</f>
        <v>-0.05</v>
      </c>
      <c r="AE17" s="6" t="n">
        <f aca="false">10000*AD17</f>
        <v>-500</v>
      </c>
      <c r="AG17" s="6" t="n">
        <f aca="false">5000*(AC17)</f>
        <v>0</v>
      </c>
      <c r="AJ17" s="60" t="e">
        <f aca="false">+AJ16+1</f>
        <v>#REF!</v>
      </c>
      <c r="AK17" s="61" t="e">
        <f aca="false">AJ17</f>
        <v>#REF!</v>
      </c>
      <c r="AL17" s="0" t="n">
        <f aca="false">+$AL$7</f>
        <v>0.115</v>
      </c>
      <c r="AN17" s="60" t="e">
        <f aca="false">+AN16+1</f>
        <v>#REF!</v>
      </c>
      <c r="AO17" s="61" t="e">
        <f aca="false">DAY(AN17)</f>
        <v>#REF!</v>
      </c>
      <c r="AP17" s="40" t="n">
        <v>0.11</v>
      </c>
    </row>
    <row r="18" customFormat="false" ht="12.75" hidden="false" customHeight="false" outlineLevel="0" collapsed="false">
      <c r="A18" s="51" t="n">
        <f aca="false">DATE(YEAR(A17+31),MONTH(A17+31),1)</f>
        <v>37257</v>
      </c>
      <c r="B18" s="0" t="n">
        <f aca="false">IF(A18&gt;=$A$3,IF(A18&lt;=$A$4,1,0),0)*(A19-A18)</f>
        <v>31</v>
      </c>
      <c r="C18" s="52" t="n">
        <f aca="false">Feeds!D30</f>
        <v>0</v>
      </c>
      <c r="D18" s="53" t="n">
        <f aca="false">Feeds!G11</f>
        <v>5.947</v>
      </c>
      <c r="E18" s="54"/>
      <c r="F18" s="5" t="n">
        <f aca="false">$G$3*B18</f>
        <v>217000</v>
      </c>
      <c r="G18" s="55" t="n">
        <f aca="true">(1+W18/2)^(-2*($A18-TODAY())/365.25)</f>
        <v>3.14402495831062</v>
      </c>
      <c r="H18" s="65" t="n">
        <v>-0.08</v>
      </c>
      <c r="I18" s="0" t="n">
        <f aca="false">IF(E18=0,D18,E18)</f>
        <v>5.947</v>
      </c>
      <c r="J18" s="0" t="n">
        <v>-0.06</v>
      </c>
      <c r="K18" s="0" t="n">
        <v>-0.0675</v>
      </c>
      <c r="M18" s="6" t="n">
        <f aca="false">F18*G18*K18</f>
        <v>-46052.1055768548</v>
      </c>
      <c r="N18" s="5" t="n">
        <f aca="false">F18*G18</f>
        <v>682253.415953405</v>
      </c>
      <c r="Q18" s="57" t="n">
        <f aca="false">A18</f>
        <v>37257</v>
      </c>
      <c r="R18" s="45" t="n">
        <f aca="false">I18*G18</f>
        <v>18.6975164270733</v>
      </c>
      <c r="S18" s="45" t="n">
        <f aca="false">H18*G18</f>
        <v>-0.25152199666485</v>
      </c>
      <c r="T18" s="45" t="n">
        <f aca="false">R18+S18</f>
        <v>18.4459944304084</v>
      </c>
      <c r="U18" s="58"/>
      <c r="V18" s="58"/>
      <c r="W18" s="69" t="n">
        <v>0.0488504342553711</v>
      </c>
      <c r="X18" s="0" t="n">
        <v>2.185</v>
      </c>
      <c r="Y18" s="9" t="n">
        <v>2.255</v>
      </c>
      <c r="Z18" s="9" t="n">
        <f aca="false">X18*$Z$3</f>
        <v>0.0928625</v>
      </c>
      <c r="AA18" s="0" t="n">
        <f aca="false">+Y18-X18</f>
        <v>0.0699999999999998</v>
      </c>
      <c r="AB18" s="47" t="n">
        <f aca="false">IF(($AA18-$Z18-$AB$3)/2&lt;$AB$3,$AB$3,($AA18-$Z18-$AB$3)/2)</f>
        <v>0.05</v>
      </c>
      <c r="AC18" s="47" t="n">
        <f aca="false">IF(AA18&gt;Z18,(AA18-Z18),0)</f>
        <v>0</v>
      </c>
      <c r="AD18" s="48" t="n">
        <f aca="false">+AC18-AB18</f>
        <v>-0.05</v>
      </c>
      <c r="AE18" s="6" t="n">
        <f aca="false">10000*AD18</f>
        <v>-500</v>
      </c>
      <c r="AG18" s="6" t="n">
        <f aca="false">5000*(AC18)</f>
        <v>0</v>
      </c>
      <c r="AJ18" s="60" t="e">
        <f aca="false">+AJ17+1</f>
        <v>#REF!</v>
      </c>
      <c r="AK18" s="61" t="e">
        <f aca="false">AJ18</f>
        <v>#REF!</v>
      </c>
      <c r="AL18" s="0" t="n">
        <v>0</v>
      </c>
      <c r="AM18" s="0" t="n">
        <v>1</v>
      </c>
      <c r="AN18" s="60" t="e">
        <f aca="false">+AN17+1</f>
        <v>#REF!</v>
      </c>
      <c r="AO18" s="61" t="e">
        <f aca="false">DAY(AN18)</f>
        <v>#REF!</v>
      </c>
      <c r="AP18" s="40" t="n">
        <v>0.11</v>
      </c>
    </row>
    <row r="19" customFormat="false" ht="12.75" hidden="false" customHeight="false" outlineLevel="0" collapsed="false">
      <c r="A19" s="51" t="n">
        <f aca="false">DATE(YEAR(A18+31),MONTH(A18+31),1)</f>
        <v>37288</v>
      </c>
      <c r="B19" s="0" t="n">
        <f aca="false">IF(A19&gt;=$A$3,IF(A19&lt;=$A$4,1,0),0)*(A20-A19)</f>
        <v>28</v>
      </c>
      <c r="C19" s="52" t="n">
        <f aca="false">Feeds!D31</f>
        <v>0</v>
      </c>
      <c r="D19" s="53" t="n">
        <f aca="false">Feeds!G12</f>
        <v>5.757</v>
      </c>
      <c r="E19" s="54"/>
      <c r="F19" s="5" t="n">
        <f aca="false">$G$3*B19</f>
        <v>196000</v>
      </c>
      <c r="G19" s="55" t="n">
        <f aca="true">(1+W19/2)^(-2*($A19-TODAY())/365.25)</f>
        <v>3.13033580952982</v>
      </c>
      <c r="H19" s="65" t="n">
        <v>-0.08</v>
      </c>
      <c r="I19" s="0" t="n">
        <f aca="false">IF(E19=0,D19,E19)</f>
        <v>5.757</v>
      </c>
      <c r="J19" s="0" t="n">
        <v>-0.06</v>
      </c>
      <c r="K19" s="0" t="n">
        <v>-0.0675</v>
      </c>
      <c r="M19" s="6" t="n">
        <f aca="false">F19*G19*K19</f>
        <v>-41414.3427600795</v>
      </c>
      <c r="N19" s="5" t="n">
        <f aca="false">F19*G19</f>
        <v>613545.818667845</v>
      </c>
      <c r="Q19" s="57" t="n">
        <f aca="false">A19</f>
        <v>37288</v>
      </c>
      <c r="R19" s="45" t="n">
        <f aca="false">I19*G19</f>
        <v>18.0213432554632</v>
      </c>
      <c r="S19" s="45" t="n">
        <f aca="false">H19*G19</f>
        <v>-0.250426864762386</v>
      </c>
      <c r="T19" s="45" t="n">
        <f aca="false">R19+S19</f>
        <v>17.7709163907008</v>
      </c>
      <c r="U19" s="45"/>
      <c r="W19" s="69" t="n">
        <v>0.048838857824383</v>
      </c>
      <c r="X19" s="0" t="n">
        <v>2.055</v>
      </c>
      <c r="Y19" s="9" t="n">
        <v>2.135</v>
      </c>
      <c r="Z19" s="9" t="n">
        <f aca="false">X19*$Z$3</f>
        <v>0.0873375</v>
      </c>
      <c r="AA19" s="0" t="n">
        <f aca="false">+Y19-X19</f>
        <v>0.0799999999999996</v>
      </c>
      <c r="AB19" s="47" t="n">
        <f aca="false">IF(($AA19-$Z19-$AB$3)/2&lt;$AB$3,$AB$3,($AA19-$Z19-$AB$3)/2)</f>
        <v>0.05</v>
      </c>
      <c r="AC19" s="47" t="n">
        <f aca="false">IF(AA19&gt;Z19,(AA19-Z19),0)</f>
        <v>0</v>
      </c>
      <c r="AD19" s="48" t="n">
        <f aca="false">+AC19-AB19</f>
        <v>-0.05</v>
      </c>
      <c r="AE19" s="6" t="n">
        <f aca="false">10000*AD19</f>
        <v>-500</v>
      </c>
      <c r="AG19" s="6" t="n">
        <f aca="false">5000*(AC19)</f>
        <v>0</v>
      </c>
      <c r="AJ19" s="60" t="e">
        <f aca="false">+AJ18+1</f>
        <v>#REF!</v>
      </c>
      <c r="AK19" s="61" t="e">
        <f aca="false">AJ19</f>
        <v>#REF!</v>
      </c>
      <c r="AL19" s="0" t="n">
        <v>0</v>
      </c>
      <c r="AM19" s="0" t="n">
        <v>1</v>
      </c>
      <c r="AN19" s="60" t="e">
        <f aca="false">+AN18+1</f>
        <v>#REF!</v>
      </c>
      <c r="AO19" s="61" t="e">
        <f aca="false">DAY(AN19)</f>
        <v>#REF!</v>
      </c>
      <c r="AP19" s="40" t="n">
        <v>0.11</v>
      </c>
    </row>
    <row r="20" customFormat="false" ht="12.75" hidden="false" customHeight="false" outlineLevel="0" collapsed="false">
      <c r="A20" s="51" t="n">
        <f aca="false">DATE(YEAR(A19+31),MONTH(A19+31),1)</f>
        <v>37316</v>
      </c>
      <c r="B20" s="0" t="n">
        <f aca="false">IF(A20&gt;=$A$3,IF(A20&lt;=$A$4,1,0),0)*(A21-A20)</f>
        <v>31</v>
      </c>
      <c r="C20" s="52" t="n">
        <f aca="false">Feeds!D32</f>
        <v>0</v>
      </c>
      <c r="D20" s="53" t="n">
        <f aca="false">Feeds!G13</f>
        <v>5.415</v>
      </c>
      <c r="E20" s="54"/>
      <c r="F20" s="5" t="n">
        <f aca="false">$G$3*B20</f>
        <v>217000</v>
      </c>
      <c r="G20" s="55" t="n">
        <f aca="true">(1+W20/2)^(-2*($A20-TODAY())/365.25)</f>
        <v>3.11929424101208</v>
      </c>
      <c r="H20" s="65" t="n">
        <v>-0.08</v>
      </c>
      <c r="I20" s="0" t="n">
        <f aca="false">IF(E20=0,D20,E20)</f>
        <v>5.415</v>
      </c>
      <c r="J20" s="0" t="n">
        <v>-0.06</v>
      </c>
      <c r="K20" s="0" t="n">
        <v>-0.0675</v>
      </c>
      <c r="M20" s="6" t="n">
        <f aca="false">F20*G20*K20</f>
        <v>-45689.8623952244</v>
      </c>
      <c r="N20" s="5" t="n">
        <f aca="false">F20*G20</f>
        <v>676886.850299621</v>
      </c>
      <c r="Q20" s="57" t="n">
        <f aca="false">A20</f>
        <v>37316</v>
      </c>
      <c r="R20" s="45" t="n">
        <f aca="false">I20*G20</f>
        <v>16.8909783150804</v>
      </c>
      <c r="S20" s="45" t="n">
        <f aca="false">H20*G20</f>
        <v>-0.249543539280966</v>
      </c>
      <c r="T20" s="45" t="n">
        <f aca="false">R20+S20</f>
        <v>16.6414347757994</v>
      </c>
      <c r="U20" s="45"/>
      <c r="W20" s="69" t="n">
        <v>0.0488460492432772</v>
      </c>
      <c r="X20" s="0" t="n">
        <v>2.025</v>
      </c>
      <c r="Y20" s="9" t="n">
        <v>2.075</v>
      </c>
      <c r="Z20" s="9" t="n">
        <f aca="false">X20*$Z$3</f>
        <v>0.0860625</v>
      </c>
      <c r="AA20" s="0" t="n">
        <f aca="false">+Y20-X20</f>
        <v>0.0500000000000003</v>
      </c>
      <c r="AB20" s="47" t="n">
        <f aca="false">IF(($AA20-$Z20-$AB$3)/2&lt;$AB$3,$AB$3,($AA20-$Z20-$AB$3)/2)</f>
        <v>0.05</v>
      </c>
      <c r="AC20" s="47" t="n">
        <f aca="false">IF(AA20&gt;Z20,(AA20-Z20),0)</f>
        <v>0</v>
      </c>
      <c r="AD20" s="48" t="n">
        <f aca="false">+AC20-AB20</f>
        <v>-0.05</v>
      </c>
      <c r="AE20" s="6" t="n">
        <f aca="false">10000*AD20</f>
        <v>-500</v>
      </c>
      <c r="AG20" s="6" t="n">
        <f aca="false">5000*(AC20)</f>
        <v>0</v>
      </c>
      <c r="AJ20" s="60" t="e">
        <f aca="false">+AJ19+1</f>
        <v>#REF!</v>
      </c>
      <c r="AK20" s="61" t="e">
        <f aca="false">AJ20</f>
        <v>#REF!</v>
      </c>
      <c r="AL20" s="0" t="e">
        <f aca="false">#REF!</f>
        <v>#REF!</v>
      </c>
      <c r="AM20" s="0" t="n">
        <v>1</v>
      </c>
      <c r="AN20" s="60" t="e">
        <f aca="false">+AN19+1</f>
        <v>#REF!</v>
      </c>
      <c r="AO20" s="61" t="e">
        <f aca="false">DAY(AN20)</f>
        <v>#REF!</v>
      </c>
      <c r="AP20" s="40" t="n">
        <v>0.11</v>
      </c>
    </row>
    <row r="21" customFormat="false" ht="12.75" hidden="false" customHeight="false" outlineLevel="0" collapsed="false">
      <c r="A21" s="51" t="n">
        <f aca="false">DATE(YEAR(A20+31),MONTH(A20+31),1)</f>
        <v>37347</v>
      </c>
      <c r="B21" s="0" t="n">
        <f aca="false">IF(A21&gt;=$A$3,IF(A21&lt;=$A$4,1,0),0)*(A22-A21)</f>
        <v>30</v>
      </c>
      <c r="C21" s="52" t="n">
        <f aca="false">Feeds!D33</f>
        <v>0</v>
      </c>
      <c r="D21" s="53" t="n">
        <f aca="false">Feeds!G14</f>
        <v>4.845</v>
      </c>
      <c r="E21" s="54"/>
      <c r="F21" s="5" t="n">
        <f aca="false">$G$3*B21</f>
        <v>210000</v>
      </c>
      <c r="G21" s="55" t="n">
        <f aca="true">(1+W21/2)^(-2*($A21-TODAY())/365.25)</f>
        <v>3.10877658655095</v>
      </c>
      <c r="H21" s="76" t="n">
        <v>0.21</v>
      </c>
      <c r="I21" s="0" t="n">
        <f aca="false">IF(E21=0,D21,E21)</f>
        <v>4.845</v>
      </c>
      <c r="J21" s="0" t="n">
        <f aca="false">IF($I$4=0,H21,(I21+H21))</f>
        <v>0.21</v>
      </c>
      <c r="K21" s="0" t="n">
        <f aca="false">IF($K$5="OK",((I21*$I$5)+(J21*$J$5)),"*******")</f>
        <v>0.21</v>
      </c>
      <c r="M21" s="6" t="n">
        <f aca="false">F21*G21*K21</f>
        <v>137097.047466897</v>
      </c>
      <c r="N21" s="5" t="n">
        <f aca="false">F21*G21</f>
        <v>652843.0831757</v>
      </c>
      <c r="Q21" s="57" t="n">
        <f aca="false">A21</f>
        <v>37347</v>
      </c>
      <c r="R21" s="45" t="n">
        <f aca="false">I21*G21</f>
        <v>15.0620225618394</v>
      </c>
      <c r="S21" s="45" t="n">
        <f aca="false">H21*G21</f>
        <v>0.6528430831757</v>
      </c>
      <c r="T21" s="45" t="n">
        <f aca="false">R21+S21</f>
        <v>15.7148656450151</v>
      </c>
      <c r="W21" s="69" t="n">
        <v>0.0488773827071154</v>
      </c>
      <c r="X21" s="0" t="n">
        <v>1.995</v>
      </c>
      <c r="Y21" s="9" t="n">
        <v>2.095</v>
      </c>
      <c r="Z21" s="9" t="n">
        <f aca="false">X21*$Z$3</f>
        <v>0.0847875</v>
      </c>
      <c r="AA21" s="0" t="n">
        <f aca="false">+Y21-X21</f>
        <v>0.1</v>
      </c>
      <c r="AB21" s="47" t="n">
        <f aca="false">IF(($AA21-$Z21-$AB$3)/2&lt;$AB$3,$AB$3,($AA21-$Z21-$AB$3)/2)</f>
        <v>0.05</v>
      </c>
      <c r="AC21" s="47" t="n">
        <f aca="false">IF(AA21&gt;Z21,(AA21-Z21),0)</f>
        <v>0.0152125000000001</v>
      </c>
      <c r="AD21" s="48" t="n">
        <f aca="false">+AC21-AB21</f>
        <v>-0.0347874999999999</v>
      </c>
      <c r="AE21" s="6" t="n">
        <f aca="false">10000*AD21</f>
        <v>-347.874999999999</v>
      </c>
      <c r="AG21" s="6" t="n">
        <f aca="false">5000*(AC21)</f>
        <v>76.0625000000004</v>
      </c>
      <c r="AJ21" s="60" t="e">
        <f aca="false">+AJ20+1</f>
        <v>#REF!</v>
      </c>
      <c r="AK21" s="61" t="e">
        <f aca="false">AJ21</f>
        <v>#REF!</v>
      </c>
      <c r="AL21" s="0" t="n">
        <f aca="false">+$AL$7</f>
        <v>0.115</v>
      </c>
      <c r="AN21" s="60" t="e">
        <f aca="false">+AN20+1</f>
        <v>#REF!</v>
      </c>
      <c r="AO21" s="61" t="e">
        <f aca="false">DAY(AN21)</f>
        <v>#REF!</v>
      </c>
      <c r="AP21" s="40" t="n">
        <v>0.11</v>
      </c>
      <c r="AS21" s="0" t="n">
        <v>0.16</v>
      </c>
      <c r="AT21" s="0" t="n">
        <v>0.05</v>
      </c>
      <c r="AU21" s="0" t="n">
        <f aca="false">+AS21+AT21</f>
        <v>0.21</v>
      </c>
    </row>
    <row r="22" customFormat="false" ht="12.75" hidden="false" customHeight="false" outlineLevel="0" collapsed="false">
      <c r="A22" s="51" t="n">
        <f aca="false">DATE(YEAR(A21+31),MONTH(A21+31),1)</f>
        <v>37377</v>
      </c>
      <c r="B22" s="0" t="n">
        <f aca="false">IF(A22&gt;=$A$3,IF(A22&lt;=$A$4,1,0),0)*(A23-A22)</f>
        <v>31</v>
      </c>
      <c r="C22" s="52" t="n">
        <f aca="false">Feeds!D34</f>
        <v>0</v>
      </c>
      <c r="D22" s="53" t="n">
        <f aca="false">Feeds!G15</f>
        <v>4.695</v>
      </c>
      <c r="E22" s="54"/>
      <c r="F22" s="5" t="n">
        <f aca="false">$G$3*B22</f>
        <v>217000</v>
      </c>
      <c r="G22" s="55" t="n">
        <f aca="true">(1+W22/2)^(-2*($A22-TODAY())/365.25)</f>
        <v>3.09876212941404</v>
      </c>
      <c r="H22" s="76" t="n">
        <v>0.21</v>
      </c>
      <c r="I22" s="0" t="n">
        <f aca="false">IF(E22=0,D22,E22)</f>
        <v>4.695</v>
      </c>
      <c r="J22" s="0" t="n">
        <f aca="false">IF($I$4=0,H22,(I22+H22))</f>
        <v>0.21</v>
      </c>
      <c r="K22" s="0" t="n">
        <f aca="false">IF($K$5="OK",((I22*$I$5)+(J22*$J$5)),"*******")</f>
        <v>0.21</v>
      </c>
      <c r="M22" s="6" t="n">
        <f aca="false">F22*G22*K22</f>
        <v>141210.590237398</v>
      </c>
      <c r="N22" s="5" t="n">
        <f aca="false">F22*G22</f>
        <v>672431.382082847</v>
      </c>
      <c r="Q22" s="57" t="n">
        <f aca="false">A22</f>
        <v>37377</v>
      </c>
      <c r="R22" s="45" t="n">
        <f aca="false">I22*G22</f>
        <v>14.5486881975989</v>
      </c>
      <c r="S22" s="45" t="n">
        <f aca="false">H22*G22</f>
        <v>0.650740047176949</v>
      </c>
      <c r="T22" s="45" t="n">
        <f aca="false">R22+S22</f>
        <v>15.1994282447759</v>
      </c>
      <c r="W22" s="69" t="n">
        <v>0.0489097606200919</v>
      </c>
      <c r="X22" s="0" t="n">
        <v>1.995</v>
      </c>
      <c r="Y22" s="9" t="n">
        <v>2.095</v>
      </c>
      <c r="Z22" s="9" t="n">
        <f aca="false">X22*$Z$3</f>
        <v>0.0847875</v>
      </c>
      <c r="AA22" s="0" t="n">
        <f aca="false">+Y22-X22</f>
        <v>0.1</v>
      </c>
      <c r="AB22" s="47" t="n">
        <f aca="false">IF(($AA22-$Z22-$AB$3)/2&lt;$AB$3,$AB$3,($AA22-$Z22-$AB$3)/2)</f>
        <v>0.05</v>
      </c>
      <c r="AC22" s="47" t="n">
        <f aca="false">IF(AA22&gt;Z22,(AA22-Z22),0)</f>
        <v>0.0152125000000001</v>
      </c>
      <c r="AD22" s="48" t="n">
        <f aca="false">+AC22-AB22</f>
        <v>-0.0347874999999999</v>
      </c>
      <c r="AE22" s="6" t="n">
        <f aca="false">10000*AD22</f>
        <v>-347.874999999999</v>
      </c>
      <c r="AG22" s="6" t="n">
        <f aca="false">5000*(AC22)</f>
        <v>76.0625000000004</v>
      </c>
      <c r="AJ22" s="60" t="e">
        <f aca="false">+AJ21+1</f>
        <v>#REF!</v>
      </c>
      <c r="AK22" s="61" t="e">
        <f aca="false">AJ22</f>
        <v>#REF!</v>
      </c>
      <c r="AL22" s="0" t="n">
        <f aca="false">+$AL$7</f>
        <v>0.115</v>
      </c>
      <c r="AN22" s="60" t="e">
        <f aca="false">+AN21+1</f>
        <v>#REF!</v>
      </c>
      <c r="AO22" s="61" t="e">
        <f aca="false">DAY(AN22)</f>
        <v>#REF!</v>
      </c>
      <c r="AP22" s="40" t="n">
        <v>0.11</v>
      </c>
      <c r="AS22" s="0" t="n">
        <v>0.16</v>
      </c>
      <c r="AT22" s="0" t="n">
        <v>0.05</v>
      </c>
      <c r="AU22" s="0" t="n">
        <f aca="false">+AS22+AT22</f>
        <v>0.21</v>
      </c>
    </row>
    <row r="23" customFormat="false" ht="12.75" hidden="false" customHeight="false" outlineLevel="0" collapsed="false">
      <c r="A23" s="51" t="n">
        <f aca="false">DATE(YEAR(A22+31),MONTH(A22+31),1)</f>
        <v>37408</v>
      </c>
      <c r="B23" s="0" t="n">
        <f aca="false">IF(A23&gt;=$A$3,IF(A23&lt;=$A$4,1,0),0)*(A24-A23)</f>
        <v>30</v>
      </c>
      <c r="C23" s="52" t="n">
        <f aca="false">Feeds!D35</f>
        <v>0</v>
      </c>
      <c r="D23" s="53" t="n">
        <f aca="false">Feeds!G16</f>
        <v>4.706</v>
      </c>
      <c r="E23" s="54"/>
      <c r="F23" s="5" t="n">
        <f aca="false">$G$3*B23</f>
        <v>210000</v>
      </c>
      <c r="G23" s="55" t="n">
        <f aca="true">(1+W23/2)^(-2*($A23-TODAY())/365.25)</f>
        <v>3.09086384663587</v>
      </c>
      <c r="H23" s="76" t="n">
        <v>0.21</v>
      </c>
      <c r="I23" s="0" t="n">
        <f aca="false">IF(E23=0,D23,E23)</f>
        <v>4.706</v>
      </c>
      <c r="J23" s="0" t="n">
        <f aca="false">IF($I$4=0,H23,(I23+H23))</f>
        <v>0.21</v>
      </c>
      <c r="K23" s="0" t="n">
        <f aca="false">IF($K$5="OK",((I23*$I$5)+(J23*$J$5)),"*******")</f>
        <v>0.21</v>
      </c>
      <c r="M23" s="6" t="n">
        <f aca="false">F23*G23*K23</f>
        <v>136307.095636642</v>
      </c>
      <c r="N23" s="5" t="n">
        <f aca="false">F23*G23</f>
        <v>649081.407793533</v>
      </c>
      <c r="Q23" s="57" t="n">
        <f aca="false">A23</f>
        <v>37408</v>
      </c>
      <c r="R23" s="45" t="n">
        <f aca="false">I23*G23</f>
        <v>14.5456052622684</v>
      </c>
      <c r="S23" s="45" t="n">
        <f aca="false">H23*G23</f>
        <v>0.649081407793533</v>
      </c>
      <c r="T23" s="45" t="n">
        <f aca="false">R23+S23</f>
        <v>15.1946866700619</v>
      </c>
      <c r="W23" s="69" t="n">
        <v>0.0489778106471821</v>
      </c>
      <c r="X23" s="0" t="n">
        <v>1.995</v>
      </c>
      <c r="Y23" s="9" t="n">
        <v>2.095</v>
      </c>
      <c r="Z23" s="9" t="n">
        <f aca="false">X23*$Z$3</f>
        <v>0.0847875</v>
      </c>
      <c r="AA23" s="0" t="n">
        <f aca="false">+Y23-X23</f>
        <v>0.1</v>
      </c>
      <c r="AB23" s="47" t="n">
        <f aca="false">IF(($AA23-$Z23-$AB$3)/2&lt;$AB$3,$AB$3,($AA23-$Z23-$AB$3)/2)</f>
        <v>0.05</v>
      </c>
      <c r="AC23" s="47" t="n">
        <f aca="false">IF(AA23&gt;Z23,(AA23-Z23),0)</f>
        <v>0.0152125000000001</v>
      </c>
      <c r="AD23" s="48" t="n">
        <f aca="false">+AC23-AB23</f>
        <v>-0.0347874999999999</v>
      </c>
      <c r="AE23" s="6" t="n">
        <f aca="false">10000*AD23</f>
        <v>-347.874999999999</v>
      </c>
      <c r="AG23" s="6" t="n">
        <f aca="false">5000*(AC23)</f>
        <v>76.0625000000004</v>
      </c>
      <c r="AJ23" s="60" t="e">
        <f aca="false">+AJ22+1</f>
        <v>#REF!</v>
      </c>
      <c r="AK23" s="61" t="e">
        <f aca="false">AJ23</f>
        <v>#REF!</v>
      </c>
      <c r="AL23" s="0" t="n">
        <f aca="false">+$AL$7</f>
        <v>0.115</v>
      </c>
      <c r="AN23" s="60" t="e">
        <f aca="false">+AN22+1</f>
        <v>#REF!</v>
      </c>
      <c r="AO23" s="61" t="e">
        <f aca="false">DAY(AN23)</f>
        <v>#REF!</v>
      </c>
      <c r="AP23" s="40" t="n">
        <v>0.11</v>
      </c>
      <c r="AS23" s="0" t="n">
        <v>0.16</v>
      </c>
      <c r="AT23" s="0" t="n">
        <v>0.05</v>
      </c>
      <c r="AU23" s="0" t="n">
        <f aca="false">+AS23+AT23</f>
        <v>0.21</v>
      </c>
    </row>
    <row r="24" customFormat="false" ht="12.75" hidden="false" customHeight="false" outlineLevel="0" collapsed="false">
      <c r="A24" s="51" t="n">
        <f aca="false">DATE(YEAR(A23+31),MONTH(A23+31),1)</f>
        <v>37438</v>
      </c>
      <c r="B24" s="0" t="n">
        <f aca="false">IF(A24&gt;=$A$3,IF(A24&lt;=$A$4,1,0),0)*(A25-A24)</f>
        <v>31</v>
      </c>
      <c r="C24" s="52" t="n">
        <f aca="false">Feeds!D36</f>
        <v>0</v>
      </c>
      <c r="D24" s="53" t="n">
        <f aca="false">Feeds!G17</f>
        <v>4.74</v>
      </c>
      <c r="E24" s="54"/>
      <c r="F24" s="5" t="n">
        <f aca="false">$G$3*B24</f>
        <v>217000</v>
      </c>
      <c r="G24" s="55" t="n">
        <f aca="true">(1+W24/2)^(-2*($A24-TODAY())/365.25)</f>
        <v>3.08773085081387</v>
      </c>
      <c r="H24" s="76" t="n">
        <v>0.21</v>
      </c>
      <c r="I24" s="0" t="n">
        <f aca="false">IF(E24=0,D24,E24)</f>
        <v>4.74</v>
      </c>
      <c r="J24" s="0" t="n">
        <f aca="false">IF($I$4=0,H24,(I24+H24))</f>
        <v>0.21</v>
      </c>
      <c r="K24" s="0" t="n">
        <f aca="false">IF($K$5="OK",((I24*$I$5)+(J24*$J$5)),"*******")</f>
        <v>0.21</v>
      </c>
      <c r="M24" s="6" t="n">
        <f aca="false">F24*G24*K24</f>
        <v>140707.894871588</v>
      </c>
      <c r="N24" s="5" t="n">
        <f aca="false">F24*G24</f>
        <v>670037.594626611</v>
      </c>
      <c r="Q24" s="57" t="n">
        <f aca="false">A24</f>
        <v>37438</v>
      </c>
      <c r="R24" s="45" t="n">
        <f aca="false">I24*G24</f>
        <v>14.6358442328578</v>
      </c>
      <c r="S24" s="45" t="n">
        <f aca="false">H24*G24</f>
        <v>0.648423478670914</v>
      </c>
      <c r="T24" s="45" t="n">
        <f aca="false">R24+S24</f>
        <v>15.2842677115287</v>
      </c>
      <c r="W24" s="69" t="n">
        <v>0.0491083158390984</v>
      </c>
      <c r="X24" s="0" t="n">
        <v>1.995</v>
      </c>
      <c r="Y24" s="9" t="n">
        <v>2.095</v>
      </c>
      <c r="Z24" s="9" t="n">
        <f aca="false">X24*$Z$3</f>
        <v>0.0847875</v>
      </c>
      <c r="AA24" s="0" t="n">
        <f aca="false">+Y24-X24</f>
        <v>0.1</v>
      </c>
      <c r="AB24" s="47" t="n">
        <f aca="false">IF(($AA24-$Z24-$AB$3)/2&lt;$AB$3,$AB$3,($AA24-$Z24-$AB$3)/2)</f>
        <v>0.05</v>
      </c>
      <c r="AC24" s="47" t="n">
        <f aca="false">IF(AA24&gt;Z24,(AA24-Z24),0)</f>
        <v>0.0152125000000001</v>
      </c>
      <c r="AD24" s="48" t="n">
        <f aca="false">+AC24-AB24</f>
        <v>-0.0347874999999999</v>
      </c>
      <c r="AE24" s="6" t="n">
        <f aca="false">10000*AD24</f>
        <v>-347.874999999999</v>
      </c>
      <c r="AG24" s="6" t="n">
        <f aca="false">5000*(AC24)</f>
        <v>76.0625000000004</v>
      </c>
      <c r="AJ24" s="60" t="e">
        <f aca="false">+AJ23+1</f>
        <v>#REF!</v>
      </c>
      <c r="AK24" s="61" t="e">
        <f aca="false">AJ24</f>
        <v>#REF!</v>
      </c>
      <c r="AL24" s="0" t="n">
        <f aca="false">+$AL$7</f>
        <v>0.115</v>
      </c>
      <c r="AN24" s="60" t="e">
        <f aca="false">+AN23+1</f>
        <v>#REF!</v>
      </c>
      <c r="AO24" s="61" t="e">
        <f aca="false">DAY(AN24)</f>
        <v>#REF!</v>
      </c>
      <c r="AP24" s="40" t="n">
        <v>0.11</v>
      </c>
      <c r="AS24" s="0" t="n">
        <v>0.16</v>
      </c>
      <c r="AT24" s="0" t="n">
        <v>0.05</v>
      </c>
      <c r="AU24" s="0" t="n">
        <f aca="false">+AS24+AT24</f>
        <v>0.21</v>
      </c>
    </row>
    <row r="25" customFormat="false" ht="12.75" hidden="false" customHeight="false" outlineLevel="0" collapsed="false">
      <c r="A25" s="51" t="n">
        <f aca="false">DATE(YEAR(A24+31),MONTH(A24+31),1)</f>
        <v>37469</v>
      </c>
      <c r="B25" s="0" t="n">
        <f aca="false">IF(A25&gt;=$A$3,IF(A25&lt;=$A$4,1,0),0)*(A26-A25)</f>
        <v>31</v>
      </c>
      <c r="C25" s="52" t="n">
        <f aca="false">Feeds!D37</f>
        <v>0</v>
      </c>
      <c r="D25" s="53" t="n">
        <f aca="false">Feeds!G18</f>
        <v>4.75</v>
      </c>
      <c r="E25" s="54"/>
      <c r="F25" s="5" t="n">
        <f aca="false">$G$3*B25</f>
        <v>217000</v>
      </c>
      <c r="G25" s="55" t="n">
        <f aca="true">(1+W25/2)^(-2*($A25-TODAY())/365.25)</f>
        <v>3.08412514840196</v>
      </c>
      <c r="H25" s="76" t="n">
        <v>0.21</v>
      </c>
      <c r="I25" s="0" t="n">
        <f aca="false">IF(E25=0,D25,E25)</f>
        <v>4.75</v>
      </c>
      <c r="J25" s="0" t="n">
        <f aca="false">IF($I$4=0,H25,(I25+H25))</f>
        <v>0.21</v>
      </c>
      <c r="K25" s="0" t="n">
        <f aca="false">IF($K$5="OK",((I25*$I$5)+(J25*$J$5)),"*******")</f>
        <v>0.21</v>
      </c>
      <c r="M25" s="6" t="n">
        <f aca="false">F25*G25*K25</f>
        <v>140543.583012677</v>
      </c>
      <c r="N25" s="5" t="n">
        <f aca="false">F25*G25</f>
        <v>669255.157203224</v>
      </c>
      <c r="Q25" s="57" t="n">
        <f aca="false">A25</f>
        <v>37469</v>
      </c>
      <c r="R25" s="45" t="n">
        <f aca="false">I25*G25</f>
        <v>14.6495944549093</v>
      </c>
      <c r="S25" s="45" t="n">
        <f aca="false">H25*G25</f>
        <v>0.647666281164411</v>
      </c>
      <c r="T25" s="45" t="n">
        <f aca="false">R25+S25</f>
        <v>15.2972607360737</v>
      </c>
      <c r="W25" s="69" t="n">
        <v>0.0492388210367034</v>
      </c>
      <c r="X25" s="0" t="n">
        <v>1.995</v>
      </c>
      <c r="Y25" s="9" t="n">
        <v>2.095</v>
      </c>
      <c r="Z25" s="9" t="n">
        <f aca="false">X25*$Z$3</f>
        <v>0.0847875</v>
      </c>
      <c r="AA25" s="0" t="n">
        <f aca="false">+Y25-X25</f>
        <v>0.1</v>
      </c>
      <c r="AB25" s="47" t="n">
        <f aca="false">IF(($AA25-$Z25-$AB$3)/2&lt;$AB$3,$AB$3,($AA25-$Z25-$AB$3)/2)</f>
        <v>0.05</v>
      </c>
      <c r="AC25" s="47" t="n">
        <f aca="false">IF(AA25&gt;Z25,(AA25-Z25),0)</f>
        <v>0.0152125000000001</v>
      </c>
      <c r="AD25" s="48" t="n">
        <f aca="false">+AC25-AB25</f>
        <v>-0.0347874999999999</v>
      </c>
      <c r="AE25" s="6" t="n">
        <f aca="false">10000*AD25</f>
        <v>-347.874999999999</v>
      </c>
      <c r="AG25" s="6" t="n">
        <f aca="false">5000*(AC25)</f>
        <v>76.0625000000004</v>
      </c>
      <c r="AJ25" s="60" t="e">
        <f aca="false">+AJ24+1</f>
        <v>#REF!</v>
      </c>
      <c r="AK25" s="61" t="e">
        <f aca="false">AJ25</f>
        <v>#REF!</v>
      </c>
      <c r="AL25" s="0" t="n">
        <v>0</v>
      </c>
      <c r="AM25" s="0" t="n">
        <v>1</v>
      </c>
      <c r="AN25" s="60" t="e">
        <f aca="false">+AN24+1</f>
        <v>#REF!</v>
      </c>
      <c r="AO25" s="61" t="e">
        <f aca="false">DAY(AN25)</f>
        <v>#REF!</v>
      </c>
      <c r="AP25" s="40" t="n">
        <v>0.11</v>
      </c>
      <c r="AS25" s="0" t="n">
        <v>0.16</v>
      </c>
      <c r="AT25" s="0" t="n">
        <v>0.05</v>
      </c>
      <c r="AU25" s="0" t="n">
        <f aca="false">+AS25+AT25</f>
        <v>0.21</v>
      </c>
    </row>
    <row r="26" customFormat="false" ht="12.75" hidden="false" customHeight="false" outlineLevel="0" collapsed="false">
      <c r="A26" s="51" t="n">
        <f aca="false">DATE(YEAR(A25+31),MONTH(A25+31),1)</f>
        <v>37500</v>
      </c>
      <c r="B26" s="0" t="n">
        <f aca="false">IF(A26&gt;=$A$3,IF(A26&lt;=$A$4,1,0),0)*(A27-A26)</f>
        <v>30</v>
      </c>
      <c r="C26" s="52" t="n">
        <f aca="false">Feeds!D38</f>
        <v>0</v>
      </c>
      <c r="D26" s="53" t="n">
        <f aca="false">Feeds!G19</f>
        <v>4.729</v>
      </c>
      <c r="E26" s="54"/>
      <c r="F26" s="5" t="n">
        <f aca="false">$G$3*B26</f>
        <v>210000</v>
      </c>
      <c r="G26" s="55" t="n">
        <f aca="true">(1+W26/2)^(-2*($A26-TODAY())/365.25)</f>
        <v>3.08145252155194</v>
      </c>
      <c r="H26" s="76" t="n">
        <v>0.21</v>
      </c>
      <c r="I26" s="0" t="n">
        <f aca="false">IF(E26=0,D26,E26)</f>
        <v>4.729</v>
      </c>
      <c r="J26" s="0" t="n">
        <f aca="false">IF($I$4=0,H26,(I26+H26))</f>
        <v>0.21</v>
      </c>
      <c r="K26" s="0" t="n">
        <f aca="false">IF($K$5="OK",((I26*$I$5)+(J26*$J$5)),"*******")</f>
        <v>0.21</v>
      </c>
      <c r="M26" s="6" t="n">
        <f aca="false">F26*G26*K26</f>
        <v>135892.056200441</v>
      </c>
      <c r="N26" s="5" t="n">
        <f aca="false">F26*G26</f>
        <v>647105.029525908</v>
      </c>
      <c r="Q26" s="57" t="n">
        <f aca="false">A26</f>
        <v>37500</v>
      </c>
      <c r="R26" s="45" t="n">
        <f aca="false">I26*G26</f>
        <v>14.5721889744191</v>
      </c>
      <c r="S26" s="45" t="n">
        <f aca="false">H26*G26</f>
        <v>0.647105029525908</v>
      </c>
      <c r="T26" s="45" t="n">
        <f aca="false">R26+S26</f>
        <v>15.2192940039451</v>
      </c>
      <c r="W26" s="69" t="n">
        <v>0.0493836862328974</v>
      </c>
      <c r="X26" s="0" t="n">
        <v>2.15</v>
      </c>
      <c r="Y26" s="9" t="n">
        <v>2.335</v>
      </c>
      <c r="Z26" s="9" t="n">
        <f aca="false">X26*$Z$3</f>
        <v>0.091375</v>
      </c>
      <c r="AA26" s="0" t="n">
        <f aca="false">+Y26-X26</f>
        <v>0.185</v>
      </c>
      <c r="AB26" s="47" t="n">
        <f aca="false">IF(($AA26-$Z26-$AB$3)/2&lt;$AB$3,$AB$3,($AA26-$Z26-$AB$3)/2)</f>
        <v>0.05</v>
      </c>
      <c r="AC26" s="47" t="n">
        <f aca="false">IF(AA26&gt;Z26,(AA26-Z26),0)</f>
        <v>0.0936250000000001</v>
      </c>
      <c r="AD26" s="48" t="n">
        <f aca="false">+AC26-AB26</f>
        <v>0.0436250000000001</v>
      </c>
      <c r="AE26" s="6" t="n">
        <f aca="false">10000*AD26</f>
        <v>436.250000000001</v>
      </c>
      <c r="AG26" s="6" t="n">
        <f aca="false">5000*(AC26)</f>
        <v>468.125</v>
      </c>
      <c r="AJ26" s="60" t="e">
        <f aca="false">+AJ25+1</f>
        <v>#REF!</v>
      </c>
      <c r="AK26" s="61" t="e">
        <f aca="false">AJ26</f>
        <v>#REF!</v>
      </c>
      <c r="AL26" s="0" t="n">
        <v>0</v>
      </c>
      <c r="AM26" s="0" t="n">
        <v>1</v>
      </c>
      <c r="AN26" s="60" t="e">
        <f aca="false">+AN25+1</f>
        <v>#REF!</v>
      </c>
      <c r="AO26" s="61" t="e">
        <f aca="false">DAY(AN26)</f>
        <v>#REF!</v>
      </c>
      <c r="AP26" s="40" t="n">
        <v>0.11</v>
      </c>
      <c r="AS26" s="0" t="n">
        <v>0.16</v>
      </c>
      <c r="AT26" s="0" t="n">
        <v>0.05</v>
      </c>
      <c r="AU26" s="0" t="n">
        <f aca="false">+AS26+AT26</f>
        <v>0.21</v>
      </c>
    </row>
    <row r="27" customFormat="false" ht="12.75" hidden="false" customHeight="false" outlineLevel="0" collapsed="false">
      <c r="A27" s="51" t="n">
        <f aca="false">DATE(YEAR(A26+31),MONTH(A26+31),1)</f>
        <v>37530</v>
      </c>
      <c r="B27" s="0" t="n">
        <f aca="false">IF(A27&gt;=$A$3,IF(A27&lt;=$A$4,1,0),0)*(A28-A27)</f>
        <v>31</v>
      </c>
      <c r="C27" s="77"/>
      <c r="D27" s="53" t="n">
        <f aca="false">Feeds!G20</f>
        <v>4.735</v>
      </c>
      <c r="E27" s="54"/>
      <c r="F27" s="5" t="n">
        <f aca="false">$G$3*B27</f>
        <v>217000</v>
      </c>
      <c r="G27" s="55" t="n">
        <f aca="true">(1+W27/2)^(-2*($A27-TODAY())/365.25)</f>
        <v>3.08128940709131</v>
      </c>
      <c r="H27" s="76" t="n">
        <v>0.21</v>
      </c>
      <c r="I27" s="0" t="n">
        <f aca="false">IF(E27=0,D27,E27)</f>
        <v>4.735</v>
      </c>
      <c r="J27" s="0" t="n">
        <f aca="false">IF($I$4=0,H27,(I27+H27))</f>
        <v>0.21</v>
      </c>
      <c r="K27" s="0" t="n">
        <f aca="false">IF($K$5="OK",((I27*$I$5)+(J27*$J$5)),"*******")</f>
        <v>0.21</v>
      </c>
      <c r="M27" s="6" t="n">
        <f aca="false">F27*G27*K27</f>
        <v>140414.358281151</v>
      </c>
      <c r="N27" s="5" t="n">
        <f aca="false">F27*G27</f>
        <v>668639.801338814</v>
      </c>
      <c r="Q27" s="57" t="n">
        <f aca="false">A27</f>
        <v>37530</v>
      </c>
      <c r="R27" s="45" t="n">
        <f aca="false">I27*G27</f>
        <v>14.5899053425774</v>
      </c>
      <c r="S27" s="45" t="n">
        <f aca="false">H27*G27</f>
        <v>0.647070775489175</v>
      </c>
      <c r="T27" s="45" t="n">
        <f aca="false">R27+S27</f>
        <v>15.2369761180665</v>
      </c>
      <c r="W27" s="69" t="n">
        <v>0.0495599492104923</v>
      </c>
      <c r="X27" s="0" t="n">
        <v>2.185</v>
      </c>
      <c r="Y27" s="9" t="n">
        <v>2.325</v>
      </c>
      <c r="Z27" s="9" t="n">
        <f aca="false">X27*$Z$3</f>
        <v>0.0928625</v>
      </c>
      <c r="AA27" s="0" t="n">
        <f aca="false">+Y27-X27</f>
        <v>0.14</v>
      </c>
      <c r="AB27" s="47" t="n">
        <f aca="false">IF(($AA27-$Z27-$AB$3)/2&lt;$AB$3,$AB$3,($AA27-$Z27-$AB$3)/2)</f>
        <v>0.05</v>
      </c>
      <c r="AC27" s="47" t="n">
        <f aca="false">IF(AA27&gt;Z27,(AA27-Z27),0)</f>
        <v>0.0471375000000001</v>
      </c>
      <c r="AD27" s="48" t="n">
        <f aca="false">+AC27-AB27</f>
        <v>-0.00286249999999989</v>
      </c>
      <c r="AE27" s="6" t="n">
        <f aca="false">10000*AD27</f>
        <v>-28.6249999999989</v>
      </c>
      <c r="AG27" s="6" t="n">
        <f aca="false">5000*(AC27)</f>
        <v>235.687500000001</v>
      </c>
      <c r="AJ27" s="60" t="e">
        <f aca="false">+AJ26+1</f>
        <v>#REF!</v>
      </c>
      <c r="AK27" s="61" t="e">
        <f aca="false">AJ27</f>
        <v>#REF!</v>
      </c>
      <c r="AL27" s="0" t="e">
        <f aca="false">#REF!</f>
        <v>#REF!</v>
      </c>
      <c r="AM27" s="0" t="n">
        <v>1</v>
      </c>
      <c r="AN27" s="60" t="e">
        <f aca="false">+AN26+1</f>
        <v>#REF!</v>
      </c>
      <c r="AO27" s="61" t="e">
        <f aca="false">DAY(AN27)</f>
        <v>#REF!</v>
      </c>
      <c r="AP27" s="40" t="n">
        <v>0.11</v>
      </c>
      <c r="AS27" s="0" t="n">
        <v>0.16</v>
      </c>
      <c r="AT27" s="0" t="n">
        <v>0.05</v>
      </c>
      <c r="AU27" s="0" t="n">
        <f aca="false">+AS27+AT27</f>
        <v>0.21</v>
      </c>
    </row>
    <row r="28" customFormat="false" ht="12.75" hidden="false" customHeight="false" outlineLevel="0" collapsed="false">
      <c r="A28" s="51" t="n">
        <f aca="false">DATE(YEAR(A27+31),MONTH(A27+31),1)</f>
        <v>37561</v>
      </c>
      <c r="B28" s="0" t="n">
        <f aca="false">IF(A28&gt;=$A$3,IF(A28&lt;=$A$4,1,0),0)*(A29-A28)</f>
        <v>30</v>
      </c>
      <c r="C28" s="77"/>
      <c r="D28" s="53" t="n">
        <f aca="false">Feeds!G21</f>
        <v>4.855</v>
      </c>
      <c r="E28" s="54"/>
      <c r="F28" s="5" t="n">
        <f aca="false">$G$3*B28</f>
        <v>210000</v>
      </c>
      <c r="G28" s="55" t="n">
        <f aca="true">(1+W28/2)^(-2*($A28-TODAY())/365.25)</f>
        <v>3.08023241451433</v>
      </c>
      <c r="H28" s="76" t="n">
        <v>0.37</v>
      </c>
      <c r="I28" s="0" t="n">
        <f aca="false">IF(E28=0,D28,E28)</f>
        <v>4.855</v>
      </c>
      <c r="J28" s="0" t="n">
        <f aca="false">IF($I$4=0,H28,(I28+H28))</f>
        <v>0.37</v>
      </c>
      <c r="K28" s="0" t="n">
        <f aca="false">IF($K$5="OK",((I28*$I$5)+(J28*$J$5)),"*******")</f>
        <v>0.37</v>
      </c>
      <c r="M28" s="6" t="n">
        <f aca="false">F28*G28*K28</f>
        <v>239334.058607763</v>
      </c>
      <c r="N28" s="5" t="n">
        <f aca="false">F28*G28</f>
        <v>646848.807048008</v>
      </c>
      <c r="Q28" s="57" t="n">
        <f aca="false">A28</f>
        <v>37561</v>
      </c>
      <c r="R28" s="45" t="n">
        <f aca="false">I28*G28</f>
        <v>14.9545283724671</v>
      </c>
      <c r="S28" s="45" t="n">
        <f aca="false">H28*G28</f>
        <v>1.1396859933703</v>
      </c>
      <c r="T28" s="45" t="n">
        <f aca="false">R28+S28</f>
        <v>16.0942143658374</v>
      </c>
      <c r="W28" s="69" t="n">
        <v>0.0497305262954626</v>
      </c>
      <c r="X28" s="0" t="n">
        <v>2.145</v>
      </c>
      <c r="Y28" s="9" t="n">
        <v>2.285</v>
      </c>
      <c r="Z28" s="9" t="n">
        <f aca="false">X28*$Z$3</f>
        <v>0.0911625</v>
      </c>
      <c r="AA28" s="0" t="n">
        <f aca="false">+Y28-X28</f>
        <v>0.14</v>
      </c>
      <c r="AB28" s="47" t="n">
        <f aca="false">IF(($AA28-$Z28-$AB$3)/2&lt;$AB$3,$AB$3,($AA28-$Z28-$AB$3)/2)</f>
        <v>0.05</v>
      </c>
      <c r="AC28" s="47" t="n">
        <f aca="false">IF(AA28&gt;Z28,(AA28-Z28),0)</f>
        <v>0.0488375000000001</v>
      </c>
      <c r="AD28" s="48" t="n">
        <f aca="false">+AC28-AB28</f>
        <v>-0.00116249999999989</v>
      </c>
      <c r="AE28" s="6" t="n">
        <f aca="false">10000*AD28</f>
        <v>-11.6249999999989</v>
      </c>
      <c r="AG28" s="6" t="n">
        <f aca="false">5000*(AC28)</f>
        <v>244.187500000001</v>
      </c>
      <c r="AJ28" s="60" t="e">
        <f aca="false">+AJ27+1</f>
        <v>#REF!</v>
      </c>
      <c r="AK28" s="61" t="e">
        <f aca="false">AJ28</f>
        <v>#REF!</v>
      </c>
      <c r="AL28" s="0" t="n">
        <f aca="false">+$AL$7</f>
        <v>0.115</v>
      </c>
      <c r="AN28" s="60" t="e">
        <f aca="false">+AN27+1</f>
        <v>#REF!</v>
      </c>
      <c r="AO28" s="61" t="e">
        <f aca="false">DAY(AN28)</f>
        <v>#REF!</v>
      </c>
      <c r="AP28" s="40" t="n">
        <v>0.11</v>
      </c>
      <c r="AS28" s="0" t="n">
        <v>0.22</v>
      </c>
      <c r="AT28" s="0" t="n">
        <v>0.15</v>
      </c>
      <c r="AU28" s="0" t="n">
        <f aca="false">+AS28+AT28</f>
        <v>0.37</v>
      </c>
    </row>
    <row r="29" customFormat="false" ht="12.75" hidden="false" customHeight="false" outlineLevel="0" collapsed="false">
      <c r="A29" s="51" t="n">
        <f aca="false">DATE(YEAR(A28+31),MONTH(A28+31),1)</f>
        <v>37591</v>
      </c>
      <c r="B29" s="0" t="n">
        <f aca="false">IF(A29&gt;=$A$3,IF(A29&lt;=$A$4,1,0),0)*(A30-A29)</f>
        <v>31</v>
      </c>
      <c r="C29" s="77"/>
      <c r="D29" s="53" t="n">
        <f aca="false">Feeds!G22</f>
        <v>4.959</v>
      </c>
      <c r="E29" s="54"/>
      <c r="F29" s="5" t="n">
        <f aca="false">$G$3*B29</f>
        <v>217000</v>
      </c>
      <c r="G29" s="55" t="n">
        <f aca="true">(1+W29/2)^(-2*($A29-TODAY())/365.25)</f>
        <v>3.08104963714079</v>
      </c>
      <c r="H29" s="76" t="n">
        <v>0.37</v>
      </c>
      <c r="I29" s="0" t="n">
        <f aca="false">IF(E29=0,D29,E29)</f>
        <v>4.959</v>
      </c>
      <c r="J29" s="0" t="n">
        <f aca="false">IF($I$4=0,H29,(I29+H29))</f>
        <v>0.37</v>
      </c>
      <c r="K29" s="0" t="n">
        <f aca="false">IF($K$5="OK",((I29*$I$5)+(J29*$J$5)),"*******")</f>
        <v>0.37</v>
      </c>
      <c r="M29" s="6" t="n">
        <f aca="false">F29*G29*K29</f>
        <v>247377.475366034</v>
      </c>
      <c r="N29" s="5" t="n">
        <f aca="false">F29*G29</f>
        <v>668587.771259552</v>
      </c>
      <c r="Q29" s="57" t="n">
        <f aca="false">A29</f>
        <v>37591</v>
      </c>
      <c r="R29" s="45" t="n">
        <f aca="false">I29*G29</f>
        <v>15.2789251505812</v>
      </c>
      <c r="S29" s="45" t="n">
        <f aca="false">H29*G29</f>
        <v>1.13998836574209</v>
      </c>
      <c r="T29" s="45" t="n">
        <f aca="false">R29+S29</f>
        <v>16.4189135163233</v>
      </c>
      <c r="W29" s="69" t="n">
        <v>0.0499236504479539</v>
      </c>
      <c r="X29" s="0" t="n">
        <v>2.11</v>
      </c>
      <c r="Y29" s="9" t="n">
        <v>2.295</v>
      </c>
      <c r="Z29" s="9" t="n">
        <f aca="false">X29*$Z$3</f>
        <v>0.089675</v>
      </c>
      <c r="AA29" s="0" t="n">
        <f aca="false">+Y29-X29</f>
        <v>0.185</v>
      </c>
      <c r="AB29" s="47" t="n">
        <f aca="false">IF(($AA29-$Z29-$AB$3)/2&lt;$AB$3,$AB$3,($AA29-$Z29-$AB$3)/2)</f>
        <v>0.05</v>
      </c>
      <c r="AC29" s="47" t="n">
        <f aca="false">IF(AA29&gt;Z29,(AA29-Z29),0)</f>
        <v>0.0953250000000001</v>
      </c>
      <c r="AD29" s="48" t="n">
        <f aca="false">+AC29-AB29</f>
        <v>0.045325</v>
      </c>
      <c r="AE29" s="6" t="n">
        <f aca="false">10000*AD29</f>
        <v>453.25</v>
      </c>
      <c r="AG29" s="6" t="n">
        <f aca="false">5000*(AC29)</f>
        <v>476.625</v>
      </c>
      <c r="AJ29" s="60" t="e">
        <f aca="false">+AJ28+1</f>
        <v>#REF!</v>
      </c>
      <c r="AK29" s="61" t="e">
        <f aca="false">AJ29</f>
        <v>#REF!</v>
      </c>
      <c r="AL29" s="0" t="n">
        <f aca="false">+$AL$7</f>
        <v>0.115</v>
      </c>
      <c r="AN29" s="60" t="e">
        <f aca="false">+AN28+1</f>
        <v>#REF!</v>
      </c>
      <c r="AO29" s="61" t="e">
        <f aca="false">DAY(AN29)</f>
        <v>#REF!</v>
      </c>
      <c r="AP29" s="40" t="n">
        <v>0.11</v>
      </c>
      <c r="AS29" s="0" t="n">
        <v>0.22</v>
      </c>
      <c r="AT29" s="0" t="n">
        <v>0.15</v>
      </c>
      <c r="AU29" s="0" t="n">
        <f aca="false">+AS29+AT29</f>
        <v>0.37</v>
      </c>
    </row>
    <row r="30" customFormat="false" ht="12.75" hidden="false" customHeight="false" outlineLevel="0" collapsed="false">
      <c r="A30" s="51" t="n">
        <f aca="false">DATE(YEAR(A29+31),MONTH(A29+31),1)</f>
        <v>37622</v>
      </c>
      <c r="B30" s="0" t="n">
        <f aca="false">IF(A30&gt;=$A$3,IF(A30&lt;=$A$4,1,0),0)*(A31-A30)</f>
        <v>31</v>
      </c>
      <c r="C30" s="77"/>
      <c r="D30" s="53" t="n">
        <f aca="false">Feeds!G23</f>
        <v>4.814</v>
      </c>
      <c r="E30" s="54"/>
      <c r="F30" s="5" t="n">
        <f aca="false">$G$3*B30</f>
        <v>217000</v>
      </c>
      <c r="G30" s="55" t="n">
        <f aca="true">(1+W30/2)^(-2*($A30-TODAY())/365.25)</f>
        <v>3.08275239308875</v>
      </c>
      <c r="H30" s="76" t="n">
        <v>0.37</v>
      </c>
      <c r="I30" s="0" t="n">
        <f aca="false">IF(E30=0,D30,E30)</f>
        <v>4.814</v>
      </c>
      <c r="J30" s="0" t="n">
        <f aca="false">IF($I$4=0,H30,(I30+H30))</f>
        <v>0.37</v>
      </c>
      <c r="K30" s="0" t="n">
        <f aca="false">IF($K$5="OK",((I30*$I$5)+(J30*$J$5)),"*******")</f>
        <v>0.37</v>
      </c>
      <c r="M30" s="6" t="n">
        <f aca="false">F30*G30*K30</f>
        <v>247514.189641096</v>
      </c>
      <c r="N30" s="5" t="n">
        <f aca="false">F30*G30</f>
        <v>668957.269300259</v>
      </c>
      <c r="Q30" s="57" t="n">
        <f aca="false">A30</f>
        <v>37622</v>
      </c>
      <c r="R30" s="45" t="n">
        <f aca="false">I30*G30</f>
        <v>14.8403700203293</v>
      </c>
      <c r="S30" s="45" t="n">
        <f aca="false">H30*G30</f>
        <v>1.14061838544284</v>
      </c>
      <c r="T30" s="45" t="n">
        <f aca="false">R30+S30</f>
        <v>15.9809884057721</v>
      </c>
      <c r="W30" s="69" t="n">
        <v>0.0501372488733582</v>
      </c>
      <c r="X30" s="0" t="n">
        <v>2.145</v>
      </c>
      <c r="Y30" s="9" t="n">
        <v>2.33</v>
      </c>
      <c r="Z30" s="9" t="n">
        <f aca="false">X30*$Z$3</f>
        <v>0.0911625</v>
      </c>
      <c r="AA30" s="0" t="n">
        <f aca="false">+Y30-X30</f>
        <v>0.185</v>
      </c>
      <c r="AB30" s="47" t="n">
        <f aca="false">IF(($AA30-$Z30-$AB$3)/2&lt;$AB$3,$AB$3,($AA30-$Z30-$AB$3)/2)</f>
        <v>0.05</v>
      </c>
      <c r="AC30" s="47" t="n">
        <f aca="false">IF(AA30&gt;Z30,(AA30-Z30),0)</f>
        <v>0.0938375000000001</v>
      </c>
      <c r="AD30" s="48" t="n">
        <f aca="false">+AC30-AB30</f>
        <v>0.0438375</v>
      </c>
      <c r="AE30" s="6" t="n">
        <f aca="false">10000*AD30</f>
        <v>438.375</v>
      </c>
      <c r="AG30" s="6" t="n">
        <f aca="false">5000*(AC30)</f>
        <v>469.1875</v>
      </c>
      <c r="AJ30" s="60" t="e">
        <f aca="false">+AJ29+1</f>
        <v>#REF!</v>
      </c>
      <c r="AK30" s="61" t="e">
        <f aca="false">AJ30</f>
        <v>#REF!</v>
      </c>
      <c r="AL30" s="0" t="n">
        <f aca="false">+$AL$7</f>
        <v>0.115</v>
      </c>
      <c r="AN30" s="60" t="e">
        <f aca="false">+AN29+1</f>
        <v>#REF!</v>
      </c>
      <c r="AO30" s="61" t="e">
        <f aca="false">DAY(AN30)</f>
        <v>#REF!</v>
      </c>
      <c r="AP30" s="40" t="n">
        <v>0.11</v>
      </c>
      <c r="AS30" s="0" t="n">
        <v>0.22</v>
      </c>
      <c r="AT30" s="0" t="n">
        <v>0.15</v>
      </c>
      <c r="AU30" s="0" t="n">
        <f aca="false">+AS30+AT30</f>
        <v>0.37</v>
      </c>
    </row>
    <row r="31" customFormat="false" ht="12.75" hidden="false" customHeight="false" outlineLevel="0" collapsed="false">
      <c r="A31" s="51" t="n">
        <f aca="false">DATE(YEAR(A30+31),MONTH(A30+31),1)</f>
        <v>37653</v>
      </c>
      <c r="B31" s="0" t="n">
        <f aca="false">IF(A31&gt;=$A$3,IF(A31&lt;=$A$4,1,0),0)*(A32-A31)</f>
        <v>28</v>
      </c>
      <c r="C31" s="77"/>
      <c r="D31" s="53" t="n">
        <f aca="false">Feeds!G24</f>
        <v>4.814</v>
      </c>
      <c r="E31" s="54"/>
      <c r="F31" s="5" t="n">
        <f aca="false">$G$3*B31</f>
        <v>196000</v>
      </c>
      <c r="G31" s="55" t="n">
        <f aca="true">(1+W31/2)^(-2*($A31-TODAY())/365.25)</f>
        <v>3.08293716043388</v>
      </c>
      <c r="H31" s="76" t="n">
        <v>0.37</v>
      </c>
      <c r="I31" s="0" t="n">
        <f aca="false">IF(E31=0,D31,E31)</f>
        <v>4.814</v>
      </c>
      <c r="J31" s="0" t="n">
        <f aca="false">IF($I$4=0,H31,(I31+H31))</f>
        <v>0.37</v>
      </c>
      <c r="K31" s="0" t="n">
        <f aca="false">IF($K$5="OK",((I31*$I$5)+(J31*$J$5)),"*******")</f>
        <v>0.37</v>
      </c>
      <c r="M31" s="6" t="n">
        <f aca="false">F31*G31*K31</f>
        <v>223574.602874665</v>
      </c>
      <c r="N31" s="5" t="n">
        <f aca="false">F31*G31</f>
        <v>604255.683445041</v>
      </c>
      <c r="Q31" s="57" t="n">
        <f aca="false">A31</f>
        <v>37653</v>
      </c>
      <c r="R31" s="45" t="n">
        <f aca="false">I31*G31</f>
        <v>14.8412594903287</v>
      </c>
      <c r="S31" s="45" t="n">
        <f aca="false">H31*G31</f>
        <v>1.14068674936054</v>
      </c>
      <c r="T31" s="45" t="n">
        <f aca="false">R31+S31</f>
        <v>15.9819462396892</v>
      </c>
      <c r="W31" s="69" t="n">
        <v>0.0503301764964927</v>
      </c>
      <c r="X31" s="0" t="n">
        <v>2.145</v>
      </c>
      <c r="Y31" s="9" t="n">
        <v>2.33</v>
      </c>
      <c r="Z31" s="9" t="n">
        <f aca="false">X31*$Z$3</f>
        <v>0.0911625</v>
      </c>
      <c r="AA31" s="0" t="n">
        <f aca="false">+Y31-X31</f>
        <v>0.185</v>
      </c>
      <c r="AB31" s="47" t="n">
        <f aca="false">IF(($AA31-$Z31-$AB$3)/2&lt;$AB$3,$AB$3,($AA31-$Z31-$AB$3)/2)</f>
        <v>0.05</v>
      </c>
      <c r="AC31" s="47" t="n">
        <f aca="false">IF(AA31&gt;Z31,(AA31-Z31),0)</f>
        <v>0.0938375000000001</v>
      </c>
      <c r="AD31" s="48" t="n">
        <f aca="false">+AC31-AB31</f>
        <v>0.0438375</v>
      </c>
      <c r="AE31" s="6" t="n">
        <f aca="false">10000*AD31</f>
        <v>438.375</v>
      </c>
      <c r="AG31" s="6" t="n">
        <f aca="false">5000*(AC31)</f>
        <v>469.1875</v>
      </c>
      <c r="AJ31" s="60" t="e">
        <f aca="false">+AJ30+1</f>
        <v>#REF!</v>
      </c>
      <c r="AK31" s="61" t="e">
        <f aca="false">AJ31</f>
        <v>#REF!</v>
      </c>
      <c r="AL31" s="0" t="n">
        <f aca="false">+$AL$7</f>
        <v>0.115</v>
      </c>
      <c r="AN31" s="60" t="e">
        <f aca="false">+AN30+1</f>
        <v>#REF!</v>
      </c>
      <c r="AO31" s="61" t="e">
        <f aca="false">DAY(AN31)</f>
        <v>#REF!</v>
      </c>
      <c r="AP31" s="40" t="n">
        <v>0.11</v>
      </c>
      <c r="AS31" s="0" t="n">
        <v>0.22</v>
      </c>
      <c r="AT31" s="0" t="n">
        <v>0.15</v>
      </c>
      <c r="AU31" s="0" t="n">
        <f aca="false">+AS31+AT31</f>
        <v>0.37</v>
      </c>
    </row>
    <row r="32" customFormat="false" ht="12.75" hidden="false" customHeight="false" outlineLevel="0" collapsed="false">
      <c r="A32" s="51" t="n">
        <f aca="false">DATE(YEAR(A31+31),MONTH(A31+31),1)</f>
        <v>37681</v>
      </c>
      <c r="B32" s="0" t="n">
        <f aca="false">IF(A32&gt;=$A$3,IF(A32&lt;=$A$4,1,0),0)*(A33-A32)</f>
        <v>31</v>
      </c>
      <c r="C32" s="77"/>
      <c r="D32" s="53" t="n">
        <f aca="false">Feeds!G25</f>
        <v>4.575</v>
      </c>
      <c r="E32" s="54"/>
      <c r="F32" s="5" t="n">
        <f aca="false">$G$3*B32</f>
        <v>217000</v>
      </c>
      <c r="G32" s="55" t="n">
        <f aca="true">(1+W32/2)^(-2*($A32-TODAY())/365.25)</f>
        <v>3.08458807835086</v>
      </c>
      <c r="H32" s="76" t="n">
        <v>0.37</v>
      </c>
      <c r="I32" s="0" t="n">
        <f aca="false">IF(E32=0,D32,E32)</f>
        <v>4.575</v>
      </c>
      <c r="J32" s="0" t="n">
        <f aca="false">IF($I$4=0,H32,(I32+H32))</f>
        <v>0.37</v>
      </c>
      <c r="K32" s="0" t="n">
        <f aca="false">IF($K$5="OK",((I32*$I$5)+(J32*$J$5)),"*******")</f>
        <v>0.37</v>
      </c>
      <c r="M32" s="6" t="n">
        <f aca="false">F32*G32*K32</f>
        <v>247661.576810791</v>
      </c>
      <c r="N32" s="5" t="n">
        <f aca="false">F32*G32</f>
        <v>669355.613002137</v>
      </c>
      <c r="Q32" s="57" t="n">
        <f aca="false">A32</f>
        <v>37681</v>
      </c>
      <c r="R32" s="45" t="n">
        <f aca="false">I32*G32</f>
        <v>14.1119904584552</v>
      </c>
      <c r="S32" s="45" t="n">
        <f aca="false">H32*G32</f>
        <v>1.14129758898982</v>
      </c>
      <c r="T32" s="45" t="n">
        <f aca="false">R32+S32</f>
        <v>15.253288047445</v>
      </c>
      <c r="W32" s="69" t="n">
        <v>0.0505275529248399</v>
      </c>
      <c r="X32" s="0" t="n">
        <v>2.145</v>
      </c>
      <c r="Y32" s="9" t="n">
        <v>2.33</v>
      </c>
      <c r="Z32" s="9" t="n">
        <f aca="false">X32*$Z$3</f>
        <v>0.0911625</v>
      </c>
      <c r="AA32" s="0" t="n">
        <f aca="false">+Y32-X32</f>
        <v>0.185</v>
      </c>
      <c r="AB32" s="47" t="n">
        <f aca="false">IF(($AA32-$Z32-$AB$3)/2&lt;$AB$3,$AB$3,($AA32-$Z32-$AB$3)/2)</f>
        <v>0.05</v>
      </c>
      <c r="AC32" s="47" t="n">
        <f aca="false">IF(AA32&gt;Z32,(AA32-Z32),0)</f>
        <v>0.0938375000000001</v>
      </c>
      <c r="AD32" s="48" t="n">
        <f aca="false">+AC32-AB32</f>
        <v>0.0438375</v>
      </c>
      <c r="AE32" s="6" t="n">
        <f aca="false">10000*AD32</f>
        <v>438.375</v>
      </c>
      <c r="AG32" s="6" t="n">
        <f aca="false">5000*(AC32)</f>
        <v>469.1875</v>
      </c>
      <c r="AJ32" s="60" t="e">
        <f aca="false">+AJ31+1</f>
        <v>#REF!</v>
      </c>
      <c r="AK32" s="61" t="e">
        <f aca="false">AJ32</f>
        <v>#REF!</v>
      </c>
      <c r="AL32" s="0" t="n">
        <v>0</v>
      </c>
      <c r="AM32" s="0" t="n">
        <v>1</v>
      </c>
      <c r="AN32" s="60" t="e">
        <f aca="false">+AN31+1</f>
        <v>#REF!</v>
      </c>
      <c r="AO32" s="61" t="e">
        <f aca="false">DAY(AN32)</f>
        <v>#REF!</v>
      </c>
      <c r="AP32" s="40" t="n">
        <v>0.11</v>
      </c>
      <c r="AS32" s="0" t="n">
        <v>0.22</v>
      </c>
      <c r="AT32" s="0" t="n">
        <v>0.15</v>
      </c>
      <c r="AU32" s="0" t="n">
        <f aca="false">+AS32+AT32</f>
        <v>0.37</v>
      </c>
    </row>
    <row r="33" customFormat="false" ht="12.75" hidden="false" customHeight="false" outlineLevel="0" collapsed="false">
      <c r="A33" s="51" t="n">
        <f aca="false">DATE(YEAR(A32+31),MONTH(A32+31),1)</f>
        <v>37712</v>
      </c>
      <c r="B33" s="0" t="n">
        <f aca="false">IF(A33&gt;=$A$3,IF(A33&lt;=$A$4,1,0),0)*(A34-A33)</f>
        <v>30</v>
      </c>
      <c r="C33" s="77"/>
      <c r="D33" s="53" t="n">
        <f aca="false">Feeds!G26</f>
        <v>4.265</v>
      </c>
      <c r="E33" s="54"/>
      <c r="F33" s="5" t="n">
        <f aca="false">$G$3*B33</f>
        <v>210000</v>
      </c>
      <c r="G33" s="55" t="n">
        <f aca="true">(1+W33/2)^(-2*($A33-TODAY())/365.25)</f>
        <v>3.08298280450286</v>
      </c>
      <c r="H33" s="76" t="n">
        <v>0.21</v>
      </c>
      <c r="I33" s="0" t="n">
        <f aca="false">IF(E33=0,D33,E33)</f>
        <v>4.265</v>
      </c>
      <c r="J33" s="0" t="n">
        <f aca="false">IF($I$4=0,H33,(I33+H33))</f>
        <v>0.21</v>
      </c>
      <c r="K33" s="0" t="n">
        <f aca="false">IF($K$5="OK",((I33*$I$5)+(J33*$J$5)),"*******")</f>
        <v>0.21</v>
      </c>
      <c r="M33" s="6" t="n">
        <f aca="false">F33*G33*K33</f>
        <v>135959.541678576</v>
      </c>
      <c r="N33" s="5" t="n">
        <f aca="false">F33*G33</f>
        <v>647426.388945601</v>
      </c>
      <c r="Q33" s="57" t="n">
        <f aca="false">A33</f>
        <v>37712</v>
      </c>
      <c r="R33" s="45" t="n">
        <f aca="false">I33*G33</f>
        <v>13.1489216612047</v>
      </c>
      <c r="S33" s="45" t="n">
        <f aca="false">H33*G33</f>
        <v>0.647426388945601</v>
      </c>
      <c r="T33" s="45" t="n">
        <f aca="false">R33+S33</f>
        <v>13.7963480501503</v>
      </c>
      <c r="W33" s="69" t="n">
        <v>0.0506969098270775</v>
      </c>
      <c r="X33" s="0" t="n">
        <v>2.1</v>
      </c>
      <c r="Y33" s="9" t="n">
        <v>2.295</v>
      </c>
      <c r="Z33" s="9" t="n">
        <f aca="false">X33*$Z$3</f>
        <v>0.08925</v>
      </c>
      <c r="AA33" s="0" t="n">
        <f aca="false">+Y33-X33</f>
        <v>0.195</v>
      </c>
      <c r="AB33" s="47" t="n">
        <f aca="false">IF(($AA33-$Z33-$AB$3)/2&lt;$AB$3,$AB$3,($AA33-$Z33-$AB$3)/2)</f>
        <v>0.05</v>
      </c>
      <c r="AC33" s="47" t="n">
        <f aca="false">IF(AA33&gt;Z33,(AA33-Z33),0)</f>
        <v>0.10575</v>
      </c>
      <c r="AD33" s="48" t="n">
        <f aca="false">+AC33-AB33</f>
        <v>0.0557499999999998</v>
      </c>
      <c r="AE33" s="6" t="n">
        <f aca="false">10000*AD33</f>
        <v>557.499999999998</v>
      </c>
      <c r="AG33" s="6" t="n">
        <f aca="false">5000*(AC33)</f>
        <v>528.749999999999</v>
      </c>
      <c r="AJ33" s="60" t="e">
        <f aca="false">+AJ32+1</f>
        <v>#REF!</v>
      </c>
      <c r="AK33" s="61" t="e">
        <f aca="false">AJ33</f>
        <v>#REF!</v>
      </c>
      <c r="AL33" s="0" t="n">
        <v>0</v>
      </c>
      <c r="AM33" s="0" t="n">
        <v>1</v>
      </c>
      <c r="AN33" s="60" t="e">
        <f aca="false">+AN32+1</f>
        <v>#REF!</v>
      </c>
      <c r="AO33" s="61" t="e">
        <f aca="false">DAY(AN33)</f>
        <v>#REF!</v>
      </c>
      <c r="AP33" s="40" t="n">
        <v>0.11</v>
      </c>
      <c r="AS33" s="0" t="n">
        <v>0.16</v>
      </c>
      <c r="AT33" s="0" t="n">
        <f aca="false">+AT21</f>
        <v>0.05</v>
      </c>
      <c r="AU33" s="0" t="n">
        <f aca="false">+AS33+AT33</f>
        <v>0.21</v>
      </c>
    </row>
    <row r="34" customFormat="false" ht="12.75" hidden="false" customHeight="false" outlineLevel="0" collapsed="false">
      <c r="A34" s="51" t="n">
        <f aca="false">DATE(YEAR(A33+31),MONTH(A33+31),1)</f>
        <v>37742</v>
      </c>
      <c r="B34" s="0" t="n">
        <f aca="false">IF(A34&gt;=$A$3,IF(A34&lt;=$A$4,1,0),0)*(A35-A34)</f>
        <v>31</v>
      </c>
      <c r="C34" s="77"/>
      <c r="D34" s="53" t="n">
        <f aca="false">Feeds!G27</f>
        <v>4.199</v>
      </c>
      <c r="E34" s="54"/>
      <c r="F34" s="5" t="n">
        <f aca="false">$G$3*B34</f>
        <v>217000</v>
      </c>
      <c r="G34" s="55" t="n">
        <f aca="true">(1+W34/2)^(-2*($A34-TODAY())/365.25)</f>
        <v>3.082094968301</v>
      </c>
      <c r="H34" s="76" t="n">
        <v>0.21</v>
      </c>
      <c r="I34" s="0" t="n">
        <f aca="false">IF(E34=0,D34,E34)</f>
        <v>4.199</v>
      </c>
      <c r="J34" s="0" t="n">
        <f aca="false">IF($I$4=0,H34,(I34+H34))</f>
        <v>0.21</v>
      </c>
      <c r="K34" s="0" t="n">
        <f aca="false">IF($K$5="OK",((I34*$I$5)+(J34*$J$5)),"*******")</f>
        <v>0.21</v>
      </c>
      <c r="M34" s="6" t="n">
        <f aca="false">F34*G34*K34</f>
        <v>140451.067705477</v>
      </c>
      <c r="N34" s="5" t="n">
        <f aca="false">F34*G34</f>
        <v>668814.608121318</v>
      </c>
      <c r="Q34" s="57" t="n">
        <f aca="false">A34</f>
        <v>37742</v>
      </c>
      <c r="R34" s="45" t="n">
        <f aca="false">I34*G34</f>
        <v>12.9417167718959</v>
      </c>
      <c r="S34" s="45" t="n">
        <f aca="false">H34*G34</f>
        <v>0.647239943343211</v>
      </c>
      <c r="T34" s="45" t="n">
        <f aca="false">R34+S34</f>
        <v>13.5889567152391</v>
      </c>
      <c r="W34" s="69" t="n">
        <v>0.0508719119694474</v>
      </c>
      <c r="X34" s="0" t="n">
        <v>2.12</v>
      </c>
      <c r="Y34" s="9" t="n">
        <v>2.27</v>
      </c>
      <c r="Z34" s="9" t="n">
        <f aca="false">X34*$Z$3</f>
        <v>0.0901</v>
      </c>
      <c r="AA34" s="0" t="n">
        <f aca="false">+Y34-X34</f>
        <v>0.15</v>
      </c>
      <c r="AB34" s="47" t="n">
        <f aca="false">IF(($AA34-$Z34-$AB$3)/2&lt;$AB$3,$AB$3,($AA34-$Z34-$AB$3)/2)</f>
        <v>0.05</v>
      </c>
      <c r="AC34" s="47" t="n">
        <f aca="false">IF(AA34&gt;Z34,(AA34-Z34),0)</f>
        <v>0.0598999999999999</v>
      </c>
      <c r="AD34" s="48" t="n">
        <f aca="false">+AC34-AB34</f>
        <v>0.0098999999999999</v>
      </c>
      <c r="AE34" s="6" t="n">
        <f aca="false">10000*AD34</f>
        <v>98.999999999999</v>
      </c>
      <c r="AG34" s="6" t="n">
        <f aca="false">5000*(AC34)</f>
        <v>299.5</v>
      </c>
      <c r="AJ34" s="60" t="e">
        <f aca="false">+AJ33+1</f>
        <v>#REF!</v>
      </c>
      <c r="AK34" s="61" t="e">
        <f aca="false">AJ34</f>
        <v>#REF!</v>
      </c>
      <c r="AL34" s="0" t="e">
        <f aca="false">#REF!</f>
        <v>#REF!</v>
      </c>
      <c r="AM34" s="0" t="n">
        <v>1</v>
      </c>
      <c r="AN34" s="60" t="e">
        <f aca="false">+AN33+1</f>
        <v>#REF!</v>
      </c>
      <c r="AO34" s="61" t="e">
        <f aca="false">DAY(AN34)</f>
        <v>#REF!</v>
      </c>
      <c r="AP34" s="40" t="n">
        <v>0.11</v>
      </c>
      <c r="AS34" s="0" t="n">
        <v>0.16</v>
      </c>
      <c r="AT34" s="0" t="n">
        <f aca="false">+AT22</f>
        <v>0.05</v>
      </c>
      <c r="AU34" s="0" t="n">
        <f aca="false">+AS34+AT34</f>
        <v>0.21</v>
      </c>
    </row>
    <row r="35" customFormat="false" ht="12.75" hidden="false" customHeight="false" outlineLevel="0" collapsed="false">
      <c r="A35" s="51" t="n">
        <f aca="false">DATE(YEAR(A34+31),MONTH(A34+31),1)</f>
        <v>37773</v>
      </c>
      <c r="B35" s="0" t="n">
        <f aca="false">IF(A35&gt;=$A$3,IF(A35&lt;=$A$4,1,0),0)*(A36-A35)</f>
        <v>30</v>
      </c>
      <c r="C35" s="77"/>
      <c r="D35" s="53" t="n">
        <f aca="false">Feeds!G28</f>
        <v>4.212</v>
      </c>
      <c r="E35" s="54"/>
      <c r="F35" s="5" t="n">
        <f aca="false">$G$3*B35</f>
        <v>210000</v>
      </c>
      <c r="G35" s="55" t="n">
        <f aca="true">(1+W35/2)^(-2*($A35-TODAY())/365.25)</f>
        <v>3.08005331370931</v>
      </c>
      <c r="H35" s="76" t="n">
        <v>0.21</v>
      </c>
      <c r="I35" s="0" t="n">
        <f aca="false">IF(E35=0,D35,E35)</f>
        <v>4.212</v>
      </c>
      <c r="J35" s="0" t="n">
        <f aca="false">IF($I$4=0,H35,(I35+H35))</f>
        <v>0.21</v>
      </c>
      <c r="K35" s="0" t="n">
        <f aca="false">IF($K$5="OK",((I35*$I$5)+(J35*$J$5)),"*******")</f>
        <v>0.21</v>
      </c>
      <c r="M35" s="6" t="n">
        <f aca="false">F35*G35*K35</f>
        <v>135830.351134581</v>
      </c>
      <c r="N35" s="5" t="n">
        <f aca="false">F35*G35</f>
        <v>646811.195878955</v>
      </c>
      <c r="Q35" s="57" t="n">
        <f aca="false">A35</f>
        <v>37773</v>
      </c>
      <c r="R35" s="45" t="n">
        <f aca="false">I35*G35</f>
        <v>12.9731845573436</v>
      </c>
      <c r="S35" s="45" t="n">
        <f aca="false">H35*G35</f>
        <v>0.646811195878955</v>
      </c>
      <c r="T35" s="45" t="n">
        <f aca="false">R35+S35</f>
        <v>13.6199957532226</v>
      </c>
      <c r="W35" s="69" t="n">
        <v>0.0510373462195832</v>
      </c>
      <c r="X35" s="0" t="n">
        <v>2.14</v>
      </c>
      <c r="Y35" s="9" t="n">
        <v>2.31</v>
      </c>
      <c r="Z35" s="9" t="n">
        <f aca="false">X35*$Z$3</f>
        <v>0.09095</v>
      </c>
      <c r="AA35" s="0" t="n">
        <f aca="false">+Y35-X35</f>
        <v>0.17</v>
      </c>
      <c r="AB35" s="47" t="n">
        <f aca="false">IF(($AA35-$Z35-$AB$3)/2&lt;$AB$3,$AB$3,($AA35-$Z35-$AB$3)/2)</f>
        <v>0.05</v>
      </c>
      <c r="AC35" s="47" t="n">
        <f aca="false">IF(AA35&gt;Z35,(AA35-Z35),0)</f>
        <v>0.0790499999999999</v>
      </c>
      <c r="AD35" s="48" t="n">
        <f aca="false">+AC35-AB35</f>
        <v>0.0290499999999999</v>
      </c>
      <c r="AE35" s="6" t="n">
        <f aca="false">10000*AD35</f>
        <v>290.499999999999</v>
      </c>
      <c r="AG35" s="6" t="n">
        <f aca="false">5000*(AC35)</f>
        <v>395.25</v>
      </c>
      <c r="AJ35" s="60" t="e">
        <f aca="false">+AJ34+1</f>
        <v>#REF!</v>
      </c>
      <c r="AK35" s="61" t="e">
        <f aca="false">AJ35</f>
        <v>#REF!</v>
      </c>
      <c r="AL35" s="0" t="n">
        <f aca="false">+$AL$7</f>
        <v>0.115</v>
      </c>
      <c r="AN35" s="60" t="e">
        <f aca="false">+AN34+1</f>
        <v>#REF!</v>
      </c>
      <c r="AO35" s="61" t="e">
        <f aca="false">DAY(AN35)</f>
        <v>#REF!</v>
      </c>
      <c r="AP35" s="40" t="n">
        <v>0.11</v>
      </c>
      <c r="AS35" s="0" t="n">
        <v>0.16</v>
      </c>
      <c r="AT35" s="0" t="n">
        <f aca="false">+AT23</f>
        <v>0.05</v>
      </c>
      <c r="AU35" s="0" t="n">
        <f aca="false">+AS35+AT35</f>
        <v>0.21</v>
      </c>
    </row>
    <row r="36" customFormat="false" ht="12.75" hidden="false" customHeight="false" outlineLevel="0" collapsed="false">
      <c r="A36" s="51" t="n">
        <f aca="false">DATE(YEAR(A35+31),MONTH(A35+31),1)</f>
        <v>37803</v>
      </c>
      <c r="B36" s="0" t="n">
        <f aca="false">IF(A36&gt;=$A$3,IF(A36&lt;=$A$4,1,0),0)*(A37-A36)</f>
        <v>31</v>
      </c>
      <c r="C36" s="77"/>
      <c r="D36" s="53" t="n">
        <f aca="false">Feeds!G29</f>
        <v>4.237</v>
      </c>
      <c r="E36" s="54"/>
      <c r="F36" s="5" t="n">
        <f aca="false">$G$3*B36</f>
        <v>217000</v>
      </c>
      <c r="G36" s="55" t="n">
        <f aca="true">(1+W36/2)^(-2*($A36-TODAY())/365.25)</f>
        <v>3.07834624279356</v>
      </c>
      <c r="H36" s="76" t="n">
        <v>0.21</v>
      </c>
      <c r="I36" s="0" t="n">
        <f aca="false">IF(E36=0,D36,E36)</f>
        <v>4.237</v>
      </c>
      <c r="J36" s="0" t="n">
        <f aca="false">IF($I$4=0,H36,(I36+H36))</f>
        <v>0.21</v>
      </c>
      <c r="K36" s="0" t="n">
        <f aca="false">IF($K$5="OK",((I36*$I$5)+(J36*$J$5)),"*******")</f>
        <v>0.21</v>
      </c>
      <c r="M36" s="6" t="n">
        <f aca="false">F36*G36*K36</f>
        <v>140280.238284103</v>
      </c>
      <c r="N36" s="5" t="n">
        <f aca="false">F36*G36</f>
        <v>668001.134686203</v>
      </c>
      <c r="Q36" s="57" t="n">
        <f aca="false">A36</f>
        <v>37803</v>
      </c>
      <c r="R36" s="45" t="n">
        <f aca="false">I36*G36</f>
        <v>13.0429530307163</v>
      </c>
      <c r="S36" s="45" t="n">
        <f aca="false">H36*G36</f>
        <v>0.646452710986648</v>
      </c>
      <c r="T36" s="45" t="n">
        <f aca="false">R36+S36</f>
        <v>13.689405741703</v>
      </c>
      <c r="W36" s="69" t="n">
        <v>0.0512026655659046</v>
      </c>
      <c r="X36" s="0" t="n">
        <v>2.14</v>
      </c>
      <c r="Y36" s="9" t="n">
        <v>2.305</v>
      </c>
      <c r="Z36" s="9" t="n">
        <f aca="false">X36*$Z$3</f>
        <v>0.09095</v>
      </c>
      <c r="AA36" s="0" t="n">
        <f aca="false">+Y36-X36</f>
        <v>0.165</v>
      </c>
      <c r="AB36" s="47" t="n">
        <f aca="false">IF(($AA36-$Z36-$AB$3)/2&lt;$AB$3,$AB$3,($AA36-$Z36-$AB$3)/2)</f>
        <v>0.05</v>
      </c>
      <c r="AC36" s="47" t="n">
        <f aca="false">IF(AA36&gt;Z36,(AA36-Z36),0)</f>
        <v>0.07405</v>
      </c>
      <c r="AD36" s="48" t="n">
        <f aca="false">+AC36-AB36</f>
        <v>0.02405</v>
      </c>
      <c r="AE36" s="6" t="n">
        <f aca="false">10000*AD36</f>
        <v>240.5</v>
      </c>
      <c r="AG36" s="6" t="n">
        <f aca="false">5000*(AC36)</f>
        <v>370.25</v>
      </c>
      <c r="AJ36" s="60" t="e">
        <f aca="false">+AJ35+1</f>
        <v>#REF!</v>
      </c>
      <c r="AK36" s="61" t="e">
        <f aca="false">AJ36</f>
        <v>#REF!</v>
      </c>
      <c r="AL36" s="0" t="n">
        <f aca="false">+$AL$7</f>
        <v>0.115</v>
      </c>
      <c r="AN36" s="60" t="e">
        <f aca="false">+AN35+1</f>
        <v>#REF!</v>
      </c>
      <c r="AO36" s="61" t="e">
        <f aca="false">DAY(AN36)</f>
        <v>#REF!</v>
      </c>
      <c r="AP36" s="40" t="n">
        <v>0.11</v>
      </c>
      <c r="AS36" s="0" t="n">
        <v>0.16</v>
      </c>
      <c r="AT36" s="0" t="n">
        <f aca="false">+AT24</f>
        <v>0.05</v>
      </c>
      <c r="AU36" s="0" t="n">
        <f aca="false">+AS36+AT36</f>
        <v>0.21</v>
      </c>
    </row>
    <row r="37" customFormat="false" ht="12.75" hidden="false" customHeight="false" outlineLevel="0" collapsed="false">
      <c r="A37" s="51" t="n">
        <f aca="false">DATE(YEAR(A36+31),MONTH(A36+31),1)</f>
        <v>37834</v>
      </c>
      <c r="B37" s="0" t="n">
        <f aca="false">IF(A37&gt;=$A$3,IF(A37&lt;=$A$4,1,0),0)*(A38-A37)</f>
        <v>31</v>
      </c>
      <c r="C37" s="77"/>
      <c r="D37" s="53" t="n">
        <f aca="false">Feeds!G30</f>
        <v>4.262</v>
      </c>
      <c r="E37" s="54"/>
      <c r="F37" s="5" t="n">
        <f aca="false">$G$3*B37</f>
        <v>217000</v>
      </c>
      <c r="G37" s="55" t="n">
        <f aca="true">(1+W37/2)^(-2*($A37-TODAY())/365.25)</f>
        <v>3.07613057581683</v>
      </c>
      <c r="H37" s="76" t="n">
        <v>0.21</v>
      </c>
      <c r="I37" s="0" t="n">
        <f aca="false">IF(E37=0,D37,E37)</f>
        <v>4.262</v>
      </c>
      <c r="J37" s="0" t="n">
        <f aca="false">IF($I$4=0,H37,(I37+H37))</f>
        <v>0.21</v>
      </c>
      <c r="K37" s="0" t="n">
        <f aca="false">IF($K$5="OK",((I37*$I$5)+(J37*$J$5)),"*******")</f>
        <v>0.21</v>
      </c>
      <c r="M37" s="6" t="n">
        <f aca="false">F37*G37*K37</f>
        <v>140179.270339973</v>
      </c>
      <c r="N37" s="5" t="n">
        <f aca="false">F37*G37</f>
        <v>667520.334952253</v>
      </c>
      <c r="Q37" s="57" t="n">
        <f aca="false">A37</f>
        <v>37834</v>
      </c>
      <c r="R37" s="45" t="n">
        <f aca="false">I37*G37</f>
        <v>13.1104685141313</v>
      </c>
      <c r="S37" s="45" t="n">
        <f aca="false">H37*G37</f>
        <v>0.645987420921535</v>
      </c>
      <c r="T37" s="45" t="n">
        <f aca="false">R37+S37</f>
        <v>13.7564559350529</v>
      </c>
      <c r="W37" s="69" t="n">
        <v>0.0513679849213458</v>
      </c>
      <c r="X37" s="0" t="n">
        <v>2.195</v>
      </c>
      <c r="Y37" s="9" t="n">
        <v>2.375</v>
      </c>
      <c r="Z37" s="9" t="n">
        <f aca="false">X37*$Z$3</f>
        <v>0.0932875</v>
      </c>
      <c r="AA37" s="0" t="n">
        <f aca="false">+Y37-X37</f>
        <v>0.18</v>
      </c>
      <c r="AB37" s="47" t="n">
        <f aca="false">IF(($AA37-$Z37-$AB$3)/2&lt;$AB$3,$AB$3,($AA37-$Z37-$AB$3)/2)</f>
        <v>0.05</v>
      </c>
      <c r="AC37" s="47" t="n">
        <f aca="false">IF(AA37&gt;Z37,(AA37-Z37),0)</f>
        <v>0.0867125000000002</v>
      </c>
      <c r="AD37" s="48" t="n">
        <f aca="false">+AC37-AB37</f>
        <v>0.0367125000000002</v>
      </c>
      <c r="AE37" s="6" t="n">
        <f aca="false">10000*AD37</f>
        <v>367.125000000002</v>
      </c>
      <c r="AG37" s="6" t="n">
        <f aca="false">5000*(AC37)</f>
        <v>433.562500000001</v>
      </c>
      <c r="AL37" s="0" t="e">
        <f aca="false">SUM(AL7:AL36)</f>
        <v>#REF!</v>
      </c>
      <c r="AS37" s="0" t="n">
        <v>0.16</v>
      </c>
      <c r="AT37" s="0" t="n">
        <f aca="false">+AT25</f>
        <v>0.05</v>
      </c>
      <c r="AU37" s="0" t="n">
        <f aca="false">+AS37+AT37</f>
        <v>0.21</v>
      </c>
    </row>
    <row r="38" customFormat="false" ht="12.75" hidden="false" customHeight="false" outlineLevel="0" collapsed="false">
      <c r="A38" s="51" t="n">
        <f aca="false">DATE(YEAR(A37+31),MONTH(A37+31),1)</f>
        <v>37865</v>
      </c>
      <c r="B38" s="0" t="n">
        <f aca="false">IF(A38&gt;=$A$3,IF(A38&lt;=$A$4,1,0),0)*(A39-A38)</f>
        <v>30</v>
      </c>
      <c r="C38" s="77"/>
      <c r="D38" s="53" t="n">
        <f aca="false">Feeds!G31</f>
        <v>4.252</v>
      </c>
      <c r="E38" s="54"/>
      <c r="F38" s="5" t="n">
        <f aca="false">$G$3*B38</f>
        <v>210000</v>
      </c>
      <c r="G38" s="55" t="n">
        <f aca="true">(1+W38/2)^(-2*($A38-TODAY())/365.25)</f>
        <v>3.07318192492756</v>
      </c>
      <c r="H38" s="76" t="n">
        <v>0.21</v>
      </c>
      <c r="I38" s="0" t="n">
        <f aca="false">IF(E38=0,D38,E38)</f>
        <v>4.252</v>
      </c>
      <c r="J38" s="0" t="n">
        <f aca="false">IF($I$4=0,H38,(I38+H38))</f>
        <v>0.21</v>
      </c>
      <c r="K38" s="0" t="n">
        <f aca="false">IF($K$5="OK",((I38*$I$5)+(J38*$J$5)),"*******")</f>
        <v>0.21</v>
      </c>
      <c r="M38" s="6" t="n">
        <f aca="false">F38*G38*K38</f>
        <v>135527.322889306</v>
      </c>
      <c r="N38" s="5" t="n">
        <f aca="false">F38*G38</f>
        <v>645368.204234789</v>
      </c>
      <c r="Q38" s="57" t="n">
        <f aca="false">A38</f>
        <v>37865</v>
      </c>
      <c r="R38" s="45" t="n">
        <f aca="false">I38*G38</f>
        <v>13.067169544792</v>
      </c>
      <c r="S38" s="45" t="n">
        <f aca="false">H38*G38</f>
        <v>0.645368204234789</v>
      </c>
      <c r="T38" s="45" t="n">
        <f aca="false">R38+S38</f>
        <v>13.7125377490268</v>
      </c>
      <c r="W38" s="69" t="n">
        <v>0.0515234809970866</v>
      </c>
      <c r="X38" s="0" t="n">
        <v>2.195</v>
      </c>
      <c r="Y38" s="9" t="n">
        <v>2.375</v>
      </c>
      <c r="Z38" s="9" t="n">
        <f aca="false">X38*$Z$3</f>
        <v>0.0932875</v>
      </c>
      <c r="AA38" s="0" t="n">
        <f aca="false">+Y38-X38</f>
        <v>0.18</v>
      </c>
      <c r="AB38" s="47" t="n">
        <f aca="false">IF(($AA38-$Z38-$AB$3)/2&lt;$AB$3,$AB$3,($AA38-$Z38-$AB$3)/2)</f>
        <v>0.05</v>
      </c>
      <c r="AC38" s="47" t="n">
        <f aca="false">IF(AA38&gt;Z38,(AA38-Z38),0)</f>
        <v>0.0867125000000002</v>
      </c>
      <c r="AD38" s="48" t="n">
        <f aca="false">+AC38-AB38</f>
        <v>0.0367125000000002</v>
      </c>
      <c r="AE38" s="6" t="n">
        <f aca="false">10000*AD38</f>
        <v>367.125000000002</v>
      </c>
      <c r="AG38" s="6" t="n">
        <f aca="false">5000*(AC38)</f>
        <v>433.562500000001</v>
      </c>
      <c r="AS38" s="0" t="n">
        <v>0.16</v>
      </c>
      <c r="AT38" s="0" t="n">
        <f aca="false">+AT26</f>
        <v>0.05</v>
      </c>
      <c r="AU38" s="0" t="n">
        <f aca="false">+AS38+AT38</f>
        <v>0.21</v>
      </c>
    </row>
    <row r="39" customFormat="false" ht="12.75" hidden="false" customHeight="false" outlineLevel="0" collapsed="false">
      <c r="A39" s="51" t="n">
        <f aca="false">DATE(YEAR(A38+31),MONTH(A38+31),1)</f>
        <v>37895</v>
      </c>
      <c r="B39" s="0" t="n">
        <f aca="false">IF(A39&gt;=$A$3,IF(A39&lt;=$A$4,1,0),0)*(A40-A39)</f>
        <v>31</v>
      </c>
      <c r="C39" s="77"/>
      <c r="D39" s="53" t="n">
        <f aca="false">Feeds!G32</f>
        <v>4.252</v>
      </c>
      <c r="E39" s="54"/>
      <c r="F39" s="5" t="n">
        <f aca="false">$G$3*B39</f>
        <v>217000</v>
      </c>
      <c r="G39" s="55" t="n">
        <f aca="true">(1+W39/2)^(-2*($A39-TODAY())/365.25)</f>
        <v>3.0705555659593</v>
      </c>
      <c r="H39" s="76" t="n">
        <v>0.21</v>
      </c>
      <c r="I39" s="0" t="n">
        <f aca="false">IF(E39=0,D39,E39)</f>
        <v>4.252</v>
      </c>
      <c r="J39" s="0" t="n">
        <f aca="false">IF($I$4=0,H39,(I39+H39))</f>
        <v>0.21</v>
      </c>
      <c r="K39" s="0" t="n">
        <f aca="false">IF($K$5="OK",((I39*$I$5)+(J39*$J$5)),"*******")</f>
        <v>0.21</v>
      </c>
      <c r="M39" s="6" t="n">
        <f aca="false">F39*G39*K39</f>
        <v>139925.217140765</v>
      </c>
      <c r="N39" s="5" t="n">
        <f aca="false">F39*G39</f>
        <v>666310.557813168</v>
      </c>
      <c r="Q39" s="57" t="n">
        <f aca="false">A39</f>
        <v>37895</v>
      </c>
      <c r="R39" s="45" t="n">
        <f aca="false">I39*G39</f>
        <v>13.0560022664589</v>
      </c>
      <c r="S39" s="45" t="n">
        <f aca="false">H39*G39</f>
        <v>0.644816668851453</v>
      </c>
      <c r="T39" s="45" t="n">
        <f aca="false">R39+S39</f>
        <v>13.7008189353104</v>
      </c>
      <c r="W39" s="69" t="n">
        <v>0.0516785264030064</v>
      </c>
      <c r="X39" s="0" t="n">
        <v>2.195</v>
      </c>
      <c r="Y39" s="9" t="n">
        <v>2.375</v>
      </c>
      <c r="Z39" s="9" t="n">
        <f aca="false">X39*$Z$3</f>
        <v>0.0932875</v>
      </c>
      <c r="AA39" s="0" t="n">
        <f aca="false">+Y39-X39</f>
        <v>0.18</v>
      </c>
      <c r="AB39" s="47" t="n">
        <f aca="false">IF(($AA39-$Z39-$AB$3)/2&lt;$AB$3,$AB$3,($AA39-$Z39-$AB$3)/2)</f>
        <v>0.05</v>
      </c>
      <c r="AC39" s="47" t="n">
        <f aca="false">IF(AA39&gt;Z39,(AA39-Z39),0)</f>
        <v>0.0867125000000002</v>
      </c>
      <c r="AD39" s="48" t="n">
        <f aca="false">+AC39-AB39</f>
        <v>0.0367125000000002</v>
      </c>
      <c r="AE39" s="6" t="n">
        <f aca="false">10000*AD39</f>
        <v>367.125000000002</v>
      </c>
      <c r="AG39" s="6" t="n">
        <f aca="false">5000*(AC39)</f>
        <v>433.562500000001</v>
      </c>
      <c r="AS39" s="0" t="n">
        <v>0.16</v>
      </c>
      <c r="AT39" s="0" t="n">
        <f aca="false">+AT27</f>
        <v>0.05</v>
      </c>
      <c r="AU39" s="0" t="n">
        <f aca="false">+AS39+AT39</f>
        <v>0.21</v>
      </c>
    </row>
    <row r="40" customFormat="false" ht="12.75" hidden="false" customHeight="false" outlineLevel="0" collapsed="false">
      <c r="A40" s="51" t="n">
        <f aca="false">DATE(YEAR(A39+31),MONTH(A39+31),1)</f>
        <v>37926</v>
      </c>
      <c r="B40" s="0" t="n">
        <f aca="false">IF(A40&gt;=$A$3,IF(A40&lt;=$A$4,1,0),0)*(A41-A40)</f>
        <v>30</v>
      </c>
      <c r="C40" s="77"/>
      <c r="D40" s="53" t="n">
        <f aca="false">Feeds!G33</f>
        <v>4.522</v>
      </c>
      <c r="E40" s="54"/>
      <c r="F40" s="5" t="n">
        <f aca="false">$G$3*B40</f>
        <v>210000</v>
      </c>
      <c r="G40" s="55" t="n">
        <f aca="true">(1+W40/2)^(-2*($A40-TODAY())/365.25)</f>
        <v>3.06709720237551</v>
      </c>
      <c r="H40" s="76" t="n">
        <v>0.38</v>
      </c>
      <c r="I40" s="0" t="n">
        <f aca="false">IF(E40=0,D40,E40)</f>
        <v>4.522</v>
      </c>
      <c r="J40" s="0" t="n">
        <f aca="false">IF($I$4=0,H40,(I40+H40))</f>
        <v>0.38</v>
      </c>
      <c r="K40" s="0" t="n">
        <f aca="false">IF($K$5="OK",((I40*$I$5)+(J40*$J$5)),"*******")</f>
        <v>0.38</v>
      </c>
      <c r="M40" s="6" t="n">
        <f aca="false">F40*G40*K40</f>
        <v>244754.356749565</v>
      </c>
      <c r="N40" s="5" t="n">
        <f aca="false">F40*G40</f>
        <v>644090.412498856</v>
      </c>
      <c r="Q40" s="57" t="n">
        <f aca="false">A40</f>
        <v>37926</v>
      </c>
      <c r="R40" s="45" t="n">
        <f aca="false">I40*G40</f>
        <v>13.869413549142</v>
      </c>
      <c r="S40" s="45" t="n">
        <f aca="false">H40*G40</f>
        <v>1.16549693690269</v>
      </c>
      <c r="T40" s="45" t="n">
        <f aca="false">R40+S40</f>
        <v>15.0349104860447</v>
      </c>
      <c r="W40" s="69" t="n">
        <v>0.0518285703518542</v>
      </c>
      <c r="X40" s="0" t="n">
        <v>2.28</v>
      </c>
      <c r="Y40" s="9" t="n">
        <v>2.485</v>
      </c>
      <c r="Z40" s="9" t="n">
        <f aca="false">X40*$Z$3</f>
        <v>0.0969</v>
      </c>
      <c r="AA40" s="0" t="n">
        <f aca="false">+Y40-X40</f>
        <v>0.205</v>
      </c>
      <c r="AB40" s="47" t="n">
        <f aca="false">IF(($AA40-$Z40-$AB$3)/2&lt;$AB$3,$AB$3,($AA40-$Z40-$AB$3)/2)</f>
        <v>0.05</v>
      </c>
      <c r="AC40" s="47" t="n">
        <f aca="false">IF(AA40&gt;Z40,(AA40-Z40),0)</f>
        <v>0.1081</v>
      </c>
      <c r="AD40" s="48" t="n">
        <f aca="false">+AC40-AB40</f>
        <v>0.0581000000000001</v>
      </c>
      <c r="AE40" s="6" t="n">
        <f aca="false">10000*AD40</f>
        <v>581.000000000001</v>
      </c>
      <c r="AG40" s="6" t="n">
        <f aca="false">5000*(AC40)</f>
        <v>540.5</v>
      </c>
      <c r="AS40" s="0" t="n">
        <v>0.23</v>
      </c>
      <c r="AT40" s="0" t="n">
        <f aca="false">+AT28</f>
        <v>0.15</v>
      </c>
      <c r="AU40" s="0" t="n">
        <f aca="false">+AS40+AT40</f>
        <v>0.38</v>
      </c>
    </row>
    <row r="41" customFormat="false" ht="12.75" hidden="false" customHeight="false" outlineLevel="0" collapsed="false">
      <c r="A41" s="51" t="n">
        <f aca="false">DATE(YEAR(A40+31),MONTH(A40+31),1)</f>
        <v>37956</v>
      </c>
      <c r="B41" s="0" t="n">
        <f aca="false">IF(A41&gt;=$A$3,IF(A41&lt;=$A$4,1,0),0)*(A42-A41)</f>
        <v>31</v>
      </c>
      <c r="C41" s="77"/>
      <c r="D41" s="53" t="n">
        <f aca="false">Feeds!G34</f>
        <v>4.482</v>
      </c>
      <c r="E41" s="54"/>
      <c r="F41" s="5" t="n">
        <f aca="false">$G$3*B41</f>
        <v>217000</v>
      </c>
      <c r="G41" s="55" t="n">
        <f aca="true">(1+W41/2)^(-2*($A41-TODAY())/365.25)</f>
        <v>3.0646181829658</v>
      </c>
      <c r="H41" s="76" t="n">
        <v>0.38</v>
      </c>
      <c r="I41" s="0" t="n">
        <f aca="false">IF(E41=0,D41,E41)</f>
        <v>4.482</v>
      </c>
      <c r="J41" s="0" t="n">
        <f aca="false">IF($I$4=0,H41,(I41+H41))</f>
        <v>0.38</v>
      </c>
      <c r="K41" s="0" t="n">
        <f aca="false">IF($K$5="OK",((I41*$I$5)+(J41*$J$5)),"*******")</f>
        <v>0.38</v>
      </c>
      <c r="M41" s="6" t="n">
        <f aca="false">F41*G41*K41</f>
        <v>252708.41536736</v>
      </c>
      <c r="N41" s="5" t="n">
        <f aca="false">F41*G41</f>
        <v>665022.145703578</v>
      </c>
      <c r="Q41" s="57" t="n">
        <f aca="false">A41</f>
        <v>37956</v>
      </c>
      <c r="R41" s="45" t="n">
        <f aca="false">I41*G41</f>
        <v>13.7356186960527</v>
      </c>
      <c r="S41" s="45" t="n">
        <f aca="false">H41*G41</f>
        <v>1.164554909527</v>
      </c>
      <c r="T41" s="45" t="n">
        <f aca="false">R41+S41</f>
        <v>14.9001736055797</v>
      </c>
      <c r="W41" s="69" t="n">
        <v>0.0519881551190906</v>
      </c>
      <c r="X41" s="0" t="n">
        <v>2.45</v>
      </c>
      <c r="Y41" s="9" t="n">
        <v>2.605</v>
      </c>
      <c r="Z41" s="9" t="n">
        <f aca="false">X41*$Z$3</f>
        <v>0.104125</v>
      </c>
      <c r="AA41" s="0" t="n">
        <f aca="false">+Y41-X41</f>
        <v>0.155</v>
      </c>
      <c r="AB41" s="47" t="n">
        <f aca="false">IF(($AA41-$Z41-$AB$3)/2&lt;$AB$3,$AB$3,($AA41-$Z41-$AB$3)/2)</f>
        <v>0.05</v>
      </c>
      <c r="AC41" s="47" t="n">
        <f aca="false">IF(AA41&gt;Z41,(AA41-Z41),0)</f>
        <v>0.0508749999999998</v>
      </c>
      <c r="AD41" s="48" t="n">
        <f aca="false">+AC41-AB41</f>
        <v>0.000874999999999793</v>
      </c>
      <c r="AE41" s="6" t="n">
        <f aca="false">10000*AD41</f>
        <v>8.74999999999793</v>
      </c>
      <c r="AG41" s="6" t="n">
        <f aca="false">5000*(AC41)</f>
        <v>254.374999999999</v>
      </c>
      <c r="AS41" s="0" t="n">
        <v>0.23</v>
      </c>
      <c r="AT41" s="0" t="n">
        <f aca="false">+AT29</f>
        <v>0.15</v>
      </c>
      <c r="AU41" s="0" t="n">
        <f aca="false">+AS41+AT41</f>
        <v>0.38</v>
      </c>
    </row>
    <row r="42" customFormat="false" ht="12.75" hidden="false" customHeight="false" outlineLevel="0" collapsed="false">
      <c r="A42" s="51" t="n">
        <f aca="false">DATE(YEAR(A41+31),MONTH(A41+31),1)</f>
        <v>37987</v>
      </c>
      <c r="B42" s="0" t="n">
        <f aca="false">IF(A42&gt;=$A$3,IF(A42&lt;=$A$4,1,0),0)*(A43-A42)</f>
        <v>31</v>
      </c>
      <c r="C42" s="77"/>
      <c r="D42" s="53" t="n">
        <f aca="false">Feeds!G35</f>
        <v>4.522</v>
      </c>
      <c r="E42" s="54"/>
      <c r="F42" s="5" t="n">
        <f aca="false">$G$3*B42</f>
        <v>217000</v>
      </c>
      <c r="G42" s="55" t="n">
        <f aca="true">(1+W42/2)^(-2*($A42-TODAY())/365.25)</f>
        <v>3.06194461974085</v>
      </c>
      <c r="H42" s="76" t="n">
        <v>0.38</v>
      </c>
      <c r="I42" s="0" t="n">
        <f aca="false">IF(E42=0,D42,E42)</f>
        <v>4.522</v>
      </c>
      <c r="J42" s="0" t="n">
        <f aca="false">IF($I$4=0,H42,(I42+H42))</f>
        <v>0.38</v>
      </c>
      <c r="K42" s="0" t="n">
        <f aca="false">IF($K$5="OK",((I42*$I$5)+(J42*$J$5)),"*******")</f>
        <v>0.38</v>
      </c>
      <c r="M42" s="6" t="n">
        <f aca="false">F42*G42*K42</f>
        <v>252487.953343831</v>
      </c>
      <c r="N42" s="5" t="n">
        <f aca="false">F42*G42</f>
        <v>664441.982483765</v>
      </c>
      <c r="Q42" s="57" t="n">
        <f aca="false">A42</f>
        <v>37987</v>
      </c>
      <c r="R42" s="45" t="n">
        <f aca="false">I42*G42</f>
        <v>13.8461135704681</v>
      </c>
      <c r="S42" s="45" t="n">
        <f aca="false">H42*G42</f>
        <v>1.16353895550152</v>
      </c>
      <c r="T42" s="45" t="n">
        <f aca="false">R42+S42</f>
        <v>15.0096525259697</v>
      </c>
      <c r="W42" s="69" t="n">
        <v>0.052152581863659</v>
      </c>
      <c r="X42" s="0" t="n">
        <v>2.47</v>
      </c>
      <c r="Y42" s="9" t="n">
        <v>2.65</v>
      </c>
      <c r="Z42" s="9" t="n">
        <f aca="false">X42*$Z$3</f>
        <v>0.104975</v>
      </c>
      <c r="AA42" s="0" t="n">
        <f aca="false">+Y42-X42</f>
        <v>0.18</v>
      </c>
      <c r="AB42" s="47" t="n">
        <f aca="false">IF(($AA42-$Z42-$AB$3)/2&lt;$AB$3,$AB$3,($AA42-$Z42-$AB$3)/2)</f>
        <v>0.05</v>
      </c>
      <c r="AC42" s="47" t="n">
        <f aca="false">IF(AA42&gt;Z42,(AA42-Z42),0)</f>
        <v>0.0750249999999997</v>
      </c>
      <c r="AD42" s="48" t="n">
        <f aca="false">+AC42-AB42</f>
        <v>0.0250249999999997</v>
      </c>
      <c r="AE42" s="6" t="n">
        <f aca="false">10000*AD42</f>
        <v>250.249999999997</v>
      </c>
      <c r="AG42" s="6" t="n">
        <f aca="false">5000*(AC42)</f>
        <v>375.124999999999</v>
      </c>
      <c r="AS42" s="0" t="n">
        <v>0.23</v>
      </c>
      <c r="AT42" s="0" t="n">
        <f aca="false">+AT30</f>
        <v>0.15</v>
      </c>
      <c r="AU42" s="0" t="n">
        <f aca="false">+AS42+AT42</f>
        <v>0.38</v>
      </c>
    </row>
    <row r="43" customFormat="false" ht="12.75" hidden="false" customHeight="false" outlineLevel="0" collapsed="false">
      <c r="A43" s="51" t="n">
        <f aca="false">DATE(YEAR(A42+31),MONTH(A42+31),1)</f>
        <v>38018</v>
      </c>
      <c r="B43" s="0" t="n">
        <f aca="false">IF(A43&gt;=$A$3,IF(A43&lt;=$A$4,1,0),0)*(A44-A43)</f>
        <v>29</v>
      </c>
      <c r="C43" s="77"/>
      <c r="D43" s="53" t="n">
        <f aca="false">Feeds!G36</f>
        <v>4.402</v>
      </c>
      <c r="E43" s="54"/>
      <c r="F43" s="5" t="n">
        <f aca="false">$G$3*B43</f>
        <v>203000</v>
      </c>
      <c r="G43" s="55" t="n">
        <f aca="true">(1+W43/2)^(-2*($A43-TODAY())/365.25)</f>
        <v>3.05850468074132</v>
      </c>
      <c r="H43" s="76" t="n">
        <v>0.38</v>
      </c>
      <c r="I43" s="0" t="n">
        <f aca="false">IF(E43=0,D43,E43)</f>
        <v>4.402</v>
      </c>
      <c r="J43" s="0" t="n">
        <f aca="false">IF($I$4=0,H43,(I43+H43))</f>
        <v>0.38</v>
      </c>
      <c r="K43" s="0" t="n">
        <f aca="false">IF($K$5="OK",((I43*$I$5)+(J43*$J$5)),"*******")</f>
        <v>0.38</v>
      </c>
      <c r="M43" s="6" t="n">
        <f aca="false">F43*G43*K43</f>
        <v>235933.051072385</v>
      </c>
      <c r="N43" s="5" t="n">
        <f aca="false">F43*G43</f>
        <v>620876.450190487</v>
      </c>
      <c r="Q43" s="57" t="n">
        <f aca="false">A43</f>
        <v>38018</v>
      </c>
      <c r="R43" s="45" t="n">
        <f aca="false">I43*G43</f>
        <v>13.4635376046233</v>
      </c>
      <c r="S43" s="45" t="n">
        <f aca="false">H43*G43</f>
        <v>1.1622317786817</v>
      </c>
      <c r="T43" s="45" t="n">
        <f aca="false">R43+S43</f>
        <v>14.625769383305</v>
      </c>
      <c r="W43" s="69" t="n">
        <v>0.0523064004393228</v>
      </c>
      <c r="X43" s="0" t="n">
        <v>2.485</v>
      </c>
      <c r="Y43" s="9" t="n">
        <v>2.66</v>
      </c>
      <c r="Z43" s="9" t="n">
        <f aca="false">X43*$Z$3</f>
        <v>0.1056125</v>
      </c>
      <c r="AA43" s="0" t="n">
        <f aca="false">+Y43-X43</f>
        <v>0.175</v>
      </c>
      <c r="AB43" s="47" t="n">
        <f aca="false">IF(($AA43-$Z43-$AB$3)/2&lt;$AB$3,$AB$3,($AA43-$Z43-$AB$3)/2)</f>
        <v>0.05</v>
      </c>
      <c r="AC43" s="47" t="n">
        <f aca="false">IF(AA43&gt;Z43,(AA43-Z43),0)</f>
        <v>0.0693875000000003</v>
      </c>
      <c r="AD43" s="48" t="n">
        <f aca="false">+AC43-AB43</f>
        <v>0.0193875000000003</v>
      </c>
      <c r="AE43" s="6" t="n">
        <f aca="false">10000*AD43</f>
        <v>193.875000000003</v>
      </c>
      <c r="AG43" s="6" t="n">
        <f aca="false">5000*(AC43)</f>
        <v>346.937500000001</v>
      </c>
      <c r="AS43" s="0" t="n">
        <v>0.23</v>
      </c>
      <c r="AT43" s="0" t="n">
        <f aca="false">+AT31</f>
        <v>0.15</v>
      </c>
      <c r="AU43" s="0" t="n">
        <f aca="false">+AS43+AT43</f>
        <v>0.38</v>
      </c>
    </row>
    <row r="44" customFormat="false" ht="12.75" hidden="false" customHeight="false" outlineLevel="0" collapsed="false">
      <c r="A44" s="51" t="n">
        <f aca="false">DATE(YEAR(A43+31),MONTH(A43+31),1)</f>
        <v>38047</v>
      </c>
      <c r="B44" s="0" t="n">
        <f aca="false">IF(A44&gt;=$A$3,IF(A44&lt;=$A$4,1,0),0)*(A45-A44)</f>
        <v>31</v>
      </c>
      <c r="C44" s="77"/>
      <c r="D44" s="53" t="n">
        <f aca="false">Feeds!G37</f>
        <v>4.262</v>
      </c>
      <c r="E44" s="54"/>
      <c r="F44" s="5" t="n">
        <f aca="false">$G$3*B44</f>
        <v>217000</v>
      </c>
      <c r="G44" s="55" t="n">
        <f aca="true">(1+W44/2)^(-2*($A44-TODAY())/365.25)</f>
        <v>3.05567213003793</v>
      </c>
      <c r="H44" s="76" t="n">
        <v>0.38</v>
      </c>
      <c r="I44" s="0" t="n">
        <f aca="false">IF(E44=0,D44,E44)</f>
        <v>4.262</v>
      </c>
      <c r="J44" s="0" t="n">
        <f aca="false">IF($I$4=0,H44,(I44+H44))</f>
        <v>0.38</v>
      </c>
      <c r="K44" s="0" t="n">
        <f aca="false">IF($K$5="OK",((I44*$I$5)+(J44*$J$5)),"*******")</f>
        <v>0.38</v>
      </c>
      <c r="M44" s="6" t="n">
        <f aca="false">F44*G44*K44</f>
        <v>251970.723842928</v>
      </c>
      <c r="N44" s="5" t="n">
        <f aca="false">F44*G44</f>
        <v>663080.852218231</v>
      </c>
      <c r="Q44" s="57" t="n">
        <f aca="false">A44</f>
        <v>38047</v>
      </c>
      <c r="R44" s="45" t="n">
        <f aca="false">I44*G44</f>
        <v>13.0232746182217</v>
      </c>
      <c r="S44" s="45" t="n">
        <f aca="false">H44*G44</f>
        <v>1.16115540941441</v>
      </c>
      <c r="T44" s="45" t="n">
        <f aca="false">R44+S44</f>
        <v>14.1844300276361</v>
      </c>
      <c r="W44" s="69" t="n">
        <v>0.0524573485863917</v>
      </c>
      <c r="X44" s="0" t="n">
        <v>2.49</v>
      </c>
      <c r="Y44" s="9" t="n">
        <v>2.645</v>
      </c>
      <c r="Z44" s="9" t="n">
        <f aca="false">X44*$Z$3</f>
        <v>0.105825</v>
      </c>
      <c r="AA44" s="0" t="n">
        <f aca="false">+Y44-X44</f>
        <v>0.155</v>
      </c>
      <c r="AB44" s="47" t="n">
        <f aca="false">IF(($AA44-$Z44-$AB$3)/2&lt;$AB$3,$AB$3,($AA44-$Z44-$AB$3)/2)</f>
        <v>0.05</v>
      </c>
      <c r="AC44" s="47" t="n">
        <f aca="false">IF(AA44&gt;Z44,(AA44-Z44),0)</f>
        <v>0.0491749999999998</v>
      </c>
      <c r="AD44" s="48" t="n">
        <f aca="false">+AC44-AB44</f>
        <v>-0.000825000000000215</v>
      </c>
      <c r="AE44" s="6" t="n">
        <f aca="false">10000*AD44</f>
        <v>-8.25000000000214</v>
      </c>
      <c r="AG44" s="6" t="n">
        <f aca="false">5000*(AC44)</f>
        <v>245.874999999999</v>
      </c>
      <c r="AS44" s="0" t="n">
        <v>0.23</v>
      </c>
      <c r="AT44" s="0" t="n">
        <f aca="false">+AT32</f>
        <v>0.15</v>
      </c>
      <c r="AU44" s="0" t="n">
        <f aca="false">+AS44+AT44</f>
        <v>0.38</v>
      </c>
    </row>
    <row r="45" customFormat="false" ht="12.75" hidden="false" customHeight="false" outlineLevel="0" collapsed="false">
      <c r="A45" s="51" t="n">
        <f aca="false">DATE(YEAR(A44+31),MONTH(A44+31),1)</f>
        <v>38078</v>
      </c>
      <c r="B45" s="0" t="n">
        <f aca="false">IF(A45&gt;=$A$3,IF(A45&lt;=$A$4,1,0),0)*(A46-A45)</f>
        <v>30</v>
      </c>
      <c r="C45" s="77"/>
      <c r="D45" s="53" t="n">
        <f aca="false">Feeds!G38</f>
        <v>4.12</v>
      </c>
      <c r="E45" s="54"/>
      <c r="F45" s="5" t="n">
        <f aca="false">$G$3*B45</f>
        <v>210000</v>
      </c>
      <c r="G45" s="55" t="n">
        <f aca="true">(1+W45/2)^(-2*($A45-TODAY())/365.25)</f>
        <v>3.05070239207939</v>
      </c>
      <c r="H45" s="76" t="n">
        <v>0.22</v>
      </c>
      <c r="I45" s="0" t="n">
        <f aca="false">IF(E45=0,D45,E45)</f>
        <v>4.12</v>
      </c>
      <c r="J45" s="0" t="n">
        <f aca="false">IF($I$4=0,H45,(I45+H45))</f>
        <v>0.22</v>
      </c>
      <c r="K45" s="0" t="n">
        <f aca="false">IF($K$5="OK",((I45*$I$5)+(J45*$J$5)),"*******")</f>
        <v>0.22</v>
      </c>
      <c r="M45" s="6" t="n">
        <f aca="false">F45*G45*K45</f>
        <v>140942.450514068</v>
      </c>
      <c r="N45" s="5" t="n">
        <f aca="false">F45*G45</f>
        <v>640647.502336673</v>
      </c>
      <c r="Q45" s="57" t="n">
        <f aca="false">A45</f>
        <v>38078</v>
      </c>
      <c r="R45" s="45" t="n">
        <f aca="false">I45*G45</f>
        <v>12.5688938553671</v>
      </c>
      <c r="S45" s="45" t="n">
        <f aca="false">H45*G45</f>
        <v>0.671154526257467</v>
      </c>
      <c r="T45" s="45" t="n">
        <f aca="false">R45+S45</f>
        <v>13.2400483816246</v>
      </c>
      <c r="W45" s="69" t="n">
        <v>0.0525895140360317</v>
      </c>
      <c r="X45" s="0" t="n">
        <v>2.49</v>
      </c>
      <c r="Y45" s="9" t="n">
        <v>2.645</v>
      </c>
      <c r="Z45" s="9" t="n">
        <f aca="false">X45*$Z$3</f>
        <v>0.105825</v>
      </c>
      <c r="AA45" s="0" t="n">
        <f aca="false">+Y45-X45</f>
        <v>0.155</v>
      </c>
      <c r="AB45" s="47" t="n">
        <f aca="false">IF(($AA45-$Z45-$AB$3)/2&lt;$AB$3,$AB$3,($AA45-$Z45-$AB$3)/2)</f>
        <v>0.05</v>
      </c>
      <c r="AC45" s="47" t="n">
        <f aca="false">IF(AA45&gt;Z45,(AA45-Z45),0)</f>
        <v>0.0491749999999998</v>
      </c>
      <c r="AD45" s="48" t="n">
        <f aca="false">+AC45-AB45</f>
        <v>-0.000825000000000215</v>
      </c>
      <c r="AE45" s="6" t="n">
        <f aca="false">10000*AD45</f>
        <v>-8.25000000000214</v>
      </c>
      <c r="AG45" s="6" t="n">
        <f aca="false">5000*(AC45)</f>
        <v>245.874999999999</v>
      </c>
      <c r="AS45" s="0" t="n">
        <v>0.17</v>
      </c>
      <c r="AT45" s="0" t="n">
        <f aca="false">+AT33</f>
        <v>0.05</v>
      </c>
      <c r="AU45" s="0" t="n">
        <f aca="false">+AS45+AT45</f>
        <v>0.22</v>
      </c>
    </row>
    <row r="46" customFormat="false" ht="12.75" hidden="false" customHeight="false" outlineLevel="0" collapsed="false">
      <c r="A46" s="51" t="n">
        <f aca="false">DATE(YEAR(A45+31),MONTH(A45+31),1)</f>
        <v>38108</v>
      </c>
      <c r="B46" s="0" t="n">
        <f aca="false">IF(A46&gt;=$A$3,IF(A46&lt;=$A$4,1,0),0)*(A47-A46)</f>
        <v>31</v>
      </c>
      <c r="C46" s="77"/>
      <c r="D46" s="53" t="n">
        <f aca="false">Feeds!G39</f>
        <v>0</v>
      </c>
      <c r="E46" s="54"/>
      <c r="F46" s="5" t="n">
        <f aca="false">$G$3*B46</f>
        <v>217000</v>
      </c>
      <c r="G46" s="55" t="n">
        <f aca="true">(1+W46/2)^(-2*($A46-TODAY())/365.25)</f>
        <v>3.04638745395198</v>
      </c>
      <c r="H46" s="76" t="n">
        <v>0.22</v>
      </c>
      <c r="I46" s="0" t="n">
        <f aca="false">IF(E46=0,D46,E46)</f>
        <v>0</v>
      </c>
      <c r="J46" s="0" t="n">
        <f aca="false">IF($I$4=0,H46,(I46+H46))</f>
        <v>0.22</v>
      </c>
      <c r="K46" s="0" t="n">
        <f aca="false">IF($K$5="OK",((I46*$I$5)+(J46*$J$5)),"*******")</f>
        <v>0.22</v>
      </c>
      <c r="M46" s="6" t="n">
        <f aca="false">F46*G46*K46</f>
        <v>145434.537051667</v>
      </c>
      <c r="N46" s="5" t="n">
        <f aca="false">F46*G46</f>
        <v>661066.077507579</v>
      </c>
      <c r="W46" s="69" t="n">
        <v>0.0527260850067788</v>
      </c>
      <c r="X46" s="0" t="n">
        <v>2.49</v>
      </c>
      <c r="Y46" s="9" t="n">
        <v>2.645</v>
      </c>
      <c r="Z46" s="9" t="n">
        <f aca="false">X46*$Z$3</f>
        <v>0.105825</v>
      </c>
      <c r="AA46" s="0" t="n">
        <f aca="false">+Y46-X46</f>
        <v>0.155</v>
      </c>
      <c r="AB46" s="47" t="n">
        <f aca="false">IF(($AA46-$Z46-$AB$3)/2&lt;$AB$3,$AB$3,($AA46-$Z46-$AB$3)/2)</f>
        <v>0.05</v>
      </c>
      <c r="AC46" s="47" t="n">
        <f aca="false">IF(AA46&gt;Z46,(AA46-Z46),0)</f>
        <v>0.0491749999999998</v>
      </c>
      <c r="AD46" s="48" t="n">
        <f aca="false">+AC46-AB46</f>
        <v>-0.000825000000000215</v>
      </c>
      <c r="AE46" s="6" t="n">
        <f aca="false">10000*AD46</f>
        <v>-8.25000000000214</v>
      </c>
      <c r="AG46" s="6" t="n">
        <f aca="false">5000*(AC46)</f>
        <v>245.874999999999</v>
      </c>
      <c r="AS46" s="0" t="n">
        <v>0.17</v>
      </c>
      <c r="AT46" s="0" t="n">
        <f aca="false">+AT34</f>
        <v>0.05</v>
      </c>
      <c r="AU46" s="0" t="n">
        <f aca="false">+AS46+AT46</f>
        <v>0.22</v>
      </c>
    </row>
    <row r="47" customFormat="false" ht="12.75" hidden="false" customHeight="false" outlineLevel="0" collapsed="false">
      <c r="A47" s="51" t="n">
        <f aca="false">DATE(YEAR(A46+31),MONTH(A46+31),1)</f>
        <v>38139</v>
      </c>
      <c r="B47" s="0" t="n">
        <f aca="false">IF(A47&gt;=$A$3,IF(A47&lt;=$A$4,1,0),0)*(A48-A47)</f>
        <v>30</v>
      </c>
      <c r="C47" s="77"/>
      <c r="D47" s="53" t="n">
        <f aca="false">Feeds!G41</f>
        <v>0</v>
      </c>
      <c r="E47" s="54"/>
      <c r="F47" s="5" t="n">
        <f aca="false">$G$3*B47</f>
        <v>210000</v>
      </c>
      <c r="G47" s="55" t="n">
        <f aca="true">(1+W47/2)^(-2*($A47-TODAY())/365.25)</f>
        <v>3.04115902951791</v>
      </c>
      <c r="H47" s="76" t="n">
        <v>0.22</v>
      </c>
      <c r="I47" s="0" t="n">
        <f aca="false">IF(E47=0,D47,E47)</f>
        <v>0</v>
      </c>
      <c r="J47" s="0" t="n">
        <f aca="false">IF($I$4=0,H47,(I47+H47))</f>
        <v>0.22</v>
      </c>
      <c r="K47" s="0" t="n">
        <f aca="false">IF($K$5="OK",((I47*$I$5)+(J47*$J$5)),"*******")</f>
        <v>0.22</v>
      </c>
      <c r="M47" s="6" t="n">
        <f aca="false">F47*G47*K47</f>
        <v>140501.547163727</v>
      </c>
      <c r="N47" s="5" t="n">
        <f aca="false">F47*G47</f>
        <v>638643.396198761</v>
      </c>
      <c r="W47" s="69" t="n">
        <v>0.0528560390925294</v>
      </c>
      <c r="X47" s="0" t="n">
        <v>2.485</v>
      </c>
      <c r="Y47" s="9" t="n">
        <v>2.76</v>
      </c>
      <c r="Z47" s="9" t="n">
        <f aca="false">X47*$Z$3</f>
        <v>0.1056125</v>
      </c>
      <c r="AA47" s="0" t="n">
        <f aca="false">+Y47-X47</f>
        <v>0.275</v>
      </c>
      <c r="AB47" s="47" t="n">
        <f aca="false">IF(($AA47-$Z47-$AB$3)/2&lt;$AB$3,$AB$3,($AA47-$Z47-$AB$3)/2)</f>
        <v>0.05969375</v>
      </c>
      <c r="AC47" s="47" t="n">
        <f aca="false">IF(AA47&gt;Z47,(AA47-Z47),0)</f>
        <v>0.1693875</v>
      </c>
      <c r="AD47" s="48" t="n">
        <f aca="false">+AC47-AB47</f>
        <v>0.10969375</v>
      </c>
      <c r="AE47" s="6" t="n">
        <f aca="false">10000*AD47</f>
        <v>1096.9375</v>
      </c>
      <c r="AG47" s="6" t="n">
        <f aca="false">5000*(AC47)</f>
        <v>846.9375</v>
      </c>
      <c r="AS47" s="0" t="n">
        <v>0.17</v>
      </c>
      <c r="AT47" s="0" t="n">
        <f aca="false">+AT35</f>
        <v>0.05</v>
      </c>
      <c r="AU47" s="0" t="n">
        <f aca="false">+AS47+AT47</f>
        <v>0.22</v>
      </c>
    </row>
    <row r="48" customFormat="false" ht="12.75" hidden="false" customHeight="false" outlineLevel="0" collapsed="false">
      <c r="A48" s="51" t="n">
        <f aca="false">DATE(YEAR(A47+31),MONTH(A47+31),1)</f>
        <v>38169</v>
      </c>
      <c r="B48" s="0" t="n">
        <f aca="false">IF(A48&gt;=$A$3,IF(A48&lt;=$A$4,1,0),0)*(A49-A48)</f>
        <v>31</v>
      </c>
      <c r="C48" s="77"/>
      <c r="D48" s="53" t="n">
        <f aca="false">Feeds!G42</f>
        <v>0</v>
      </c>
      <c r="E48" s="54"/>
      <c r="F48" s="5" t="n">
        <f aca="false">$G$3*B48</f>
        <v>217000</v>
      </c>
      <c r="G48" s="55" t="n">
        <f aca="true">(1+W48/2)^(-2*($A48-TODAY())/365.25)</f>
        <v>3.03642805706112</v>
      </c>
      <c r="H48" s="76" t="n">
        <v>0.22</v>
      </c>
      <c r="I48" s="0" t="n">
        <f aca="false">IF(E48=0,D48,E48)</f>
        <v>0</v>
      </c>
      <c r="J48" s="0" t="n">
        <f aca="false">IF($I$4=0,H48,(I48+H48))</f>
        <v>0.22</v>
      </c>
      <c r="K48" s="0" t="n">
        <f aca="false">IF($K$5="OK",((I48*$I$5)+(J48*$J$5)),"*******")</f>
        <v>0.22</v>
      </c>
      <c r="M48" s="6" t="n">
        <f aca="false">F48*G48*K48</f>
        <v>144959.075444098</v>
      </c>
      <c r="N48" s="5" t="n">
        <f aca="false">F48*G48</f>
        <v>658904.888382264</v>
      </c>
      <c r="W48" s="69" t="n">
        <v>0.0529878960153596</v>
      </c>
      <c r="X48" s="0" t="n">
        <v>2.39</v>
      </c>
      <c r="Y48" s="9" t="n">
        <v>2.635</v>
      </c>
      <c r="Z48" s="9" t="n">
        <f aca="false">X48*$Z$3</f>
        <v>0.101575</v>
      </c>
      <c r="AA48" s="0" t="n">
        <f aca="false">+Y48-X48</f>
        <v>0.245</v>
      </c>
      <c r="AB48" s="47" t="n">
        <f aca="false">IF(($AA48-$Z48-$AB$3)/2&lt;$AB$3,$AB$3,($AA48-$Z48-$AB$3)/2)</f>
        <v>0.05</v>
      </c>
      <c r="AC48" s="47" t="n">
        <f aca="false">IF(AA48&gt;Z48,(AA48-Z48),0)</f>
        <v>0.143425</v>
      </c>
      <c r="AD48" s="48" t="n">
        <f aca="false">+AC48-AB48</f>
        <v>0.0934249999999996</v>
      </c>
      <c r="AE48" s="6" t="n">
        <f aca="false">10000*AD48</f>
        <v>934.249999999996</v>
      </c>
      <c r="AG48" s="6" t="n">
        <f aca="false">5000*(AC48)</f>
        <v>717.124999999998</v>
      </c>
      <c r="AS48" s="0" t="n">
        <v>0.17</v>
      </c>
      <c r="AT48" s="0" t="n">
        <f aca="false">+AT36</f>
        <v>0.05</v>
      </c>
      <c r="AU48" s="0" t="n">
        <f aca="false">+AS48+AT48</f>
        <v>0.22</v>
      </c>
    </row>
    <row r="49" customFormat="false" ht="12.75" hidden="false" customHeight="false" outlineLevel="0" collapsed="false">
      <c r="A49" s="51" t="n">
        <f aca="false">DATE(YEAR(A48+31),MONTH(A48+31),1)</f>
        <v>38200</v>
      </c>
      <c r="B49" s="0" t="n">
        <f aca="false">IF(A49&gt;=$A$3,IF(A49&lt;=$A$4,1,0),0)*(A50-A49)</f>
        <v>31</v>
      </c>
      <c r="C49" s="77"/>
      <c r="D49" s="53" t="n">
        <f aca="false">Feeds!G43</f>
        <v>0</v>
      </c>
      <c r="E49" s="54"/>
      <c r="F49" s="5" t="n">
        <f aca="false">$G$3*B49</f>
        <v>217000</v>
      </c>
      <c r="G49" s="55" t="n">
        <f aca="true">(1+W49/2)^(-2*($A49-TODAY())/365.25)</f>
        <v>3.03120482287354</v>
      </c>
      <c r="H49" s="76" t="n">
        <v>0.22</v>
      </c>
      <c r="I49" s="0" t="n">
        <f aca="false">IF(E49=0,D49,E49)</f>
        <v>0</v>
      </c>
      <c r="J49" s="0" t="n">
        <f aca="false">IF($I$4=0,H49,(I49+H49))</f>
        <v>0.22</v>
      </c>
      <c r="K49" s="0" t="n">
        <f aca="false">IF($K$5="OK",((I49*$I$5)+(J49*$J$5)),"*******")</f>
        <v>0.22</v>
      </c>
      <c r="M49" s="6" t="n">
        <f aca="false">F49*G49*K49</f>
        <v>144709.718243983</v>
      </c>
      <c r="N49" s="5" t="n">
        <f aca="false">F49*G49</f>
        <v>657771.446563559</v>
      </c>
      <c r="W49" s="69" t="n">
        <v>0.0531197529439864</v>
      </c>
      <c r="X49" s="0" t="n">
        <v>2.24</v>
      </c>
      <c r="Y49" s="9" t="n">
        <v>2.47</v>
      </c>
      <c r="Z49" s="9" t="n">
        <f aca="false">X49*$Z$3</f>
        <v>0.0952</v>
      </c>
      <c r="AA49" s="0" t="n">
        <f aca="false">+Y49-X49</f>
        <v>0.23</v>
      </c>
      <c r="AB49" s="47" t="n">
        <f aca="false">IF(($AA49-$Z49-$AB$3)/2&lt;$AB$3,$AB$3,($AA49-$Z49-$AB$3)/2)</f>
        <v>0.05</v>
      </c>
      <c r="AC49" s="47" t="n">
        <f aca="false">IF(AA49&gt;Z49,(AA49-Z49),0)</f>
        <v>0.1348</v>
      </c>
      <c r="AD49" s="48" t="n">
        <f aca="false">+AC49-AB49</f>
        <v>0.0848</v>
      </c>
      <c r="AE49" s="6" t="n">
        <f aca="false">10000*AD49</f>
        <v>848</v>
      </c>
      <c r="AG49" s="6" t="n">
        <f aca="false">5000*(AC49)</f>
        <v>674</v>
      </c>
      <c r="AS49" s="0" t="n">
        <v>0.17</v>
      </c>
      <c r="AT49" s="0" t="n">
        <f aca="false">+AT37</f>
        <v>0.05</v>
      </c>
      <c r="AU49" s="0" t="n">
        <f aca="false">+AS49+AT49</f>
        <v>0.22</v>
      </c>
    </row>
    <row r="50" customFormat="false" ht="12.75" hidden="false" customHeight="false" outlineLevel="0" collapsed="false">
      <c r="A50" s="51" t="n">
        <f aca="false">DATE(YEAR(A49+31),MONTH(A49+31),1)</f>
        <v>38231</v>
      </c>
      <c r="B50" s="0" t="n">
        <f aca="false">IF(A50&gt;=$A$3,IF(A50&lt;=$A$4,1,0),0)*(A51-A50)</f>
        <v>30</v>
      </c>
      <c r="C50" s="77"/>
      <c r="D50" s="53" t="n">
        <f aca="false">Feeds!G44</f>
        <v>0</v>
      </c>
      <c r="E50" s="54"/>
      <c r="F50" s="5" t="n">
        <f aca="false">$G$3*B50</f>
        <v>210000</v>
      </c>
      <c r="G50" s="55" t="n">
        <f aca="true">(1+W50/2)^(-2*($A50-TODAY())/365.25)</f>
        <v>3.02548308173856</v>
      </c>
      <c r="H50" s="76" t="n">
        <v>0.22</v>
      </c>
      <c r="I50" s="0" t="n">
        <f aca="false">IF(E50=0,D50,E50)</f>
        <v>0</v>
      </c>
      <c r="J50" s="0" t="n">
        <f aca="false">IF($I$4=0,H50,(I50+H50))</f>
        <v>0.22</v>
      </c>
      <c r="K50" s="0" t="n">
        <f aca="false">IF($K$5="OK",((I50*$I$5)+(J50*$J$5)),"*******")</f>
        <v>0.22</v>
      </c>
      <c r="M50" s="6" t="n">
        <f aca="false">F50*G50*K50</f>
        <v>139777.318376321</v>
      </c>
      <c r="N50" s="5" t="n">
        <f aca="false">F50*G50</f>
        <v>635351.447165097</v>
      </c>
      <c r="W50" s="69" t="n">
        <v>0.0532445076581789</v>
      </c>
      <c r="X50" s="0" t="n">
        <v>2.25</v>
      </c>
      <c r="Y50" s="9" t="n">
        <v>2.47</v>
      </c>
      <c r="Z50" s="9" t="n">
        <f aca="false">X50*$Z$3</f>
        <v>0.095625</v>
      </c>
      <c r="AA50" s="0" t="n">
        <f aca="false">+Y50-X50</f>
        <v>0.22</v>
      </c>
      <c r="AB50" s="47" t="n">
        <f aca="false">IF(($AA50-$Z50-$AB$3)/2&lt;$AB$3,$AB$3,($AA50-$Z50-$AB$3)/2)</f>
        <v>0.05</v>
      </c>
      <c r="AC50" s="47" t="n">
        <f aca="false">IF(AA50&gt;Z50,(AA50-Z50),0)</f>
        <v>0.124375</v>
      </c>
      <c r="AD50" s="48" t="n">
        <f aca="false">+AC50-AB50</f>
        <v>0.0743750000000002</v>
      </c>
      <c r="AE50" s="6" t="n">
        <f aca="false">10000*AD50</f>
        <v>743.750000000002</v>
      </c>
      <c r="AG50" s="6" t="n">
        <f aca="false">5000*(AC50)</f>
        <v>621.875000000001</v>
      </c>
      <c r="AS50" s="0" t="n">
        <v>0.17</v>
      </c>
      <c r="AT50" s="0" t="n">
        <f aca="false">+AT38</f>
        <v>0.05</v>
      </c>
      <c r="AU50" s="0" t="n">
        <f aca="false">+AS50+AT50</f>
        <v>0.22</v>
      </c>
    </row>
    <row r="51" customFormat="false" ht="12.75" hidden="false" customHeight="false" outlineLevel="0" collapsed="false">
      <c r="A51" s="51" t="n">
        <f aca="false">DATE(YEAR(A50+31),MONTH(A50+31),1)</f>
        <v>38261</v>
      </c>
      <c r="B51" s="0" t="n">
        <f aca="false">IF(A51&gt;=$A$3,IF(A51&lt;=$A$4,1,0),0)*(A52-A51)</f>
        <v>31</v>
      </c>
      <c r="C51" s="77"/>
      <c r="D51" s="53" t="n">
        <f aca="false">Feeds!G45</f>
        <v>0</v>
      </c>
      <c r="E51" s="54"/>
      <c r="F51" s="5" t="n">
        <f aca="false">$G$3*B51</f>
        <v>217000</v>
      </c>
      <c r="G51" s="55" t="n">
        <f aca="true">(1+W51/2)^(-2*($A51-TODAY())/365.25)</f>
        <v>3.02023237219207</v>
      </c>
      <c r="H51" s="76" t="n">
        <v>0.22</v>
      </c>
      <c r="I51" s="0" t="n">
        <f aca="false">IF(E51=0,D51,E51)</f>
        <v>0</v>
      </c>
      <c r="J51" s="0" t="n">
        <f aca="false">IF($I$4=0,H51,(I51+H51))</f>
        <v>0.22</v>
      </c>
      <c r="K51" s="0" t="n">
        <f aca="false">IF($K$5="OK",((I51*$I$5)+(J51*$J$5)),"*******")</f>
        <v>0.22</v>
      </c>
      <c r="M51" s="6" t="n">
        <f aca="false">F51*G51*K51</f>
        <v>144185.893448449</v>
      </c>
      <c r="N51" s="5" t="n">
        <f aca="false">F51*G51</f>
        <v>655390.424765679</v>
      </c>
      <c r="W51" s="69" t="n">
        <v>0.0533706799664722</v>
      </c>
      <c r="X51" s="0" t="n">
        <v>2.25</v>
      </c>
      <c r="Y51" s="9" t="n">
        <v>2.47</v>
      </c>
      <c r="Z51" s="9" t="n">
        <f aca="false">X51*$Z$3</f>
        <v>0.095625</v>
      </c>
      <c r="AA51" s="0" t="n">
        <f aca="false">+Y51-X51</f>
        <v>0.22</v>
      </c>
      <c r="AB51" s="47" t="n">
        <f aca="false">IF(($AA51-$Z51-$AB$3)/2&lt;$AB$3,$AB$3,($AA51-$Z51-$AB$3)/2)</f>
        <v>0.05</v>
      </c>
      <c r="AC51" s="47" t="n">
        <f aca="false">IF(AA51&gt;Z51,(AA51-Z51),0)</f>
        <v>0.124375</v>
      </c>
      <c r="AD51" s="48" t="n">
        <f aca="false">+AC51-AB51</f>
        <v>0.0743750000000002</v>
      </c>
      <c r="AE51" s="6" t="n">
        <f aca="false">10000*AD51</f>
        <v>743.750000000002</v>
      </c>
      <c r="AG51" s="6" t="n">
        <f aca="false">5000*(AC51)</f>
        <v>621.875000000001</v>
      </c>
      <c r="AS51" s="0" t="n">
        <v>0.17</v>
      </c>
      <c r="AT51" s="0" t="n">
        <f aca="false">+AT39</f>
        <v>0.05</v>
      </c>
      <c r="AU51" s="0" t="n">
        <f aca="false">+AS51+AT51</f>
        <v>0.22</v>
      </c>
    </row>
    <row r="52" customFormat="false" ht="12.75" hidden="false" customHeight="false" outlineLevel="0" collapsed="false">
      <c r="A52" s="51" t="n">
        <f aca="false">DATE(YEAR(A51+31),MONTH(A51+31),1)</f>
        <v>38292</v>
      </c>
      <c r="B52" s="0" t="n">
        <f aca="false">IF(A52&gt;=$A$3,IF(A52&lt;=$A$4,1,0),0)*(A53-A52)</f>
        <v>30</v>
      </c>
      <c r="C52" s="77"/>
      <c r="D52" s="53" t="n">
        <f aca="false">Feeds!G46</f>
        <v>0</v>
      </c>
      <c r="E52" s="54"/>
      <c r="F52" s="5" t="n">
        <f aca="false">$G$3*B52</f>
        <v>210000</v>
      </c>
      <c r="G52" s="55" t="n">
        <f aca="true">(1+W52/2)^(-2*($A52-TODAY())/365.25)</f>
        <v>3.01424393562831</v>
      </c>
      <c r="H52" s="76" t="n">
        <v>0.39</v>
      </c>
      <c r="I52" s="0" t="n">
        <f aca="false">IF(E52=0,D52,E52)</f>
        <v>0</v>
      </c>
      <c r="J52" s="0" t="n">
        <f aca="false">IF($I$4=0,H52,(I52+H52))</f>
        <v>0.39</v>
      </c>
      <c r="K52" s="0" t="n">
        <f aca="false">IF($K$5="OK",((I52*$I$5)+(J52*$J$5)),"*******")</f>
        <v>0.39</v>
      </c>
      <c r="M52" s="6" t="n">
        <f aca="false">F52*G52*K52</f>
        <v>246866.578327959</v>
      </c>
      <c r="N52" s="5" t="n">
        <f aca="false">F52*G52</f>
        <v>632991.226481945</v>
      </c>
      <c r="W52" s="69" t="n">
        <v>0.0534927822053572</v>
      </c>
      <c r="X52" s="0" t="n">
        <v>2.25</v>
      </c>
      <c r="Y52" s="9" t="n">
        <v>2.47</v>
      </c>
      <c r="Z52" s="9" t="n">
        <f aca="false">X52*$Z$3</f>
        <v>0.095625</v>
      </c>
      <c r="AA52" s="0" t="n">
        <f aca="false">+Y52-X52</f>
        <v>0.22</v>
      </c>
      <c r="AB52" s="47" t="n">
        <f aca="false">IF(($AA52-$Z52-$AB$3)/2&lt;$AB$3,$AB$3,($AA52-$Z52-$AB$3)/2)</f>
        <v>0.05</v>
      </c>
      <c r="AC52" s="47" t="n">
        <f aca="false">IF(AA52&gt;Z52,(AA52-Z52),0)</f>
        <v>0.124375</v>
      </c>
      <c r="AD52" s="48" t="n">
        <f aca="false">+AC52-AB52</f>
        <v>0.0743750000000002</v>
      </c>
      <c r="AE52" s="6" t="n">
        <f aca="false">10000*AD52</f>
        <v>743.750000000002</v>
      </c>
      <c r="AG52" s="6" t="n">
        <f aca="false">5000*(AC52)</f>
        <v>621.875000000001</v>
      </c>
      <c r="AS52" s="0" t="n">
        <v>0.24</v>
      </c>
      <c r="AT52" s="0" t="n">
        <f aca="false">+AT40</f>
        <v>0.15</v>
      </c>
      <c r="AU52" s="0" t="n">
        <f aca="false">+AS52+AT52</f>
        <v>0.39</v>
      </c>
    </row>
    <row r="53" customFormat="false" ht="12.75" hidden="false" customHeight="false" outlineLevel="0" collapsed="false">
      <c r="A53" s="51" t="n">
        <f aca="false">DATE(YEAR(A52+31),MONTH(A52+31),1)</f>
        <v>38322</v>
      </c>
      <c r="B53" s="0" t="n">
        <f aca="false">IF(A53&gt;=$A$3,IF(A53&lt;=$A$4,1,0),0)*(A54-A53)</f>
        <v>31</v>
      </c>
      <c r="C53" s="77"/>
      <c r="D53" s="53" t="n">
        <f aca="false">Feeds!G47</f>
        <v>0</v>
      </c>
      <c r="E53" s="54"/>
      <c r="F53" s="5" t="n">
        <f aca="false">$G$3*B53</f>
        <v>217000</v>
      </c>
      <c r="G53" s="55" t="n">
        <f aca="true">(1+W53/2)^(-2*($A53-TODAY())/365.25)</f>
        <v>3.00912196461453</v>
      </c>
      <c r="H53" s="76" t="n">
        <v>0.39</v>
      </c>
      <c r="I53" s="0" t="n">
        <f aca="false">IF(E53=0,D53,E53)</f>
        <v>0</v>
      </c>
      <c r="J53" s="0" t="n">
        <f aca="false">IF($I$4=0,H53,(I53+H53))</f>
        <v>0.39</v>
      </c>
      <c r="K53" s="0" t="n">
        <f aca="false">IF($K$5="OK",((I53*$I$5)+(J53*$J$5)),"*******")</f>
        <v>0.39</v>
      </c>
      <c r="M53" s="6" t="n">
        <f aca="false">F53*G53*K53</f>
        <v>254661.991865327</v>
      </c>
      <c r="N53" s="5" t="n">
        <f aca="false">F53*G53</f>
        <v>652979.466321352</v>
      </c>
      <c r="W53" s="69" t="n">
        <v>0.053622752169812</v>
      </c>
      <c r="X53" s="0" t="n">
        <v>2.25</v>
      </c>
      <c r="Y53" s="9" t="n">
        <v>2.47</v>
      </c>
      <c r="Z53" s="9" t="n">
        <f aca="false">X53*$Z$3</f>
        <v>0.095625</v>
      </c>
      <c r="AA53" s="0" t="n">
        <f aca="false">+Y53-X53</f>
        <v>0.22</v>
      </c>
      <c r="AB53" s="47" t="n">
        <f aca="false">IF(($AA53-$Z53-$AB$3)/2&lt;$AB$3,$AB$3,($AA53-$Z53-$AB$3)/2)</f>
        <v>0.05</v>
      </c>
      <c r="AC53" s="47" t="n">
        <f aca="false">IF(AA53&gt;Z53,(AA53-Z53),0)</f>
        <v>0.124375</v>
      </c>
      <c r="AD53" s="48" t="n">
        <f aca="false">+AC53-AB53</f>
        <v>0.0743750000000002</v>
      </c>
      <c r="AE53" s="6" t="n">
        <f aca="false">10000*AD53</f>
        <v>743.750000000002</v>
      </c>
      <c r="AG53" s="6" t="n">
        <f aca="false">5000*(AC53)</f>
        <v>621.875000000001</v>
      </c>
      <c r="AS53" s="0" t="n">
        <v>0.24</v>
      </c>
      <c r="AT53" s="0" t="n">
        <f aca="false">+AT41</f>
        <v>0.15</v>
      </c>
      <c r="AU53" s="0" t="n">
        <f aca="false">+AS53+AT53</f>
        <v>0.39</v>
      </c>
    </row>
    <row r="54" customFormat="false" ht="12.75" hidden="false" customHeight="false" outlineLevel="0" collapsed="false">
      <c r="A54" s="51" t="n">
        <f aca="false">DATE(YEAR(A53+31),MONTH(A53+31),1)</f>
        <v>38353</v>
      </c>
      <c r="B54" s="0" t="n">
        <f aca="false">IF(A54&gt;=$A$3,IF(A54&lt;=$A$4,1,0),0)*(A55-A54)</f>
        <v>31</v>
      </c>
      <c r="C54" s="77"/>
      <c r="D54" s="53" t="n">
        <f aca="false">Feeds!G48</f>
        <v>0</v>
      </c>
      <c r="E54" s="54"/>
      <c r="F54" s="5" t="n">
        <f aca="false">$G$3*B54</f>
        <v>217000</v>
      </c>
      <c r="G54" s="55" t="n">
        <f aca="true">(1+W54/2)^(-2*($A54-TODAY())/365.25)</f>
        <v>3.00369919061707</v>
      </c>
      <c r="H54" s="76" t="n">
        <v>0.39</v>
      </c>
      <c r="I54" s="0" t="n">
        <f aca="false">IF(E54=0,D54,E54)</f>
        <v>0</v>
      </c>
      <c r="J54" s="0" t="n">
        <f aca="false">IF($I$4=0,H54,(I54+H54))</f>
        <v>0.39</v>
      </c>
      <c r="K54" s="0" t="n">
        <f aca="false">IF($K$5="OK",((I54*$I$5)+(J54*$J$5)),"*******")</f>
        <v>0.39</v>
      </c>
      <c r="M54" s="6" t="n">
        <f aca="false">F54*G54*K54</f>
        <v>254203.062501922</v>
      </c>
      <c r="N54" s="5" t="n">
        <f aca="false">F54*G54</f>
        <v>651802.724363903</v>
      </c>
      <c r="W54" s="69" t="n">
        <v>0.0537558496129824</v>
      </c>
      <c r="X54" s="0" t="n">
        <v>2.15</v>
      </c>
      <c r="Y54" s="9" t="n">
        <v>2.405</v>
      </c>
      <c r="Z54" s="9" t="n">
        <f aca="false">X54*$Z$3</f>
        <v>0.091375</v>
      </c>
      <c r="AA54" s="0" t="n">
        <f aca="false">+Y54-X54</f>
        <v>0.255</v>
      </c>
      <c r="AB54" s="47" t="n">
        <f aca="false">IF(($AA54-$Z54-$AB$3)/2&lt;$AB$3,$AB$3,($AA54-$Z54-$AB$3)/2)</f>
        <v>0.0568125</v>
      </c>
      <c r="AC54" s="47" t="n">
        <f aca="false">IF(AA54&gt;Z54,(AA54-Z54),0)</f>
        <v>0.163625</v>
      </c>
      <c r="AD54" s="48" t="n">
        <f aca="false">+AC54-AB54</f>
        <v>0.1068125</v>
      </c>
      <c r="AE54" s="6" t="n">
        <f aca="false">10000*AD54</f>
        <v>1068.125</v>
      </c>
      <c r="AG54" s="6" t="n">
        <f aca="false">5000*(AC54)</f>
        <v>818.125</v>
      </c>
      <c r="AS54" s="0" t="n">
        <v>0.24</v>
      </c>
      <c r="AT54" s="0" t="n">
        <f aca="false">+AT42</f>
        <v>0.15</v>
      </c>
      <c r="AU54" s="0" t="n">
        <f aca="false">+AS54+AT54</f>
        <v>0.39</v>
      </c>
    </row>
    <row r="55" customFormat="false" ht="12.75" hidden="false" customHeight="false" outlineLevel="0" collapsed="false">
      <c r="A55" s="51" t="n">
        <f aca="false">DATE(YEAR(A54+31),MONTH(A54+31),1)</f>
        <v>38384</v>
      </c>
      <c r="B55" s="0" t="n">
        <f aca="false">IF(A55&gt;=$A$3,IF(A55&lt;=$A$4,1,0),0)*(A56-A55)</f>
        <v>28</v>
      </c>
      <c r="C55" s="77"/>
      <c r="D55" s="53" t="n">
        <f aca="false">Feeds!G49</f>
        <v>0</v>
      </c>
      <c r="E55" s="54"/>
      <c r="F55" s="5" t="n">
        <f aca="false">$G$3*B55</f>
        <v>196000</v>
      </c>
      <c r="G55" s="55" t="n">
        <f aca="true">(1+W55/2)^(-2*($A55-TODAY())/365.25)</f>
        <v>2.9974432981417</v>
      </c>
      <c r="H55" s="76" t="n">
        <v>0.39</v>
      </c>
      <c r="I55" s="0" t="n">
        <f aca="false">IF(E55=0,D55,E55)</f>
        <v>0</v>
      </c>
      <c r="J55" s="0" t="n">
        <f aca="false">IF($I$4=0,H55,(I55+H55))</f>
        <v>0.39</v>
      </c>
      <c r="K55" s="0" t="n">
        <f aca="false">IF($K$5="OK",((I55*$I$5)+(J55*$J$5)),"*******")</f>
        <v>0.39</v>
      </c>
      <c r="M55" s="6" t="n">
        <f aca="false">F55*G55*K55</f>
        <v>229124.565709951</v>
      </c>
      <c r="N55" s="5" t="n">
        <f aca="false">F55*G55</f>
        <v>587498.886435772</v>
      </c>
      <c r="W55" s="69" t="n">
        <v>0.0538760666635012</v>
      </c>
      <c r="X55" s="0" t="n">
        <v>2.2</v>
      </c>
      <c r="Y55" s="9" t="n">
        <v>2.36</v>
      </c>
      <c r="Z55" s="9" t="n">
        <f aca="false">X55*$Z$3</f>
        <v>0.0935</v>
      </c>
      <c r="AA55" s="0" t="n">
        <f aca="false">+Y55-X55</f>
        <v>0.16</v>
      </c>
      <c r="AB55" s="47" t="n">
        <f aca="false">IF(($AA55-$Z55-$AB$3)/2&lt;$AB$3,$AB$3,($AA55-$Z55-$AB$3)/2)</f>
        <v>0.05</v>
      </c>
      <c r="AC55" s="47" t="n">
        <f aca="false">IF(AA55&gt;Z55,(AA55-Z55),0)</f>
        <v>0.0664999999999997</v>
      </c>
      <c r="AD55" s="48" t="n">
        <f aca="false">+AC55-AB55</f>
        <v>0.0164999999999997</v>
      </c>
      <c r="AE55" s="6" t="n">
        <f aca="false">10000*AD55</f>
        <v>164.999999999997</v>
      </c>
      <c r="AG55" s="6" t="n">
        <f aca="false">5000*(AC55)</f>
        <v>332.499999999998</v>
      </c>
      <c r="AS55" s="0" t="n">
        <v>0.24</v>
      </c>
      <c r="AT55" s="0" t="n">
        <f aca="false">+AT43</f>
        <v>0.15</v>
      </c>
      <c r="AU55" s="0" t="n">
        <f aca="false">+AS55+AT55</f>
        <v>0.39</v>
      </c>
    </row>
    <row r="56" customFormat="false" ht="12.75" hidden="false" customHeight="false" outlineLevel="0" collapsed="false">
      <c r="A56" s="51" t="n">
        <f aca="false">DATE(YEAR(A55+31),MONTH(A55+31),1)</f>
        <v>38412</v>
      </c>
      <c r="B56" s="0" t="n">
        <f aca="false">IF(A56&gt;=$A$3,IF(A56&lt;=$A$4,1,0),0)*(A57-A56)</f>
        <v>31</v>
      </c>
      <c r="C56" s="77"/>
      <c r="D56" s="53" t="n">
        <f aca="false">Feeds!G50</f>
        <v>0</v>
      </c>
      <c r="E56" s="54"/>
      <c r="F56" s="5" t="n">
        <f aca="false">$G$3*B56</f>
        <v>217000</v>
      </c>
      <c r="G56" s="55" t="n">
        <f aca="true">(1+W56/2)^(-2*($A56-TODAY())/365.25)</f>
        <v>2.99336466725751</v>
      </c>
      <c r="H56" s="76" t="n">
        <v>0.39</v>
      </c>
      <c r="I56" s="0" t="n">
        <f aca="false">IF(E56=0,D56,E56)</f>
        <v>0</v>
      </c>
      <c r="J56" s="0" t="n">
        <f aca="false">IF($I$4=0,H56,(I56+H56))</f>
        <v>0.39</v>
      </c>
      <c r="K56" s="0" t="n">
        <f aca="false">IF($K$5="OK",((I56*$I$5)+(J56*$J$5)),"*******")</f>
        <v>0.39</v>
      </c>
      <c r="M56" s="6" t="n">
        <f aca="false">F56*G56*K56</f>
        <v>253328.451790003</v>
      </c>
      <c r="N56" s="5" t="n">
        <f aca="false">F56*G56</f>
        <v>649560.13279488</v>
      </c>
      <c r="W56" s="69" t="n">
        <v>0.054011543011931</v>
      </c>
      <c r="X56" s="0" t="n">
        <v>2.185</v>
      </c>
      <c r="Y56" s="9" t="n">
        <v>2.4</v>
      </c>
      <c r="Z56" s="9" t="n">
        <f aca="false">X56*$Z$3</f>
        <v>0.0928625</v>
      </c>
      <c r="AA56" s="0" t="n">
        <f aca="false">+Y56-X56</f>
        <v>0.215</v>
      </c>
      <c r="AB56" s="47" t="n">
        <f aca="false">IF(($AA56-$Z56-$AB$3)/2&lt;$AB$3,$AB$3,($AA56-$Z56-$AB$3)/2)</f>
        <v>0.05</v>
      </c>
      <c r="AC56" s="47" t="n">
        <f aca="false">IF(AA56&gt;Z56,(AA56-Z56),0)</f>
        <v>0.1221375</v>
      </c>
      <c r="AD56" s="48" t="n">
        <f aca="false">+AC56-AB56</f>
        <v>0.0721374999999998</v>
      </c>
      <c r="AE56" s="6" t="n">
        <f aca="false">10000*AD56</f>
        <v>721.374999999998</v>
      </c>
      <c r="AG56" s="6" t="n">
        <f aca="false">5000*(AC56)</f>
        <v>610.687499999999</v>
      </c>
      <c r="AS56" s="0" t="n">
        <v>0.24</v>
      </c>
      <c r="AT56" s="0" t="n">
        <f aca="false">+AT44</f>
        <v>0.15</v>
      </c>
      <c r="AU56" s="0" t="n">
        <f aca="false">+AS56+AT56</f>
        <v>0.39</v>
      </c>
    </row>
    <row r="57" customFormat="false" ht="12.75" hidden="false" customHeight="false" outlineLevel="0" collapsed="false">
      <c r="A57" s="51" t="n">
        <f aca="false">DATE(YEAR(A56+31),MONTH(A56+31),1)</f>
        <v>38443</v>
      </c>
      <c r="B57" s="0" t="n">
        <f aca="false">IF(A57&gt;=$A$3,IF(A57&lt;=$A$4,1,0),0)*(A58-A57)</f>
        <v>30</v>
      </c>
      <c r="C57" s="77"/>
      <c r="D57" s="53" t="n">
        <f aca="false">Feeds!G51</f>
        <v>0</v>
      </c>
      <c r="E57" s="54"/>
      <c r="F57" s="5" t="n">
        <f aca="false">$G$3*B57</f>
        <v>210000</v>
      </c>
      <c r="G57" s="55" t="n">
        <f aca="true">(1+W57/2)^(-2*($A57-TODAY())/365.25)</f>
        <v>2.98777166302217</v>
      </c>
      <c r="H57" s="76" t="n">
        <v>0.22</v>
      </c>
      <c r="I57" s="0" t="n">
        <f aca="false">IF(E57=0,D57,E57)</f>
        <v>0</v>
      </c>
      <c r="J57" s="0" t="n">
        <f aca="false">IF($I$4=0,H57,(I57+H57))</f>
        <v>0.22</v>
      </c>
      <c r="K57" s="0" t="n">
        <f aca="false">IF($K$5="OK",((I57*$I$5)+(J57*$J$5)),"*******")</f>
        <v>0.22</v>
      </c>
      <c r="M57" s="6" t="n">
        <f aca="false">F57*G57*K57</f>
        <v>138035.050831624</v>
      </c>
      <c r="N57" s="5" t="n">
        <f aca="false">F57*G57</f>
        <v>627432.049234656</v>
      </c>
      <c r="W57" s="69" t="n">
        <v>0.054144545054251</v>
      </c>
      <c r="X57" s="0" t="n">
        <v>2.245</v>
      </c>
      <c r="Y57" s="9" t="n">
        <v>2.35</v>
      </c>
      <c r="Z57" s="9" t="n">
        <f aca="false">X57*$Z$3</f>
        <v>0.0954125</v>
      </c>
      <c r="AA57" s="0" t="n">
        <f aca="false">+Y57-X57</f>
        <v>0.105</v>
      </c>
      <c r="AB57" s="47" t="n">
        <f aca="false">IF(($AA57-$Z57-$AB$3)/2&lt;$AB$3,$AB$3,($AA57-$Z57-$AB$3)/2)</f>
        <v>0.05</v>
      </c>
      <c r="AC57" s="47" t="n">
        <f aca="false">IF(AA57&gt;Z57,(AA57-Z57),0)</f>
        <v>0.00958749999999997</v>
      </c>
      <c r="AD57" s="48" t="n">
        <f aca="false">+AC57-AB57</f>
        <v>-0.0404125</v>
      </c>
      <c r="AE57" s="6" t="n">
        <f aca="false">10000*AD57</f>
        <v>-404.125</v>
      </c>
      <c r="AG57" s="6" t="n">
        <f aca="false">5000*(AC57)</f>
        <v>47.9374999999999</v>
      </c>
      <c r="AS57" s="0" t="n">
        <f aca="false">+AS45</f>
        <v>0.17</v>
      </c>
      <c r="AT57" s="0" t="n">
        <f aca="false">+AT45</f>
        <v>0.05</v>
      </c>
      <c r="AU57" s="0" t="n">
        <f aca="false">+AS57+AT57</f>
        <v>0.22</v>
      </c>
    </row>
    <row r="58" customFormat="false" ht="12.75" hidden="false" customHeight="false" outlineLevel="0" collapsed="false">
      <c r="A58" s="51" t="n">
        <f aca="false">DATE(YEAR(A57+31),MONTH(A57+31),1)</f>
        <v>38473</v>
      </c>
      <c r="B58" s="0" t="n">
        <f aca="false">IF(A58&gt;=$A$3,IF(A58&lt;=$A$4,1,0),0)*(A59-A58)</f>
        <v>31</v>
      </c>
      <c r="C58" s="77"/>
      <c r="D58" s="53" t="n">
        <f aca="false">Feeds!G52</f>
        <v>0</v>
      </c>
      <c r="E58" s="54"/>
      <c r="F58" s="5" t="n">
        <f aca="false">$G$3*B58</f>
        <v>217000</v>
      </c>
      <c r="G58" s="55" t="n">
        <f aca="true">(1+W58/2)^(-2*($A58-TODAY())/365.25)</f>
        <v>2.98282302295532</v>
      </c>
      <c r="H58" s="76" t="n">
        <v>0.22</v>
      </c>
      <c r="I58" s="0" t="n">
        <f aca="false">IF(E58=0,D58,E58)</f>
        <v>0</v>
      </c>
      <c r="J58" s="0" t="n">
        <f aca="false">IF($I$4=0,H58,(I58+H58))</f>
        <v>0.22</v>
      </c>
      <c r="K58" s="0" t="n">
        <f aca="false">IF($K$5="OK",((I58*$I$5)+(J58*$J$5)),"*******")</f>
        <v>0.22</v>
      </c>
      <c r="M58" s="6" t="n">
        <f aca="false">F58*G58*K58</f>
        <v>142399.971115887</v>
      </c>
      <c r="N58" s="5" t="n">
        <f aca="false">F58*G58</f>
        <v>647272.595981305</v>
      </c>
      <c r="W58" s="69" t="n">
        <v>0.0542819805041734</v>
      </c>
      <c r="X58" s="0" t="n">
        <v>2.225</v>
      </c>
      <c r="Y58" s="9" t="n">
        <v>2.38</v>
      </c>
      <c r="Z58" s="9" t="n">
        <f aca="false">X58*$Z$3</f>
        <v>0.0945625</v>
      </c>
      <c r="AA58" s="0" t="n">
        <f aca="false">+Y58-X58</f>
        <v>0.155</v>
      </c>
      <c r="AB58" s="47" t="n">
        <f aca="false">IF(($AA58-$Z58-$AB$3)/2&lt;$AB$3,$AB$3,($AA58-$Z58-$AB$3)/2)</f>
        <v>0.05</v>
      </c>
      <c r="AC58" s="47" t="n">
        <f aca="false">IF(AA58&gt;Z58,(AA58-Z58),0)</f>
        <v>0.0604374999999998</v>
      </c>
      <c r="AD58" s="48" t="n">
        <f aca="false">+AC58-AB58</f>
        <v>0.0104374999999998</v>
      </c>
      <c r="AE58" s="6" t="n">
        <f aca="false">10000*AD58</f>
        <v>104.374999999998</v>
      </c>
      <c r="AG58" s="6" t="n">
        <f aca="false">5000*(AC58)</f>
        <v>302.187499999999</v>
      </c>
      <c r="AS58" s="0" t="n">
        <f aca="false">+AS46</f>
        <v>0.17</v>
      </c>
      <c r="AT58" s="0" t="n">
        <f aca="false">+AT46</f>
        <v>0.05</v>
      </c>
      <c r="AU58" s="0" t="n">
        <f aca="false">+AS58+AT58</f>
        <v>0.22</v>
      </c>
    </row>
    <row r="59" customFormat="false" ht="12.75" hidden="false" customHeight="false" outlineLevel="0" collapsed="false">
      <c r="A59" s="51" t="n">
        <f aca="false">DATE(YEAR(A58+31),MONTH(A58+31),1)</f>
        <v>38504</v>
      </c>
      <c r="B59" s="0" t="n">
        <f aca="false">IF(A59&gt;=$A$3,IF(A59&lt;=$A$4,1,0),0)*(A60-A59)</f>
        <v>30</v>
      </c>
      <c r="C59" s="77"/>
      <c r="D59" s="53" t="n">
        <f aca="false">Feeds!G53</f>
        <v>0</v>
      </c>
      <c r="E59" s="54"/>
      <c r="F59" s="5" t="n">
        <f aca="false">$G$3*B59</f>
        <v>210000</v>
      </c>
      <c r="G59" s="55" t="n">
        <f aca="true">(1+W59/2)^(-2*($A59-TODAY())/365.25)</f>
        <v>2.97711776124448</v>
      </c>
      <c r="H59" s="76" t="n">
        <v>0.22</v>
      </c>
      <c r="I59" s="0" t="n">
        <f aca="false">IF(E59=0,D59,E59)</f>
        <v>0</v>
      </c>
      <c r="J59" s="0" t="n">
        <f aca="false">IF($I$4=0,H59,(I59+H59))</f>
        <v>0.22</v>
      </c>
      <c r="K59" s="0" t="n">
        <f aca="false">IF($K$5="OK",((I59*$I$5)+(J59*$J$5)),"*******")</f>
        <v>0.22</v>
      </c>
      <c r="M59" s="6" t="n">
        <f aca="false">F59*G59*K59</f>
        <v>137542.840569495</v>
      </c>
      <c r="N59" s="5" t="n">
        <f aca="false">F59*G59</f>
        <v>625194.729861341</v>
      </c>
      <c r="W59" s="69" t="n">
        <v>0.0544149825584777</v>
      </c>
      <c r="X59" s="0" t="n">
        <v>2.225</v>
      </c>
      <c r="Y59" s="9" t="n">
        <v>2.38</v>
      </c>
      <c r="Z59" s="9" t="n">
        <f aca="false">X59*$Z$3</f>
        <v>0.0945625</v>
      </c>
      <c r="AA59" s="0" t="n">
        <f aca="false">+Y59-X59</f>
        <v>0.155</v>
      </c>
      <c r="AB59" s="47" t="n">
        <f aca="false">IF(($AA59-$Z59-$AB$3)/2&lt;$AB$3,$AB$3,($AA59-$Z59-$AB$3)/2)</f>
        <v>0.05</v>
      </c>
      <c r="AC59" s="47" t="n">
        <f aca="false">IF(AA59&gt;Z59,(AA59-Z59),0)</f>
        <v>0.0604374999999998</v>
      </c>
      <c r="AD59" s="48" t="n">
        <f aca="false">+AC59-AB59</f>
        <v>0.0104374999999998</v>
      </c>
      <c r="AE59" s="6" t="n">
        <f aca="false">10000*AD59</f>
        <v>104.374999999998</v>
      </c>
      <c r="AG59" s="6" t="n">
        <f aca="false">5000*(AC59)</f>
        <v>302.187499999999</v>
      </c>
      <c r="AS59" s="0" t="n">
        <f aca="false">+AS47</f>
        <v>0.17</v>
      </c>
      <c r="AT59" s="0" t="n">
        <f aca="false">+AT47</f>
        <v>0.05</v>
      </c>
      <c r="AU59" s="0" t="n">
        <f aca="false">+AS59+AT59</f>
        <v>0.22</v>
      </c>
    </row>
    <row r="60" customFormat="false" ht="12.75" hidden="false" customHeight="false" outlineLevel="0" collapsed="false">
      <c r="A60" s="51" t="n">
        <f aca="false">DATE(YEAR(A59+31),MONTH(A59+31),1)</f>
        <v>38534</v>
      </c>
      <c r="B60" s="0" t="n">
        <f aca="false">IF(A60&gt;=$A$3,IF(A60&lt;=$A$4,1,0),0)*(A61-A60)</f>
        <v>31</v>
      </c>
      <c r="C60" s="77"/>
      <c r="D60" s="53" t="n">
        <f aca="false">Feeds!G54</f>
        <v>0</v>
      </c>
      <c r="E60" s="54"/>
      <c r="F60" s="5" t="n">
        <f aca="false">$G$3*B60</f>
        <v>217000</v>
      </c>
      <c r="G60" s="55" t="n">
        <f aca="true">(1+W60/2)^(-2*($A60-TODAY())/365.25)</f>
        <v>2.97205501601106</v>
      </c>
      <c r="H60" s="76" t="n">
        <v>0.22</v>
      </c>
      <c r="I60" s="0" t="n">
        <f aca="false">IF(E60=0,D60,E60)</f>
        <v>0</v>
      </c>
      <c r="J60" s="0" t="n">
        <f aca="false">IF($I$4=0,H60,(I60+H60))</f>
        <v>0.22</v>
      </c>
      <c r="K60" s="0" t="n">
        <f aca="false">IF($K$5="OK",((I60*$I$5)+(J60*$J$5)),"*******")</f>
        <v>0.22</v>
      </c>
      <c r="M60" s="6" t="n">
        <f aca="false">F60*G60*K60</f>
        <v>141885.906464368</v>
      </c>
      <c r="N60" s="5" t="n">
        <f aca="false">F60*G60</f>
        <v>644935.9384744</v>
      </c>
      <c r="W60" s="69" t="n">
        <v>0.0545524180207839</v>
      </c>
      <c r="X60" s="0" t="n">
        <v>2.225</v>
      </c>
      <c r="Y60" s="9" t="n">
        <v>2.38</v>
      </c>
      <c r="Z60" s="9" t="n">
        <f aca="false">X60*$Z$3</f>
        <v>0.0945625</v>
      </c>
      <c r="AA60" s="0" t="n">
        <f aca="false">+Y60-X60</f>
        <v>0.155</v>
      </c>
      <c r="AB60" s="47" t="n">
        <f aca="false">IF(($AA60-$Z60-$AB$3)/2&lt;$AB$3,$AB$3,($AA60-$Z60-$AB$3)/2)</f>
        <v>0.05</v>
      </c>
      <c r="AC60" s="47" t="n">
        <f aca="false">IF(AA60&gt;Z60,(AA60-Z60),0)</f>
        <v>0.0604374999999998</v>
      </c>
      <c r="AD60" s="48" t="n">
        <f aca="false">+AC60-AB60</f>
        <v>0.0104374999999998</v>
      </c>
      <c r="AE60" s="6" t="n">
        <f aca="false">10000*AD60</f>
        <v>104.374999999998</v>
      </c>
      <c r="AG60" s="6" t="n">
        <f aca="false">5000*(AC60)</f>
        <v>302.187499999999</v>
      </c>
      <c r="AS60" s="0" t="n">
        <f aca="false">+AS48</f>
        <v>0.17</v>
      </c>
      <c r="AT60" s="0" t="n">
        <f aca="false">+AT48</f>
        <v>0.05</v>
      </c>
      <c r="AU60" s="0" t="n">
        <f aca="false">+AS60+AT60</f>
        <v>0.22</v>
      </c>
    </row>
    <row r="61" customFormat="false" ht="12.75" hidden="false" customHeight="false" outlineLevel="0" collapsed="false">
      <c r="A61" s="51" t="n">
        <f aca="false">DATE(YEAR(A60+31),MONTH(A60+31),1)</f>
        <v>38565</v>
      </c>
      <c r="B61" s="0" t="n">
        <f aca="false">IF(A61&gt;=$A$3,IF(A61&lt;=$A$4,1,0),0)*(A62-A61)</f>
        <v>31</v>
      </c>
      <c r="C61" s="77"/>
      <c r="D61" s="53" t="n">
        <f aca="false">Feeds!G55</f>
        <v>0</v>
      </c>
      <c r="E61" s="54"/>
      <c r="F61" s="5" t="n">
        <f aca="false">$G$3*B61</f>
        <v>217000</v>
      </c>
      <c r="G61" s="55" t="n">
        <f aca="true">(1+W61/2)^(-2*($A61-TODAY())/365.25)</f>
        <v>2.96649688827833</v>
      </c>
      <c r="H61" s="76" t="n">
        <v>0.22</v>
      </c>
      <c r="I61" s="0" t="n">
        <f aca="false">IF(E61=0,D61,E61)</f>
        <v>0</v>
      </c>
      <c r="J61" s="0" t="n">
        <f aca="false">IF($I$4=0,H61,(I61+H61))</f>
        <v>0.22</v>
      </c>
      <c r="K61" s="0" t="n">
        <f aca="false">IF($K$5="OK",((I61*$I$5)+(J61*$J$5)),"*******")</f>
        <v>0.22</v>
      </c>
      <c r="M61" s="6" t="n">
        <f aca="false">F61*G61*K61</f>
        <v>141620.561446408</v>
      </c>
      <c r="N61" s="5" t="n">
        <f aca="false">F61*G61</f>
        <v>643729.824756398</v>
      </c>
      <c r="W61" s="69" t="n">
        <v>0.0546898534893825</v>
      </c>
      <c r="X61" s="0" t="n">
        <v>2.225</v>
      </c>
      <c r="Y61" s="9" t="n">
        <v>2.38</v>
      </c>
      <c r="Z61" s="9" t="n">
        <f aca="false">X61*$Z$3</f>
        <v>0.0945625</v>
      </c>
      <c r="AA61" s="0" t="n">
        <f aca="false">+Y61-X61</f>
        <v>0.155</v>
      </c>
      <c r="AB61" s="47" t="n">
        <f aca="false">IF(($AA61-$Z61-$AB$3)/2&lt;$AB$3,$AB$3,($AA61-$Z61-$AB$3)/2)</f>
        <v>0.05</v>
      </c>
      <c r="AC61" s="47" t="n">
        <f aca="false">IF(AA61&gt;Z61,(AA61-Z61),0)</f>
        <v>0.0604374999999998</v>
      </c>
      <c r="AD61" s="48" t="n">
        <f aca="false">+AC61-AB61</f>
        <v>0.0104374999999998</v>
      </c>
      <c r="AE61" s="6" t="n">
        <f aca="false">10000*AD61</f>
        <v>104.374999999998</v>
      </c>
      <c r="AG61" s="6" t="n">
        <f aca="false">5000*(AC61)</f>
        <v>302.187499999999</v>
      </c>
      <c r="AS61" s="0" t="n">
        <f aca="false">+AS49</f>
        <v>0.17</v>
      </c>
      <c r="AT61" s="0" t="n">
        <f aca="false">+AT49</f>
        <v>0.05</v>
      </c>
      <c r="AU61" s="0" t="n">
        <f aca="false">+AS61+AT61</f>
        <v>0.22</v>
      </c>
    </row>
    <row r="62" customFormat="false" ht="12.75" hidden="false" customHeight="false" outlineLevel="0" collapsed="false">
      <c r="A62" s="51" t="n">
        <f aca="false">DATE(YEAR(A61+31),MONTH(A61+31),1)</f>
        <v>38596</v>
      </c>
      <c r="B62" s="0" t="n">
        <f aca="false">IF(A62&gt;=$A$3,IF(A62&lt;=$A$4,1,0),0)*(A63-A62)</f>
        <v>30</v>
      </c>
      <c r="C62" s="77"/>
      <c r="D62" s="53" t="n">
        <f aca="false">Feeds!G56</f>
        <v>0</v>
      </c>
      <c r="E62" s="54"/>
      <c r="F62" s="5" t="n">
        <f aca="false">$G$3*B62</f>
        <v>210000</v>
      </c>
      <c r="G62" s="55" t="n">
        <f aca="true">(1+W62/2)^(-2*($A62-TODAY())/365.25)</f>
        <v>2.96062498987555</v>
      </c>
      <c r="H62" s="76" t="n">
        <v>0.22</v>
      </c>
      <c r="I62" s="0" t="n">
        <f aca="false">IF(E62=0,D62,E62)</f>
        <v>0</v>
      </c>
      <c r="J62" s="0" t="n">
        <f aca="false">IF($I$4=0,H62,(I62+H62))</f>
        <v>0.22</v>
      </c>
      <c r="K62" s="0" t="n">
        <f aca="false">IF($K$5="OK",((I62*$I$5)+(J62*$J$5)),"*******")</f>
        <v>0.22</v>
      </c>
      <c r="M62" s="6" t="n">
        <f aca="false">F62*G62*K62</f>
        <v>136780.87453225</v>
      </c>
      <c r="N62" s="5" t="n">
        <f aca="false">F62*G62</f>
        <v>621731.247873865</v>
      </c>
      <c r="W62" s="69" t="n">
        <v>0.0548228555617594</v>
      </c>
      <c r="X62" s="0" t="n">
        <v>2.1</v>
      </c>
      <c r="Y62" s="9" t="n">
        <v>2.18</v>
      </c>
      <c r="Z62" s="9" t="n">
        <f aca="false">X62*$Z$3</f>
        <v>0.08925</v>
      </c>
      <c r="AA62" s="0" t="n">
        <f aca="false">+Y62-X62</f>
        <v>0.0800000000000001</v>
      </c>
      <c r="AB62" s="47" t="n">
        <f aca="false">IF(($AA62-$Z62-$AB$3)/2&lt;$AB$3,$AB$3,($AA62-$Z62-$AB$3)/2)</f>
        <v>0.05</v>
      </c>
      <c r="AC62" s="47" t="n">
        <f aca="false">IF(AA62&gt;Z62,(AA62-Z62),0)</f>
        <v>0</v>
      </c>
      <c r="AD62" s="48" t="n">
        <f aca="false">+AC62-AB62</f>
        <v>-0.05</v>
      </c>
      <c r="AE62" s="6" t="n">
        <f aca="false">10000*AD62</f>
        <v>-500</v>
      </c>
      <c r="AG62" s="6" t="n">
        <f aca="false">5000*(AC62)</f>
        <v>0</v>
      </c>
      <c r="AS62" s="0" t="n">
        <f aca="false">+AS50</f>
        <v>0.17</v>
      </c>
      <c r="AT62" s="0" t="n">
        <f aca="false">+AT50</f>
        <v>0.05</v>
      </c>
      <c r="AU62" s="0" t="n">
        <f aca="false">+AS62+AT62</f>
        <v>0.22</v>
      </c>
    </row>
    <row r="63" customFormat="false" ht="12.75" hidden="false" customHeight="false" outlineLevel="0" collapsed="false">
      <c r="A63" s="51" t="n">
        <f aca="false">DATE(YEAR(A62+31),MONTH(A62+31),1)</f>
        <v>38626</v>
      </c>
      <c r="B63" s="0" t="n">
        <f aca="false">IF(A63&gt;=$A$3,IF(A63&lt;=$A$4,1,0),0)*(A64-A63)</f>
        <v>31</v>
      </c>
      <c r="C63" s="77"/>
      <c r="D63" s="53" t="n">
        <f aca="false">Feeds!G57</f>
        <v>0</v>
      </c>
      <c r="E63" s="54"/>
      <c r="F63" s="5" t="n">
        <f aca="false">$G$3*B63</f>
        <v>217000</v>
      </c>
      <c r="G63" s="55" t="n">
        <f aca="true">(1+W63/2)^(-2*($A63-TODAY())/365.25)</f>
        <v>2.95539274580705</v>
      </c>
      <c r="H63" s="76" t="n">
        <v>0.22</v>
      </c>
      <c r="I63" s="0" t="n">
        <f aca="false">IF(E63=0,D63,E63)</f>
        <v>0</v>
      </c>
      <c r="J63" s="0" t="n">
        <f aca="false">IF($I$4=0,H63,(I63+H63))</f>
        <v>0.22</v>
      </c>
      <c r="K63" s="0" t="n">
        <f aca="false">IF($K$5="OK",((I63*$I$5)+(J63*$J$5)),"*******")</f>
        <v>0.22</v>
      </c>
      <c r="M63" s="6" t="n">
        <f aca="false">F63*G63*K63</f>
        <v>141090.449684828</v>
      </c>
      <c r="N63" s="5" t="n">
        <f aca="false">F63*G63</f>
        <v>641320.225840129</v>
      </c>
      <c r="W63" s="69" t="n">
        <v>0.0549602910427387</v>
      </c>
      <c r="X63" s="0" t="n">
        <v>2.14</v>
      </c>
      <c r="Y63" s="9" t="n">
        <v>2.22</v>
      </c>
      <c r="Z63" s="9" t="n">
        <f aca="false">X63*$Z$3</f>
        <v>0.09095</v>
      </c>
      <c r="AA63" s="0" t="n">
        <f aca="false">+Y63-X63</f>
        <v>0.0800000000000001</v>
      </c>
      <c r="AB63" s="47" t="n">
        <f aca="false">IF(($AA63-$Z63-$AB$3)/2&lt;$AB$3,$AB$3,($AA63-$Z63-$AB$3)/2)</f>
        <v>0.05</v>
      </c>
      <c r="AC63" s="47" t="n">
        <f aca="false">IF(AA63&gt;Z63,(AA63-Z63),0)</f>
        <v>0</v>
      </c>
      <c r="AD63" s="48" t="n">
        <f aca="false">+AC63-AB63</f>
        <v>-0.05</v>
      </c>
      <c r="AE63" s="6" t="n">
        <f aca="false">10000*AD63</f>
        <v>-500</v>
      </c>
      <c r="AG63" s="6" t="n">
        <f aca="false">5000*(AC63)</f>
        <v>0</v>
      </c>
      <c r="AS63" s="0" t="n">
        <f aca="false">+AS51</f>
        <v>0.17</v>
      </c>
      <c r="AT63" s="0" t="n">
        <f aca="false">+AT51</f>
        <v>0.05</v>
      </c>
      <c r="AU63" s="0" t="n">
        <f aca="false">+AS63+AT63</f>
        <v>0.22</v>
      </c>
    </row>
    <row r="64" customFormat="false" ht="12.75" hidden="false" customHeight="false" outlineLevel="0" collapsed="false">
      <c r="A64" s="51" t="n">
        <f aca="false">DATE(YEAR(A63+31),MONTH(A63+31),1)</f>
        <v>38657</v>
      </c>
      <c r="B64" s="0" t="n">
        <f aca="false">IF(A64&gt;=$A$3,IF(A64&lt;=$A$4,1,0),0)*(A65-A64)</f>
        <v>30</v>
      </c>
      <c r="C64" s="77"/>
      <c r="D64" s="53" t="n">
        <f aca="false">Feeds!G58</f>
        <v>0</v>
      </c>
      <c r="E64" s="78"/>
      <c r="F64" s="5" t="n">
        <f aca="false">$G$3*B64</f>
        <v>210000</v>
      </c>
      <c r="G64" s="55" t="n">
        <f aca="true">(1+W64/2)^(-2*($A64-TODAY())/365.25)</f>
        <v>2.94941216529065</v>
      </c>
      <c r="H64" s="76" t="n">
        <v>0.4</v>
      </c>
      <c r="I64" s="0" t="n">
        <f aca="false">IF(E64=0,D64,E64)</f>
        <v>0</v>
      </c>
      <c r="J64" s="0" t="n">
        <f aca="false">IF($I$4=0,H64,(I64+H64))</f>
        <v>0.4</v>
      </c>
      <c r="K64" s="0" t="n">
        <f aca="false">IF($K$5="OK",((I64*$I$5)+(J64*$J$5)),"*******")</f>
        <v>0.4</v>
      </c>
      <c r="M64" s="6" t="n">
        <f aca="false">F64*G64*K64</f>
        <v>247750.621884415</v>
      </c>
      <c r="N64" s="5" t="n">
        <f aca="false">F64*G64</f>
        <v>619376.554711037</v>
      </c>
      <c r="W64" s="69" t="n">
        <v>0.0550932931270962</v>
      </c>
      <c r="X64" s="0" t="n">
        <v>2.125</v>
      </c>
      <c r="Y64" s="9" t="n">
        <v>2.26</v>
      </c>
      <c r="Z64" s="9" t="n">
        <f aca="false">X64*$Z$3</f>
        <v>0.0903125</v>
      </c>
      <c r="AA64" s="0" t="n">
        <f aca="false">+Y64-X64</f>
        <v>0.135</v>
      </c>
      <c r="AB64" s="47" t="n">
        <f aca="false">IF(($AA64-$Z64-$AB$3)/2&lt;$AB$3,$AB$3,($AA64-$Z64-$AB$3)/2)</f>
        <v>0.05</v>
      </c>
      <c r="AC64" s="47" t="n">
        <f aca="false">IF(AA64&gt;Z64,(AA64-Z64),0)</f>
        <v>0.0446874999999998</v>
      </c>
      <c r="AD64" s="48" t="n">
        <f aca="false">+AC64-AB64</f>
        <v>-0.00531250000000022</v>
      </c>
      <c r="AE64" s="6" t="n">
        <f aca="false">10000*AD64</f>
        <v>-53.1250000000022</v>
      </c>
      <c r="AG64" s="6" t="n">
        <f aca="false">5000*(AC64)</f>
        <v>223.437499999999</v>
      </c>
      <c r="AS64" s="0" t="n">
        <v>0.25</v>
      </c>
      <c r="AT64" s="0" t="n">
        <f aca="false">+AT52</f>
        <v>0.15</v>
      </c>
      <c r="AU64" s="0" t="n">
        <f aca="false">+AS64+AT64</f>
        <v>0.4</v>
      </c>
    </row>
    <row r="65" customFormat="false" ht="12.75" hidden="false" customHeight="false" outlineLevel="0" collapsed="false">
      <c r="A65" s="51" t="n">
        <f aca="false">DATE(YEAR(A64+31),MONTH(A64+31),1)</f>
        <v>38687</v>
      </c>
      <c r="B65" s="0" t="n">
        <f aca="false">IF(A65&gt;=$A$3,IF(A65&lt;=$A$4,1,0),0)*(A66-A65)</f>
        <v>31</v>
      </c>
      <c r="C65" s="77"/>
      <c r="D65" s="53" t="n">
        <f aca="false">Feeds!G59</f>
        <v>0</v>
      </c>
      <c r="E65" s="78"/>
      <c r="F65" s="5" t="n">
        <f aca="false">$G$3*B65</f>
        <v>217000</v>
      </c>
      <c r="G65" s="55" t="n">
        <f aca="true">(1+W65/2)^(-2*($A65-TODAY())/365.25)</f>
        <v>2.94406929188386</v>
      </c>
      <c r="H65" s="76" t="n">
        <v>0.4</v>
      </c>
      <c r="I65" s="0" t="n">
        <f aca="false">IF(E65=0,D65,E65)</f>
        <v>0</v>
      </c>
      <c r="J65" s="0" t="n">
        <f aca="false">IF($I$4=0,H65,(I65+H65))</f>
        <v>0.4</v>
      </c>
      <c r="K65" s="0" t="n">
        <f aca="false">IF($K$5="OK",((I65*$I$5)+(J65*$J$5)),"*******")</f>
        <v>0.4</v>
      </c>
      <c r="M65" s="6" t="n">
        <f aca="false">F65*G65*K65</f>
        <v>255545.214535519</v>
      </c>
      <c r="N65" s="5" t="n">
        <f aca="false">F65*G65</f>
        <v>638863.036338799</v>
      </c>
      <c r="W65" s="69" t="n">
        <v>0.0552307286204554</v>
      </c>
      <c r="X65" s="0" t="n">
        <v>2.13</v>
      </c>
      <c r="Y65" s="9" t="n">
        <v>2.265</v>
      </c>
      <c r="Z65" s="9" t="n">
        <f aca="false">X65*$Z$3</f>
        <v>0.090525</v>
      </c>
      <c r="AA65" s="0" t="n">
        <f aca="false">+Y65-X65</f>
        <v>0.135</v>
      </c>
      <c r="AB65" s="47" t="n">
        <f aca="false">IF(($AA65-$Z65-$AB$3)/2&lt;$AB$3,$AB$3,($AA65-$Z65-$AB$3)/2)</f>
        <v>0.05</v>
      </c>
      <c r="AC65" s="47" t="n">
        <f aca="false">IF(AA65&gt;Z65,(AA65-Z65),0)</f>
        <v>0.0444750000000002</v>
      </c>
      <c r="AD65" s="48" t="n">
        <f aca="false">+AC65-AB65</f>
        <v>-0.00552499999999978</v>
      </c>
      <c r="AE65" s="6" t="n">
        <f aca="false">10000*AD65</f>
        <v>-55.2499999999978</v>
      </c>
      <c r="AG65" s="6" t="n">
        <f aca="false">5000*(AC65)</f>
        <v>222.375000000001</v>
      </c>
      <c r="AS65" s="0" t="n">
        <v>0.25</v>
      </c>
      <c r="AT65" s="0" t="n">
        <f aca="false">+AT53</f>
        <v>0.15</v>
      </c>
      <c r="AU65" s="0" t="n">
        <f aca="false">+AS65+AT65</f>
        <v>0.4</v>
      </c>
    </row>
    <row r="66" customFormat="false" ht="12.75" hidden="false" customHeight="false" outlineLevel="0" collapsed="false">
      <c r="A66" s="51" t="n">
        <f aca="false">DATE(YEAR(A65+31),MONTH(A65+31),1)</f>
        <v>38718</v>
      </c>
      <c r="B66" s="0" t="n">
        <f aca="false">IF(A66&gt;=$A$3,IF(A66&lt;=$A$4,1,0),0)*(A67-A66)</f>
        <v>31</v>
      </c>
      <c r="C66" s="77"/>
      <c r="D66" s="53" t="n">
        <f aca="false">Feeds!G60</f>
        <v>0</v>
      </c>
      <c r="E66" s="78"/>
      <c r="F66" s="5" t="n">
        <f aca="false">$G$3*B66</f>
        <v>217000</v>
      </c>
      <c r="G66" s="55" t="n">
        <f aca="true">(1+W66/2)^(-2*($A66-TODAY())/365.25)</f>
        <v>2.93823162850319</v>
      </c>
      <c r="H66" s="76" t="n">
        <v>0.4</v>
      </c>
      <c r="I66" s="0" t="n">
        <f aca="false">IF(E66=0,D66,E66)</f>
        <v>0</v>
      </c>
      <c r="J66" s="0" t="n">
        <f aca="false">IF($I$4=0,H66,(I66+H66))</f>
        <v>0.4</v>
      </c>
      <c r="K66" s="0" t="n">
        <f aca="false">IF($K$5="OK",((I66*$I$5)+(J66*$J$5)),"*******")</f>
        <v>0.4</v>
      </c>
      <c r="M66" s="6" t="n">
        <f aca="false">F66*G66*K66</f>
        <v>255038.505354077</v>
      </c>
      <c r="N66" s="5" t="n">
        <f aca="false">F66*G66</f>
        <v>637596.263385192</v>
      </c>
      <c r="W66" s="69" t="n">
        <v>0.0553681641201051</v>
      </c>
      <c r="X66" s="0" t="n">
        <v>2.13</v>
      </c>
      <c r="Y66" s="9" t="n">
        <v>2.265</v>
      </c>
      <c r="Z66" s="9" t="n">
        <f aca="false">X66*$Z$3</f>
        <v>0.090525</v>
      </c>
      <c r="AA66" s="0" t="n">
        <f aca="false">+Y66-X66</f>
        <v>0.135</v>
      </c>
      <c r="AB66" s="47" t="n">
        <f aca="false">IF(($AA66-$Z66-$AB$3)/2&lt;$AB$3,$AB$3,($AA66-$Z66-$AB$3)/2)</f>
        <v>0.05</v>
      </c>
      <c r="AC66" s="47" t="n">
        <f aca="false">IF(AA66&gt;Z66,(AA66-Z66),0)</f>
        <v>0.0444750000000002</v>
      </c>
      <c r="AD66" s="48" t="n">
        <f aca="false">+AC66-AB66</f>
        <v>-0.00552499999999978</v>
      </c>
      <c r="AE66" s="6" t="n">
        <f aca="false">10000*AD66</f>
        <v>-55.2499999999978</v>
      </c>
      <c r="AG66" s="6" t="n">
        <f aca="false">5000*(AC66)</f>
        <v>222.375000000001</v>
      </c>
      <c r="AS66" s="0" t="n">
        <v>0.25</v>
      </c>
      <c r="AT66" s="0" t="n">
        <f aca="false">+AT54</f>
        <v>0.15</v>
      </c>
      <c r="AU66" s="0" t="n">
        <f aca="false">+AS66+AT66</f>
        <v>0.4</v>
      </c>
    </row>
    <row r="67" customFormat="false" ht="12.75" hidden="false" customHeight="false" outlineLevel="0" collapsed="false">
      <c r="A67" s="51" t="n">
        <f aca="false">DATE(YEAR(A66+31),MONTH(A66+31),1)</f>
        <v>38749</v>
      </c>
      <c r="B67" s="0" t="n">
        <f aca="false">IF(A67&gt;=$A$3,IF(A67&lt;=$A$4,1,0),0)*(A68-A67)</f>
        <v>28</v>
      </c>
      <c r="C67" s="77"/>
      <c r="D67" s="53" t="n">
        <f aca="false">Feeds!G61</f>
        <v>0</v>
      </c>
      <c r="E67" s="78"/>
      <c r="F67" s="5" t="n">
        <f aca="false">$G$3*B67</f>
        <v>196000</v>
      </c>
      <c r="G67" s="55" t="n">
        <f aca="true">(1+W67/2)^(-2*($A67-TODAY())/365.25)</f>
        <v>2.93159289567484</v>
      </c>
      <c r="H67" s="76" t="n">
        <v>0.4</v>
      </c>
      <c r="I67" s="0" t="n">
        <f aca="false">IF(E67=0,D67,E67)</f>
        <v>0</v>
      </c>
      <c r="J67" s="0" t="n">
        <f aca="false">IF($I$4=0,H67,(I67+H67))</f>
        <v>0.4</v>
      </c>
      <c r="K67" s="0" t="n">
        <f aca="false">IF($K$5="OK",((I67*$I$5)+(J67*$J$5)),"*******")</f>
        <v>0.4</v>
      </c>
      <c r="M67" s="6" t="n">
        <f aca="false">F67*G67*K67</f>
        <v>229836.883020907</v>
      </c>
      <c r="N67" s="5" t="n">
        <f aca="false">F67*G67</f>
        <v>574592.207552269</v>
      </c>
      <c r="W67" s="69" t="n">
        <v>0.0554922994155174</v>
      </c>
      <c r="X67" s="0" t="n">
        <v>2.13</v>
      </c>
      <c r="Y67" s="9" t="n">
        <v>2.265</v>
      </c>
      <c r="Z67" s="9" t="n">
        <f aca="false">X67*$Z$3</f>
        <v>0.090525</v>
      </c>
      <c r="AA67" s="0" t="n">
        <f aca="false">+Y67-X67</f>
        <v>0.135</v>
      </c>
      <c r="AB67" s="47" t="n">
        <f aca="false">IF(($AA67-$Z67-$AB$3)/2&lt;$AB$3,$AB$3,($AA67-$Z67-$AB$3)/2)</f>
        <v>0.05</v>
      </c>
      <c r="AC67" s="47" t="n">
        <f aca="false">IF(AA67&gt;Z67,(AA67-Z67),0)</f>
        <v>0.0444750000000002</v>
      </c>
      <c r="AD67" s="48" t="n">
        <f aca="false">+AC67-AB67</f>
        <v>-0.00552499999999978</v>
      </c>
      <c r="AE67" s="6" t="n">
        <f aca="false">10000*AD67</f>
        <v>-55.2499999999978</v>
      </c>
      <c r="AG67" s="6" t="n">
        <f aca="false">5000*(AC67)</f>
        <v>222.375000000001</v>
      </c>
      <c r="AS67" s="0" t="n">
        <v>0.25</v>
      </c>
      <c r="AT67" s="0" t="n">
        <f aca="false">+AT55</f>
        <v>0.15</v>
      </c>
      <c r="AU67" s="0" t="n">
        <f aca="false">+AS67+AT67</f>
        <v>0.4</v>
      </c>
    </row>
    <row r="68" customFormat="false" ht="12.75" hidden="false" customHeight="false" outlineLevel="0" collapsed="false">
      <c r="A68" s="51" t="n">
        <f aca="false">DATE(YEAR(A67+31),MONTH(A67+31),1)</f>
        <v>38777</v>
      </c>
      <c r="B68" s="0" t="n">
        <f aca="false">IF(A68&gt;=$A$3,IF(A68&lt;=$A$4,1,0),0)*(A69-A68)</f>
        <v>31</v>
      </c>
      <c r="C68" s="77"/>
      <c r="D68" s="53" t="n">
        <f aca="false">Feeds!G62</f>
        <v>0</v>
      </c>
      <c r="E68" s="78"/>
      <c r="F68" s="5" t="n">
        <f aca="false">$G$3*B68</f>
        <v>217000</v>
      </c>
      <c r="G68" s="55" t="n">
        <f aca="true">(1+W68/2)^(-2*($A68-TODAY())/365.25)</f>
        <v>2.92519346311672</v>
      </c>
      <c r="H68" s="76" t="n">
        <v>0.4</v>
      </c>
      <c r="I68" s="0" t="n">
        <f aca="false">IF(E68=0,D68,E68)</f>
        <v>0</v>
      </c>
      <c r="J68" s="0" t="n">
        <f aca="false">IF($I$4=0,H68,(I68+H68))</f>
        <v>0.4</v>
      </c>
      <c r="K68" s="0" t="n">
        <f aca="false">IF($K$5="OK",((I68*$I$5)+(J68*$J$5)),"*******")</f>
        <v>0.4</v>
      </c>
      <c r="M68" s="6" t="n">
        <f aca="false">F68*G68*K68</f>
        <v>253906.792598531</v>
      </c>
      <c r="N68" s="5" t="n">
        <f aca="false">F68*G68</f>
        <v>634766.981496328</v>
      </c>
      <c r="W68" s="69" t="n">
        <v>0.055597885285259</v>
      </c>
      <c r="X68" s="0" t="n">
        <v>2.125</v>
      </c>
      <c r="Y68" s="9" t="n">
        <v>2.27</v>
      </c>
      <c r="Z68" s="9" t="n">
        <f aca="false">X68*$Z$3</f>
        <v>0.0903125</v>
      </c>
      <c r="AA68" s="0" t="n">
        <f aca="false">+Y68-X68</f>
        <v>0.145</v>
      </c>
      <c r="AB68" s="47" t="n">
        <f aca="false">IF(($AA68-$Z68-$AB$3)/2&lt;$AB$3,$AB$3,($AA68-$Z68-$AB$3)/2)</f>
        <v>0.05</v>
      </c>
      <c r="AC68" s="47" t="n">
        <f aca="false">IF(AA68&gt;Z68,(AA68-Z68),0)</f>
        <v>0.0546875</v>
      </c>
      <c r="AD68" s="48" t="n">
        <f aca="false">+AC68-AB68</f>
        <v>0.00468750000000001</v>
      </c>
      <c r="AE68" s="6" t="n">
        <f aca="false">10000*AD68</f>
        <v>46.8750000000001</v>
      </c>
      <c r="AG68" s="6" t="n">
        <f aca="false">5000*(AC68)</f>
        <v>273.4375</v>
      </c>
      <c r="AS68" s="0" t="n">
        <v>0.25</v>
      </c>
      <c r="AT68" s="0" t="n">
        <f aca="false">+AT56</f>
        <v>0.15</v>
      </c>
      <c r="AU68" s="0" t="n">
        <f aca="false">+AS68+AT68</f>
        <v>0.4</v>
      </c>
    </row>
    <row r="69" customFormat="false" ht="12.75" hidden="false" customHeight="false" outlineLevel="0" collapsed="false">
      <c r="A69" s="51" t="n">
        <f aca="false">DATE(YEAR(A68+31),MONTH(A68+31),1)</f>
        <v>38808</v>
      </c>
      <c r="B69" s="0" t="n">
        <f aca="false">IF(A69&gt;=$A$3,IF(A69&lt;=$A$4,1,0),0)*(A70-A69)</f>
        <v>30</v>
      </c>
      <c r="C69" s="77"/>
      <c r="D69" s="53" t="n">
        <f aca="false">Feeds!G63</f>
        <v>0</v>
      </c>
      <c r="E69" s="78"/>
      <c r="F69" s="5" t="n">
        <f aca="false">$G$3*B69</f>
        <v>210000</v>
      </c>
      <c r="G69" s="55" t="n">
        <f aca="true">(1+W69/2)^(-2*($A69-TODAY())/365.25)</f>
        <v>2.91617995427275</v>
      </c>
      <c r="H69" s="76" t="n">
        <v>0.22</v>
      </c>
      <c r="I69" s="0" t="n">
        <f aca="false">IF(E69=0,D69,E69)</f>
        <v>0</v>
      </c>
      <c r="J69" s="0" t="n">
        <f aca="false">IF($I$4=0,H69,(I69+H69))</f>
        <v>0.22</v>
      </c>
      <c r="K69" s="0" t="n">
        <f aca="false">IF($K$5="OK",((I69*$I$5)+(J69*$J$5)),"*******")</f>
        <v>0.22</v>
      </c>
      <c r="M69" s="6" t="n">
        <f aca="false">F69*G69*K69</f>
        <v>134727.513887401</v>
      </c>
      <c r="N69" s="5" t="n">
        <f aca="false">F69*G69</f>
        <v>612397.790397278</v>
      </c>
      <c r="W69" s="69" t="n">
        <v>0.0556805984880877</v>
      </c>
      <c r="X69" s="0" t="n">
        <v>2.195</v>
      </c>
      <c r="Y69" s="9" t="n">
        <v>2.32</v>
      </c>
      <c r="Z69" s="9" t="n">
        <f aca="false">X69*$Z$3</f>
        <v>0.0932875</v>
      </c>
      <c r="AA69" s="0" t="n">
        <f aca="false">+Y69-X69</f>
        <v>0.125</v>
      </c>
      <c r="AB69" s="47" t="n">
        <f aca="false">IF(($AA69-$Z69-$AB$3)/2&lt;$AB$3,$AB$3,($AA69-$Z69-$AB$3)/2)</f>
        <v>0.05</v>
      </c>
      <c r="AC69" s="47" t="n">
        <f aca="false">IF(AA69&gt;Z69,(AA69-Z69),0)</f>
        <v>0.0317125</v>
      </c>
      <c r="AD69" s="48" t="n">
        <f aca="false">+AC69-AB69</f>
        <v>-0.0182875</v>
      </c>
      <c r="AE69" s="6" t="n">
        <f aca="false">10000*AD69</f>
        <v>-182.875</v>
      </c>
      <c r="AG69" s="6" t="n">
        <f aca="false">5000*(AC69)</f>
        <v>158.5625</v>
      </c>
      <c r="AS69" s="0" t="n">
        <f aca="false">+AS57</f>
        <v>0.17</v>
      </c>
      <c r="AT69" s="0" t="n">
        <f aca="false">+AT57</f>
        <v>0.05</v>
      </c>
      <c r="AU69" s="0" t="n">
        <f aca="false">+AS69+AT69</f>
        <v>0.22</v>
      </c>
    </row>
    <row r="70" customFormat="false" ht="12.75" hidden="false" customHeight="false" outlineLevel="0" collapsed="false">
      <c r="A70" s="51" t="n">
        <f aca="false">DATE(YEAR(A69+31),MONTH(A69+31),1)</f>
        <v>38838</v>
      </c>
      <c r="B70" s="0" t="n">
        <f aca="false">IF(A70&gt;=$A$3,IF(A70&lt;=$A$4,1,0),0)*(A71-A70)</f>
        <v>31</v>
      </c>
      <c r="C70" s="77"/>
      <c r="D70" s="53" t="n">
        <f aca="false">Feeds!G64</f>
        <v>0</v>
      </c>
      <c r="E70" s="78"/>
      <c r="F70" s="5" t="n">
        <f aca="false">$G$3*B70</f>
        <v>217000</v>
      </c>
      <c r="G70" s="55" t="n">
        <f aca="true">(1+W70/2)^(-2*($A70-TODAY())/365.25)</f>
        <v>2.9077434739844</v>
      </c>
      <c r="H70" s="76" t="n">
        <v>0.22</v>
      </c>
      <c r="I70" s="0" t="n">
        <f aca="false">IF(E70=0,D70,E70)</f>
        <v>0</v>
      </c>
      <c r="J70" s="0" t="n">
        <f aca="false">IF($I$4=0,H70,(I70+H70))</f>
        <v>0.22</v>
      </c>
      <c r="K70" s="0" t="n">
        <f aca="false">IF($K$5="OK",((I70*$I$5)+(J70*$J$5)),"*******")</f>
        <v>0.22</v>
      </c>
      <c r="M70" s="6" t="n">
        <f aca="false">F70*G70*K70</f>
        <v>138815.673448015</v>
      </c>
      <c r="N70" s="5" t="n">
        <f aca="false">F70*G70</f>
        <v>630980.333854615</v>
      </c>
      <c r="W70" s="69" t="n">
        <v>0.0557660688000703</v>
      </c>
      <c r="X70" s="0" t="n">
        <v>2.215</v>
      </c>
      <c r="Y70" s="9" t="n">
        <v>2.325</v>
      </c>
      <c r="Z70" s="9" t="n">
        <f aca="false">X70*$Z$3</f>
        <v>0.0941375</v>
      </c>
      <c r="AA70" s="0" t="n">
        <f aca="false">+Y70-X70</f>
        <v>0.11</v>
      </c>
      <c r="AB70" s="47" t="n">
        <f aca="false">IF(($AA70-$Z70-$AB$3)/2&lt;$AB$3,$AB$3,($AA70-$Z70-$AB$3)/2)</f>
        <v>0.05</v>
      </c>
      <c r="AC70" s="47" t="n">
        <f aca="false">IF(AA70&gt;Z70,(AA70-Z70),0)</f>
        <v>0.0158625000000003</v>
      </c>
      <c r="AD70" s="48" t="n">
        <f aca="false">+AC70-AB70</f>
        <v>-0.0341374999999997</v>
      </c>
      <c r="AE70" s="6" t="n">
        <f aca="false">10000*AD70</f>
        <v>-341.374999999997</v>
      </c>
      <c r="AG70" s="6" t="n">
        <f aca="false">5000*(AC70)</f>
        <v>79.3125000000016</v>
      </c>
      <c r="AS70" s="0" t="n">
        <f aca="false">+AS58</f>
        <v>0.17</v>
      </c>
      <c r="AT70" s="0" t="n">
        <f aca="false">+AT58</f>
        <v>0.05</v>
      </c>
      <c r="AU70" s="0" t="n">
        <f aca="false">+AS70+AT70</f>
        <v>0.22</v>
      </c>
    </row>
    <row r="71" customFormat="false" ht="12.75" hidden="false" customHeight="false" outlineLevel="0" collapsed="false">
      <c r="A71" s="51" t="n">
        <f aca="false">DATE(YEAR(A70+31),MONTH(A70+31),1)</f>
        <v>38869</v>
      </c>
      <c r="B71" s="0" t="n">
        <f aca="false">IF(A71&gt;=$A$3,IF(A71&lt;=$A$4,1,0),0)*(A72-A71)</f>
        <v>30</v>
      </c>
      <c r="C71" s="77"/>
      <c r="D71" s="53" t="n">
        <f aca="false">Feeds!G65</f>
        <v>0</v>
      </c>
      <c r="E71" s="78"/>
      <c r="F71" s="5" t="n">
        <f aca="false">$G$3*B71</f>
        <v>210000</v>
      </c>
      <c r="G71" s="55" t="n">
        <f aca="true">(1+W71/2)^(-2*($A71-TODAY())/365.25)</f>
        <v>2.89870415025655</v>
      </c>
      <c r="H71" s="76" t="n">
        <v>0.22</v>
      </c>
      <c r="I71" s="0" t="n">
        <f aca="false">IF(E71=0,D71,E71)</f>
        <v>0</v>
      </c>
      <c r="J71" s="0" t="n">
        <f aca="false">IF($I$4=0,H71,(I71+H71))</f>
        <v>0.22</v>
      </c>
      <c r="K71" s="0" t="n">
        <f aca="false">IF($K$5="OK",((I71*$I$5)+(J71*$J$5)),"*******")</f>
        <v>0.22</v>
      </c>
      <c r="M71" s="6" t="n">
        <f aca="false">F71*G71*K71</f>
        <v>133920.131741853</v>
      </c>
      <c r="N71" s="5" t="n">
        <f aca="false">F71*G71</f>
        <v>608727.871553876</v>
      </c>
      <c r="W71" s="69" t="n">
        <v>0.0558487820075304</v>
      </c>
      <c r="X71" s="0" t="n">
        <v>2.225</v>
      </c>
      <c r="Y71" s="9" t="n">
        <v>2.365</v>
      </c>
      <c r="Z71" s="9" t="n">
        <f aca="false">X71*$Z$3</f>
        <v>0.0945625</v>
      </c>
      <c r="AA71" s="0" t="n">
        <f aca="false">+Y71-X71</f>
        <v>0.14</v>
      </c>
      <c r="AB71" s="47" t="n">
        <f aca="false">IF(($AA71-$Z71-$AB$3)/2&lt;$AB$3,$AB$3,($AA71-$Z71-$AB$3)/2)</f>
        <v>0.05</v>
      </c>
      <c r="AC71" s="47" t="n">
        <f aca="false">IF(AA71&gt;Z71,(AA71-Z71),0)</f>
        <v>0.0454375000000001</v>
      </c>
      <c r="AD71" s="48" t="n">
        <f aca="false">+AC71-AB71</f>
        <v>-0.00456249999999989</v>
      </c>
      <c r="AE71" s="6" t="n">
        <f aca="false">10000*AD71</f>
        <v>-45.6249999999989</v>
      </c>
      <c r="AG71" s="6" t="n">
        <f aca="false">5000*(AC71)</f>
        <v>227.187500000001</v>
      </c>
      <c r="AS71" s="0" t="n">
        <f aca="false">+AS59</f>
        <v>0.17</v>
      </c>
      <c r="AT71" s="0" t="n">
        <f aca="false">+AT59</f>
        <v>0.05</v>
      </c>
      <c r="AU71" s="0" t="n">
        <f aca="false">+AS71+AT71</f>
        <v>0.22</v>
      </c>
    </row>
    <row r="72" customFormat="false" ht="12.75" hidden="false" customHeight="false" outlineLevel="0" collapsed="false">
      <c r="A72" s="51" t="n">
        <f aca="false">DATE(YEAR(A71+31),MONTH(A71+31),1)</f>
        <v>38899</v>
      </c>
      <c r="B72" s="0" t="n">
        <f aca="false">IF(A72&gt;=$A$3,IF(A72&lt;=$A$4,1,0),0)*(A73-A72)</f>
        <v>31</v>
      </c>
      <c r="C72" s="77"/>
      <c r="D72" s="53" t="n">
        <f aca="false">Feeds!G66</f>
        <v>0</v>
      </c>
      <c r="E72" s="78"/>
      <c r="F72" s="5" t="n">
        <f aca="false">$G$3*B72</f>
        <v>217000</v>
      </c>
      <c r="G72" s="55" t="n">
        <f aca="true">(1+W72/2)^(-2*($A72-TODAY())/365.25)</f>
        <v>2.89023886809569</v>
      </c>
      <c r="H72" s="76" t="n">
        <v>0.22</v>
      </c>
      <c r="I72" s="0" t="n">
        <f aca="false">IF(E72=0,D72,E72)</f>
        <v>0</v>
      </c>
      <c r="J72" s="0" t="n">
        <f aca="false">IF($I$4=0,H72,(I72+H72))</f>
        <v>0.22</v>
      </c>
      <c r="K72" s="0" t="n">
        <f aca="false">IF($K$5="OK",((I72*$I$5)+(J72*$J$5)),"*******")</f>
        <v>0.22</v>
      </c>
      <c r="M72" s="6" t="n">
        <f aca="false">F72*G72*K72</f>
        <v>137980.003562888</v>
      </c>
      <c r="N72" s="5" t="n">
        <f aca="false">F72*G72</f>
        <v>627181.834376766</v>
      </c>
      <c r="W72" s="69" t="n">
        <v>0.0559342523242985</v>
      </c>
      <c r="X72" s="0" t="n">
        <v>2.26</v>
      </c>
      <c r="Y72" s="9" t="n">
        <v>2.38</v>
      </c>
      <c r="Z72" s="9" t="n">
        <f aca="false">X72*$Z$3</f>
        <v>0.09605</v>
      </c>
      <c r="AA72" s="0" t="n">
        <f aca="false">+Y72-X72</f>
        <v>0.12</v>
      </c>
      <c r="AB72" s="47" t="n">
        <f aca="false">IF(($AA72-$Z72-$AB$3)/2&lt;$AB$3,$AB$3,($AA72-$Z72-$AB$3)/2)</f>
        <v>0.05</v>
      </c>
      <c r="AC72" s="47" t="n">
        <f aca="false">IF(AA72&gt;Z72,(AA72-Z72),0)</f>
        <v>0.0239500000000001</v>
      </c>
      <c r="AD72" s="48" t="n">
        <f aca="false">+AC72-AB72</f>
        <v>-0.0260499999999999</v>
      </c>
      <c r="AE72" s="6" t="n">
        <f aca="false">10000*AD72</f>
        <v>-260.499999999999</v>
      </c>
      <c r="AG72" s="6" t="n">
        <f aca="false">5000*(AC72)</f>
        <v>119.750000000001</v>
      </c>
      <c r="AS72" s="0" t="n">
        <f aca="false">+AS60</f>
        <v>0.17</v>
      </c>
      <c r="AT72" s="0" t="n">
        <f aca="false">+AT60</f>
        <v>0.05</v>
      </c>
      <c r="AU72" s="0" t="n">
        <f aca="false">+AS72+AT72</f>
        <v>0.22</v>
      </c>
    </row>
    <row r="73" customFormat="false" ht="12.75" hidden="false" customHeight="false" outlineLevel="0" collapsed="false">
      <c r="A73" s="51" t="n">
        <f aca="false">DATE(YEAR(A72+31),MONTH(A72+31),1)</f>
        <v>38930</v>
      </c>
      <c r="B73" s="0" t="n">
        <f aca="false">IF(A73&gt;=$A$3,IF(A73&lt;=$A$4,1,0),0)*(A74-A73)</f>
        <v>31</v>
      </c>
      <c r="C73" s="77"/>
      <c r="D73" s="53" t="n">
        <f aca="false">Feeds!G67</f>
        <v>0</v>
      </c>
      <c r="E73" s="78"/>
      <c r="F73" s="5" t="n">
        <f aca="false">$G$3*B73</f>
        <v>217000</v>
      </c>
      <c r="G73" s="55" t="n">
        <f aca="true">(1+W73/2)^(-2*($A73-TODAY())/365.25)</f>
        <v>2.88132287982752</v>
      </c>
      <c r="H73" s="76" t="n">
        <v>0.22</v>
      </c>
      <c r="I73" s="0" t="n">
        <f aca="false">IF(E73=0,D73,E73)</f>
        <v>0</v>
      </c>
      <c r="J73" s="0" t="n">
        <f aca="false">IF($I$4=0,H73,(I73+H73))</f>
        <v>0.22</v>
      </c>
      <c r="K73" s="0" t="n">
        <f aca="false">IF($K$5="OK",((I73*$I$5)+(J73*$J$5)),"*******")</f>
        <v>0.22</v>
      </c>
      <c r="M73" s="6" t="n">
        <f aca="false">F73*G73*K73</f>
        <v>137554.354282966</v>
      </c>
      <c r="N73" s="5" t="n">
        <f aca="false">F73*G73</f>
        <v>625247.064922571</v>
      </c>
      <c r="W73" s="69" t="n">
        <v>0.0560197226434993</v>
      </c>
      <c r="X73" s="0" t="n">
        <v>2.26</v>
      </c>
      <c r="Y73" s="9" t="n">
        <v>2.38</v>
      </c>
      <c r="Z73" s="9" t="n">
        <f aca="false">X73*$Z$3</f>
        <v>0.09605</v>
      </c>
      <c r="AA73" s="0" t="n">
        <f aca="false">+Y73-X73</f>
        <v>0.12</v>
      </c>
      <c r="AB73" s="47" t="n">
        <f aca="false">IF(($AA73-$Z73-$AB$3)/2&lt;$AB$3,$AB$3,($AA73-$Z73-$AB$3)/2)</f>
        <v>0.05</v>
      </c>
      <c r="AC73" s="47" t="n">
        <f aca="false">IF(AA73&gt;Z73,(AA73-Z73),0)</f>
        <v>0.0239500000000001</v>
      </c>
      <c r="AD73" s="48" t="n">
        <f aca="false">+AC73-AB73</f>
        <v>-0.0260499999999999</v>
      </c>
      <c r="AE73" s="6" t="n">
        <f aca="false">10000*AD73</f>
        <v>-260.499999999999</v>
      </c>
      <c r="AG73" s="6" t="n">
        <f aca="false">5000*(AC73)</f>
        <v>119.750000000001</v>
      </c>
      <c r="AS73" s="0" t="n">
        <f aca="false">+AS61</f>
        <v>0.17</v>
      </c>
      <c r="AT73" s="0" t="n">
        <f aca="false">+AT61</f>
        <v>0.05</v>
      </c>
      <c r="AU73" s="0" t="n">
        <f aca="false">+AS73+AT73</f>
        <v>0.22</v>
      </c>
    </row>
    <row r="74" customFormat="false" ht="12.75" hidden="false" customHeight="false" outlineLevel="0" collapsed="false">
      <c r="A74" s="51" t="n">
        <f aca="false">DATE(YEAR(A73+31),MONTH(A73+31),1)</f>
        <v>38961</v>
      </c>
      <c r="B74" s="0" t="n">
        <f aca="false">IF(A74&gt;=$A$3,IF(A74&lt;=$A$4,1,0),0)*(A75-A74)</f>
        <v>30</v>
      </c>
      <c r="C74" s="77"/>
      <c r="D74" s="53" t="n">
        <f aca="false">Feeds!G68</f>
        <v>0</v>
      </c>
      <c r="E74" s="78"/>
      <c r="F74" s="5" t="n">
        <f aca="false">$G$3*B74</f>
        <v>210000</v>
      </c>
      <c r="G74" s="55" t="n">
        <f aca="true">(1+W74/2)^(-2*($A74-TODAY())/365.25)</f>
        <v>2.87224677430512</v>
      </c>
      <c r="H74" s="76" t="n">
        <v>0.22</v>
      </c>
      <c r="I74" s="0" t="n">
        <f aca="false">IF(E74=0,D74,E74)</f>
        <v>0</v>
      </c>
      <c r="J74" s="0" t="n">
        <f aca="false">IF($I$4=0,H74,(I74+H74))</f>
        <v>0.22</v>
      </c>
      <c r="K74" s="0" t="n">
        <f aca="false">IF($K$5="OK",((I74*$I$5)+(J74*$J$5)),"*******")</f>
        <v>0.22</v>
      </c>
      <c r="M74" s="6" t="n">
        <f aca="false">F74*G74*K74</f>
        <v>132697.800972897</v>
      </c>
      <c r="N74" s="5" t="n">
        <f aca="false">F74*G74</f>
        <v>603171.822604075</v>
      </c>
      <c r="W74" s="69" t="n">
        <v>0.0561024358579441</v>
      </c>
      <c r="X74" s="0" t="n">
        <v>2.26</v>
      </c>
      <c r="Y74" s="9" t="n">
        <v>2.38</v>
      </c>
      <c r="Z74" s="9" t="n">
        <f aca="false">X74*$Z$3</f>
        <v>0.09605</v>
      </c>
      <c r="AA74" s="0" t="n">
        <f aca="false">+Y74-X74</f>
        <v>0.12</v>
      </c>
      <c r="AB74" s="47" t="n">
        <f aca="false">IF(($AA74-$Z74-$AB$3)/2&lt;$AB$3,$AB$3,($AA74-$Z74-$AB$3)/2)</f>
        <v>0.05</v>
      </c>
      <c r="AC74" s="47" t="n">
        <f aca="false">IF(AA74&gt;Z74,(AA74-Z74),0)</f>
        <v>0.0239500000000001</v>
      </c>
      <c r="AD74" s="48" t="n">
        <f aca="false">+AC74-AB74</f>
        <v>-0.0260499999999999</v>
      </c>
      <c r="AE74" s="6" t="n">
        <f aca="false">10000*AD74</f>
        <v>-260.499999999999</v>
      </c>
      <c r="AG74" s="6" t="n">
        <f aca="false">5000*(AC74)</f>
        <v>119.750000000001</v>
      </c>
      <c r="AS74" s="0" t="n">
        <f aca="false">+AS62</f>
        <v>0.17</v>
      </c>
      <c r="AT74" s="0" t="n">
        <f aca="false">+AT62</f>
        <v>0.05</v>
      </c>
      <c r="AU74" s="0" t="n">
        <f aca="false">+AS74+AT74</f>
        <v>0.22</v>
      </c>
    </row>
    <row r="75" customFormat="false" ht="12.75" hidden="false" customHeight="false" outlineLevel="0" collapsed="false">
      <c r="A75" s="51" t="n">
        <f aca="false">DATE(YEAR(A74+31),MONTH(A74+31),1)</f>
        <v>38991</v>
      </c>
      <c r="B75" s="0" t="n">
        <f aca="false">IF(A75&gt;=$A$3,IF(A75&lt;=$A$4,1,0),0)*(A76-A75)</f>
        <v>31</v>
      </c>
      <c r="C75" s="77"/>
      <c r="D75" s="53" t="n">
        <f aca="false">Feeds!G69</f>
        <v>0</v>
      </c>
      <c r="E75" s="78"/>
      <c r="F75" s="5" t="n">
        <f aca="false">$G$3*B75</f>
        <v>217000</v>
      </c>
      <c r="G75" s="55" t="n">
        <f aca="true">(1+W75/2)^(-2*($A75-TODAY())/365.25)</f>
        <v>2.86374018300993</v>
      </c>
      <c r="H75" s="76" t="n">
        <v>0.22</v>
      </c>
      <c r="I75" s="0" t="n">
        <f aca="false">IF(E75=0,D75,E75)</f>
        <v>0</v>
      </c>
      <c r="J75" s="0" t="n">
        <f aca="false">IF($I$4=0,H75,(I75+H75))</f>
        <v>0.22</v>
      </c>
      <c r="K75" s="0" t="n">
        <f aca="false">IF($K$5="OK",((I75*$I$5)+(J75*$J$5)),"*******")</f>
        <v>0.22</v>
      </c>
      <c r="M75" s="6" t="n">
        <f aca="false">F75*G75*K75</f>
        <v>136714.956336894</v>
      </c>
      <c r="N75" s="5" t="n">
        <f aca="false">F75*G75</f>
        <v>621431.619713154</v>
      </c>
      <c r="W75" s="69" t="n">
        <v>0.0561879061819299</v>
      </c>
      <c r="X75" s="0" t="n">
        <v>2.26</v>
      </c>
      <c r="Y75" s="9" t="n">
        <v>2.38</v>
      </c>
      <c r="Z75" s="9" t="n">
        <f aca="false">X75*$Z$3</f>
        <v>0.09605</v>
      </c>
      <c r="AA75" s="0" t="n">
        <f aca="false">+Y75-X75</f>
        <v>0.12</v>
      </c>
      <c r="AB75" s="47" t="n">
        <f aca="false">IF(($AA75-$Z75-$AB$3)/2&lt;$AB$3,$AB$3,($AA75-$Z75-$AB$3)/2)</f>
        <v>0.05</v>
      </c>
      <c r="AC75" s="47" t="n">
        <f aca="false">IF(AA75&gt;Z75,(AA75-Z75),0)</f>
        <v>0.0239500000000001</v>
      </c>
      <c r="AD75" s="48" t="n">
        <f aca="false">+AC75-AB75</f>
        <v>-0.0260499999999999</v>
      </c>
      <c r="AE75" s="6" t="n">
        <f aca="false">10000*AD75</f>
        <v>-260.499999999999</v>
      </c>
      <c r="AG75" s="6" t="n">
        <f aca="false">5000*(AC75)</f>
        <v>119.750000000001</v>
      </c>
      <c r="AS75" s="0" t="n">
        <f aca="false">+AS63</f>
        <v>0.17</v>
      </c>
      <c r="AT75" s="0" t="n">
        <f aca="false">+AT63</f>
        <v>0.05</v>
      </c>
      <c r="AU75" s="0" t="n">
        <f aca="false">+AS75+AT75</f>
        <v>0.22</v>
      </c>
    </row>
    <row r="76" customFormat="false" ht="12.75" hidden="false" customHeight="false" outlineLevel="0" collapsed="false">
      <c r="A76" s="51" t="n">
        <f aca="false">DATE(YEAR(A75+31),MONTH(A75+31),1)</f>
        <v>39022</v>
      </c>
      <c r="B76" s="0" t="n">
        <f aca="false">IF(A76&gt;=$A$3,IF(A76&lt;=$A$4,1,0),0)*(A77-A76)</f>
        <v>30</v>
      </c>
      <c r="C76" s="77"/>
      <c r="D76" s="53" t="n">
        <f aca="false">Feeds!G70</f>
        <v>0</v>
      </c>
      <c r="E76" s="78"/>
      <c r="F76" s="5" t="n">
        <f aca="false">$G$3*B76</f>
        <v>210000</v>
      </c>
      <c r="G76" s="55" t="n">
        <f aca="true">(1+W76/2)^(-2*($A76-TODAY())/365.25)</f>
        <v>2.85464111217626</v>
      </c>
      <c r="H76" s="76" t="n">
        <v>0.41</v>
      </c>
      <c r="I76" s="0" t="n">
        <f aca="false">IF(E76=0,D76,E76)</f>
        <v>0</v>
      </c>
      <c r="J76" s="0" t="n">
        <f aca="false">IF($I$4=0,H76,(I76+H76))</f>
        <v>0.41</v>
      </c>
      <c r="K76" s="0" t="n">
        <f aca="false">IF($K$5="OK",((I76*$I$5)+(J76*$J$5)),"*******")</f>
        <v>0.41</v>
      </c>
      <c r="M76" s="6" t="n">
        <f aca="false">F76*G76*K76</f>
        <v>245784.599758376</v>
      </c>
      <c r="N76" s="5" t="n">
        <f aca="false">F76*G76</f>
        <v>599474.633557015</v>
      </c>
      <c r="W76" s="69" t="n">
        <v>0.0562706194010061</v>
      </c>
      <c r="X76" s="0" t="n">
        <v>2.315</v>
      </c>
      <c r="Y76" s="9" t="n">
        <v>2.43</v>
      </c>
      <c r="Z76" s="9" t="n">
        <f aca="false">X76*$Z$3</f>
        <v>0.0983875</v>
      </c>
      <c r="AA76" s="0" t="n">
        <f aca="false">+Y76-X76</f>
        <v>0.115</v>
      </c>
      <c r="AB76" s="47" t="n">
        <f aca="false">IF(($AA76-$Z76-$AB$3)/2&lt;$AB$3,$AB$3,($AA76-$Z76-$AB$3)/2)</f>
        <v>0.05</v>
      </c>
      <c r="AC76" s="47" t="n">
        <f aca="false">IF(AA76&gt;Z76,(AA76-Z76),0)</f>
        <v>0.0166125000000002</v>
      </c>
      <c r="AD76" s="48" t="n">
        <f aca="false">+AC76-AB76</f>
        <v>-0.0333874999999998</v>
      </c>
      <c r="AE76" s="6" t="n">
        <f aca="false">10000*AD76</f>
        <v>-333.874999999998</v>
      </c>
      <c r="AG76" s="6" t="n">
        <f aca="false">5000*(AC76)</f>
        <v>83.0625000000011</v>
      </c>
      <c r="AS76" s="0" t="n">
        <v>0.26</v>
      </c>
      <c r="AT76" s="0" t="n">
        <f aca="false">+AT64</f>
        <v>0.15</v>
      </c>
      <c r="AU76" s="0" t="n">
        <f aca="false">+AS76+AT76</f>
        <v>0.41</v>
      </c>
    </row>
    <row r="77" customFormat="false" ht="12.75" hidden="false" customHeight="false" outlineLevel="0" collapsed="false">
      <c r="A77" s="51" t="n">
        <f aca="false">DATE(YEAR(A76+31),MONTH(A76+31),1)</f>
        <v>39052</v>
      </c>
      <c r="B77" s="0" t="n">
        <f aca="false">IF(A77&gt;=$A$3,IF(A77&lt;=$A$4,1,0),0)*(A78-A77)</f>
        <v>31</v>
      </c>
      <c r="C77" s="77"/>
      <c r="D77" s="53" t="n">
        <f aca="false">Feeds!G71</f>
        <v>0</v>
      </c>
      <c r="E77" s="78"/>
      <c r="F77" s="5" t="n">
        <f aca="false">$G$3*B77</f>
        <v>217000</v>
      </c>
      <c r="G77" s="55" t="n">
        <f aca="true">(1+W77/2)^(-2*($A77-TODAY())/365.25)</f>
        <v>2.84610853941155</v>
      </c>
      <c r="H77" s="76" t="n">
        <v>0.41</v>
      </c>
      <c r="I77" s="0" t="n">
        <f aca="false">IF(E77=0,D77,E77)</f>
        <v>0</v>
      </c>
      <c r="J77" s="0" t="n">
        <f aca="false">IF($I$4=0,H77,(I77+H77))</f>
        <v>0.41</v>
      </c>
      <c r="K77" s="0" t="n">
        <f aca="false">IF($K$5="OK",((I77*$I$5)+(J77*$J$5)),"*******")</f>
        <v>0.41</v>
      </c>
      <c r="M77" s="6" t="n">
        <f aca="false">F77*G77*K77</f>
        <v>253218.276751445</v>
      </c>
      <c r="N77" s="5" t="n">
        <f aca="false">F77*G77</f>
        <v>617605.553052305</v>
      </c>
      <c r="W77" s="69" t="n">
        <v>0.0563560897297766</v>
      </c>
      <c r="X77" s="0" t="n">
        <v>2.395</v>
      </c>
      <c r="Y77" s="9" t="n">
        <v>2.475</v>
      </c>
      <c r="Z77" s="9" t="n">
        <f aca="false">X77*$Z$3</f>
        <v>0.1017875</v>
      </c>
      <c r="AA77" s="0" t="n">
        <f aca="false">+Y77-X77</f>
        <v>0.0800000000000001</v>
      </c>
      <c r="AB77" s="47" t="n">
        <f aca="false">IF(($AA77-$Z77-$AB$3)/2&lt;$AB$3,$AB$3,($AA77-$Z77-$AB$3)/2)</f>
        <v>0.05</v>
      </c>
      <c r="AC77" s="47" t="n">
        <f aca="false">IF(AA77&gt;Z77,(AA77-Z77),0)</f>
        <v>0</v>
      </c>
      <c r="AD77" s="48" t="n">
        <f aca="false">+AC77-AB77</f>
        <v>-0.05</v>
      </c>
      <c r="AE77" s="6" t="n">
        <f aca="false">10000*AD77</f>
        <v>-500</v>
      </c>
      <c r="AG77" s="6" t="n">
        <f aca="false">5000*(AC77)</f>
        <v>0</v>
      </c>
      <c r="AS77" s="0" t="n">
        <v>0.26</v>
      </c>
      <c r="AT77" s="0" t="n">
        <f aca="false">+AT65</f>
        <v>0.15</v>
      </c>
      <c r="AU77" s="0" t="n">
        <f aca="false">+AS77+AT77</f>
        <v>0.41</v>
      </c>
    </row>
    <row r="78" customFormat="false" ht="12.75" hidden="false" customHeight="false" outlineLevel="0" collapsed="false">
      <c r="A78" s="51" t="n">
        <f aca="false">DATE(YEAR(A77+31),MONTH(A77+31),1)</f>
        <v>39083</v>
      </c>
      <c r="B78" s="0" t="n">
        <f aca="false">IF(A78&gt;=$A$3,IF(A78&lt;=$A$4,1,0),0)*(A79-A78)</f>
        <v>31</v>
      </c>
      <c r="C78" s="77"/>
      <c r="D78" s="53" t="n">
        <f aca="false">Feeds!G72</f>
        <v>0</v>
      </c>
      <c r="E78" s="78"/>
      <c r="F78" s="5" t="n">
        <f aca="false">$G$3*B78</f>
        <v>217000</v>
      </c>
      <c r="G78" s="55" t="n">
        <f aca="true">(1+W78/2)^(-2*($A78-TODAY())/365.25)</f>
        <v>2.83713015928255</v>
      </c>
      <c r="H78" s="76" t="n">
        <v>0.41</v>
      </c>
      <c r="I78" s="0" t="n">
        <f aca="false">IF(E78=0,D78,E78)</f>
        <v>0</v>
      </c>
      <c r="J78" s="0" t="n">
        <f aca="false">IF($I$4=0,H78,(I78+H78))</f>
        <v>0.41</v>
      </c>
      <c r="K78" s="0" t="n">
        <f aca="false">IF($K$5="OK",((I78*$I$5)+(J78*$J$5)),"*******")</f>
        <v>0.41</v>
      </c>
      <c r="M78" s="6" t="n">
        <f aca="false">F78*G78*K78</f>
        <v>252419.470271368</v>
      </c>
      <c r="N78" s="5" t="n">
        <f aca="false">F78*G78</f>
        <v>615657.244564313</v>
      </c>
      <c r="W78" s="69" t="n">
        <v>0.0564415600609789</v>
      </c>
      <c r="X78" s="0" t="n">
        <v>2.58</v>
      </c>
      <c r="Y78" s="9" t="n">
        <v>2.635</v>
      </c>
      <c r="Z78" s="9" t="n">
        <f aca="false">X78*$Z$3</f>
        <v>0.10965</v>
      </c>
      <c r="AA78" s="0" t="n">
        <f aca="false">+Y78-X78</f>
        <v>0.0549999999999997</v>
      </c>
      <c r="AB78" s="47" t="n">
        <f aca="false">IF(($AA78-$Z78-$AB$3)/2&lt;$AB$3,$AB$3,($AA78-$Z78-$AB$3)/2)</f>
        <v>0.05</v>
      </c>
      <c r="AC78" s="47" t="n">
        <f aca="false">IF(AA78&gt;Z78,(AA78-Z78),0)</f>
        <v>0</v>
      </c>
      <c r="AD78" s="48" t="n">
        <f aca="false">+AC78-AB78</f>
        <v>-0.05</v>
      </c>
      <c r="AE78" s="6" t="n">
        <f aca="false">10000*AD78</f>
        <v>-500</v>
      </c>
      <c r="AG78" s="6" t="n">
        <f aca="false">5000*(AC78)</f>
        <v>0</v>
      </c>
      <c r="AS78" s="0" t="n">
        <v>0.26</v>
      </c>
      <c r="AT78" s="0" t="n">
        <f aca="false">+AT66</f>
        <v>0.15</v>
      </c>
      <c r="AU78" s="0" t="n">
        <f aca="false">+AS78+AT78</f>
        <v>0.41</v>
      </c>
    </row>
    <row r="79" customFormat="false" ht="12.75" hidden="false" customHeight="false" outlineLevel="0" collapsed="false">
      <c r="A79" s="51" t="n">
        <f aca="false">DATE(YEAR(A78+31),MONTH(A78+31),1)</f>
        <v>39114</v>
      </c>
      <c r="B79" s="0" t="n">
        <f aca="false">IF(A79&gt;=$A$3,IF(A79&lt;=$A$4,1,0),0)*(A80-A79)</f>
        <v>28</v>
      </c>
      <c r="C79" s="77"/>
      <c r="D79" s="53" t="n">
        <f aca="false">Feeds!G73</f>
        <v>0</v>
      </c>
      <c r="E79" s="78"/>
      <c r="F79" s="5" t="n">
        <f aca="false">$G$3*B79</f>
        <v>196000</v>
      </c>
      <c r="G79" s="55" t="n">
        <f aca="true">(1+W79/2)^(-2*($A79-TODAY())/365.25)</f>
        <v>2.82771576165453</v>
      </c>
      <c r="H79" s="76" t="n">
        <v>0.41</v>
      </c>
      <c r="I79" s="0" t="n">
        <f aca="false">IF(E79=0,D79,E79)</f>
        <v>0</v>
      </c>
      <c r="J79" s="0" t="n">
        <f aca="false">IF($I$4=0,H79,(I79+H79))</f>
        <v>0.41</v>
      </c>
      <c r="K79" s="0" t="n">
        <f aca="false">IF($K$5="OK",((I79*$I$5)+(J79*$J$5)),"*******")</f>
        <v>0.41</v>
      </c>
      <c r="M79" s="6" t="n">
        <f aca="false">F79*G79*K79</f>
        <v>227235.238606558</v>
      </c>
      <c r="N79" s="5" t="n">
        <f aca="false">F79*G79</f>
        <v>554232.289284289</v>
      </c>
      <c r="W79" s="69" t="n">
        <v>0.056518759071897</v>
      </c>
      <c r="X79" s="0" t="n">
        <v>2.515</v>
      </c>
      <c r="Y79" s="9" t="n">
        <v>2.63</v>
      </c>
      <c r="Z79" s="9" t="n">
        <f aca="false">X79*$Z$3</f>
        <v>0.1068875</v>
      </c>
      <c r="AA79" s="0" t="n">
        <f aca="false">+Y79-X79</f>
        <v>0.115</v>
      </c>
      <c r="AB79" s="47" t="n">
        <f aca="false">IF(($AA79-$Z79-$AB$3)/2&lt;$AB$3,$AB$3,($AA79-$Z79-$AB$3)/2)</f>
        <v>0.05</v>
      </c>
      <c r="AC79" s="47" t="n">
        <f aca="false">IF(AA79&gt;Z79,(AA79-Z79),0)</f>
        <v>0.00811249999999976</v>
      </c>
      <c r="AD79" s="48" t="n">
        <f aca="false">+AC79-AB79</f>
        <v>-0.0418875000000002</v>
      </c>
      <c r="AE79" s="6" t="n">
        <f aca="false">10000*AD79</f>
        <v>-418.875000000002</v>
      </c>
      <c r="AG79" s="6" t="n">
        <f aca="false">5000*(AC79)</f>
        <v>40.5624999999988</v>
      </c>
      <c r="AS79" s="0" t="n">
        <v>0.26</v>
      </c>
      <c r="AT79" s="0" t="n">
        <f aca="false">+AT67</f>
        <v>0.15</v>
      </c>
      <c r="AU79" s="0" t="n">
        <f aca="false">+AS79+AT79</f>
        <v>0.41</v>
      </c>
    </row>
    <row r="80" customFormat="false" ht="12.75" hidden="false" customHeight="false" outlineLevel="0" collapsed="false">
      <c r="A80" s="51" t="n">
        <f aca="false">DATE(YEAR(A79+31),MONTH(A79+31),1)</f>
        <v>39142</v>
      </c>
      <c r="B80" s="0" t="n">
        <f aca="false">IF(A80&gt;=$A$3,IF(A80&lt;=$A$4,1,0),0)*(A81-A80)</f>
        <v>31</v>
      </c>
      <c r="C80" s="77"/>
      <c r="D80" s="53" t="n">
        <f aca="false">Feeds!G74</f>
        <v>0</v>
      </c>
      <c r="E80" s="78"/>
      <c r="F80" s="5" t="n">
        <f aca="false">$G$3*B80</f>
        <v>217000</v>
      </c>
      <c r="G80" s="55" t="n">
        <f aca="true">(1+W80/2)^(-2*($A80-TODAY())/365.25)</f>
        <v>2.82001001487391</v>
      </c>
      <c r="H80" s="76" t="n">
        <v>0.41</v>
      </c>
      <c r="I80" s="0" t="n">
        <f aca="false">IF(E80=0,D80,E80)</f>
        <v>0</v>
      </c>
      <c r="J80" s="0" t="n">
        <f aca="false">IF($I$4=0,H80,(I80+H80))</f>
        <v>0.41</v>
      </c>
      <c r="K80" s="0" t="n">
        <f aca="false">IF($K$5="OK",((I80*$I$5)+(J80*$J$5)),"*******")</f>
        <v>0.41</v>
      </c>
      <c r="M80" s="6" t="n">
        <f aca="false">F80*G80*K80</f>
        <v>250896.291023332</v>
      </c>
      <c r="N80" s="5" t="n">
        <f aca="false">F80*G80</f>
        <v>611942.173227639</v>
      </c>
      <c r="W80" s="69" t="n">
        <v>0.0566042294077262</v>
      </c>
      <c r="X80" s="0" t="n">
        <v>2.515</v>
      </c>
      <c r="Y80" s="9" t="n">
        <v>2.63</v>
      </c>
      <c r="Z80" s="9" t="n">
        <f aca="false">X80*$Z$3</f>
        <v>0.1068875</v>
      </c>
      <c r="AA80" s="0" t="n">
        <f aca="false">+Y80-X80</f>
        <v>0.115</v>
      </c>
      <c r="AB80" s="47" t="n">
        <f aca="false">IF(($AA80-$Z80-$AB$3)/2&lt;$AB$3,$AB$3,($AA80-$Z80-$AB$3)/2)</f>
        <v>0.05</v>
      </c>
      <c r="AC80" s="47" t="n">
        <f aca="false">IF(AA80&gt;Z80,(AA80-Z80),0)</f>
        <v>0.00811249999999976</v>
      </c>
      <c r="AD80" s="48" t="n">
        <f aca="false">+AC80-AB80</f>
        <v>-0.0418875000000002</v>
      </c>
      <c r="AE80" s="6" t="n">
        <f aca="false">10000*AD80</f>
        <v>-418.875000000002</v>
      </c>
      <c r="AG80" s="6" t="n">
        <f aca="false">5000*(AC80)</f>
        <v>40.5624999999988</v>
      </c>
      <c r="AS80" s="0" t="n">
        <v>0.26</v>
      </c>
      <c r="AT80" s="0" t="n">
        <f aca="false">+AT68</f>
        <v>0.15</v>
      </c>
      <c r="AU80" s="0" t="n">
        <f aca="false">+AS80+AT80</f>
        <v>0.41</v>
      </c>
    </row>
    <row r="81" customFormat="false" ht="12.75" hidden="false" customHeight="false" outlineLevel="0" collapsed="false">
      <c r="A81" s="51" t="n">
        <f aca="false">DATE(YEAR(A80+31),MONTH(A80+31),1)</f>
        <v>39173</v>
      </c>
      <c r="B81" s="0" t="n">
        <f aca="false">IF(A81&gt;=$A$3,IF(A81&lt;=$A$4,1,0),0)*(A82-A81)</f>
        <v>30</v>
      </c>
      <c r="C81" s="77"/>
      <c r="D81" s="53" t="n">
        <f aca="false">Feeds!G75</f>
        <v>0</v>
      </c>
      <c r="E81" s="78"/>
      <c r="F81" s="5" t="n">
        <f aca="false">$G$3*B81</f>
        <v>210000</v>
      </c>
      <c r="G81" s="55" t="n">
        <f aca="true">(1+W81/2)^(-2*($A81-TODAY())/365.25)</f>
        <v>2.81085895143783</v>
      </c>
      <c r="H81" s="76" t="n">
        <v>0.22</v>
      </c>
      <c r="I81" s="0" t="n">
        <f aca="false">IF(E81=0,D81,E81)</f>
        <v>0</v>
      </c>
      <c r="J81" s="0" t="n">
        <f aca="false">IF($I$4=0,H81,(I81+H81))</f>
        <v>0.22</v>
      </c>
      <c r="K81" s="0" t="n">
        <f aca="false">IF($K$5="OK",((I81*$I$5)+(J81*$J$5)),"*******")</f>
        <v>0.22</v>
      </c>
      <c r="M81" s="6" t="n">
        <f aca="false">F81*G81*K81</f>
        <v>129861.683556428</v>
      </c>
      <c r="N81" s="5" t="n">
        <f aca="false">F81*G81</f>
        <v>590280.379801943</v>
      </c>
      <c r="W81" s="69" t="n">
        <v>0.0566869426382635</v>
      </c>
      <c r="X81" s="0" t="n">
        <v>2.515</v>
      </c>
      <c r="Y81" s="9" t="n">
        <v>2.63</v>
      </c>
      <c r="Z81" s="9" t="n">
        <f aca="false">X81*$Z$3</f>
        <v>0.1068875</v>
      </c>
      <c r="AA81" s="0" t="n">
        <f aca="false">+Y81-X81</f>
        <v>0.115</v>
      </c>
      <c r="AB81" s="47" t="n">
        <f aca="false">IF(($AA81-$Z81-$AB$3)/2&lt;$AB$3,$AB$3,($AA81-$Z81-$AB$3)/2)</f>
        <v>0.05</v>
      </c>
      <c r="AC81" s="47" t="n">
        <f aca="false">IF(AA81&gt;Z81,(AA81-Z81),0)</f>
        <v>0.00811249999999976</v>
      </c>
      <c r="AD81" s="48" t="n">
        <f aca="false">+AC81-AB81</f>
        <v>-0.0418875000000002</v>
      </c>
      <c r="AE81" s="6" t="n">
        <f aca="false">10000*AD81</f>
        <v>-418.875000000002</v>
      </c>
      <c r="AG81" s="6" t="n">
        <f aca="false">5000*(AC81)</f>
        <v>40.5624999999988</v>
      </c>
      <c r="AS81" s="0" t="n">
        <f aca="false">+AS69</f>
        <v>0.17</v>
      </c>
      <c r="AT81" s="0" t="n">
        <f aca="false">+AT69</f>
        <v>0.05</v>
      </c>
      <c r="AU81" s="0" t="n">
        <f aca="false">+AS81+AT81</f>
        <v>0.22</v>
      </c>
    </row>
    <row r="82" customFormat="false" ht="12.75" hidden="false" customHeight="false" outlineLevel="0" collapsed="false">
      <c r="A82" s="51" t="n">
        <f aca="false">DATE(YEAR(A81+31),MONTH(A81+31),1)</f>
        <v>39203</v>
      </c>
      <c r="B82" s="0" t="n">
        <f aca="false">IF(A82&gt;=$A$3,IF(A82&lt;=$A$4,1,0),0)*(A83-A82)</f>
        <v>31</v>
      </c>
      <c r="C82" s="77"/>
      <c r="D82" s="53" t="n">
        <f aca="false">Feeds!G76</f>
        <v>0</v>
      </c>
      <c r="E82" s="78"/>
      <c r="F82" s="5" t="n">
        <f aca="false">$G$3*B82</f>
        <v>217000</v>
      </c>
      <c r="G82" s="55" t="n">
        <f aca="true">(1+W82/2)^(-2*($A82-TODAY())/365.25)</f>
        <v>2.80226687310665</v>
      </c>
      <c r="H82" s="76" t="n">
        <v>0.22</v>
      </c>
      <c r="I82" s="0" t="n">
        <f aca="false">IF(E82=0,D82,E82)</f>
        <v>0</v>
      </c>
      <c r="J82" s="0" t="n">
        <f aca="false">IF($I$4=0,H82,(I82+H82))</f>
        <v>0.22</v>
      </c>
      <c r="K82" s="0" t="n">
        <f aca="false">IF($K$5="OK",((I82*$I$5)+(J82*$J$5)),"*******")</f>
        <v>0.22</v>
      </c>
      <c r="M82" s="6" t="n">
        <f aca="false">F82*G82*K82</f>
        <v>133780.220522112</v>
      </c>
      <c r="N82" s="5" t="n">
        <f aca="false">F82*G82</f>
        <v>608091.911464143</v>
      </c>
      <c r="W82" s="69" t="n">
        <v>0.0567724129788774</v>
      </c>
      <c r="X82" s="0" t="n">
        <v>2.435</v>
      </c>
      <c r="Y82" s="9" t="n">
        <v>2.62</v>
      </c>
      <c r="Z82" s="9" t="n">
        <f aca="false">X82*$Z$3</f>
        <v>0.1034875</v>
      </c>
      <c r="AA82" s="0" t="n">
        <f aca="false">+Y82-X82</f>
        <v>0.185</v>
      </c>
      <c r="AB82" s="47" t="n">
        <f aca="false">IF(($AA82-$Z82-$AB$3)/2&lt;$AB$3,$AB$3,($AA82-$Z82-$AB$3)/2)</f>
        <v>0.05</v>
      </c>
      <c r="AC82" s="47" t="n">
        <f aca="false">IF(AA82&gt;Z82,(AA82-Z82),0)</f>
        <v>0.0815125</v>
      </c>
      <c r="AD82" s="48" t="n">
        <f aca="false">+AC82-AB82</f>
        <v>0.0315125</v>
      </c>
      <c r="AE82" s="6" t="n">
        <f aca="false">10000*AD82</f>
        <v>315.125</v>
      </c>
      <c r="AG82" s="6" t="n">
        <f aca="false">5000*(AC82)</f>
        <v>407.5625</v>
      </c>
      <c r="AS82" s="0" t="n">
        <f aca="false">+AS70</f>
        <v>0.17</v>
      </c>
      <c r="AT82" s="0" t="n">
        <f aca="false">+AT70</f>
        <v>0.05</v>
      </c>
      <c r="AU82" s="0" t="n">
        <f aca="false">+AS82+AT82</f>
        <v>0.22</v>
      </c>
    </row>
    <row r="83" customFormat="false" ht="12.75" hidden="false" customHeight="false" outlineLevel="0" collapsed="false">
      <c r="A83" s="51" t="n">
        <f aca="false">DATE(YEAR(A82+31),MONTH(A82+31),1)</f>
        <v>39234</v>
      </c>
      <c r="B83" s="0" t="n">
        <f aca="false">IF(A83&gt;=$A$3,IF(A83&lt;=$A$4,1,0),0)*(A84-A83)</f>
        <v>30</v>
      </c>
      <c r="C83" s="77"/>
      <c r="D83" s="53" t="n">
        <f aca="false">Feeds!G77</f>
        <v>0</v>
      </c>
      <c r="E83" s="78"/>
      <c r="F83" s="5" t="n">
        <f aca="false">$G$3*B83</f>
        <v>210000</v>
      </c>
      <c r="G83" s="55" t="n">
        <f aca="true">(1+W83/2)^(-2*($A83-TODAY())/365.25)</f>
        <v>2.79309675827397</v>
      </c>
      <c r="H83" s="76" t="n">
        <v>0.22</v>
      </c>
      <c r="I83" s="0" t="n">
        <f aca="false">IF(E83=0,D83,E83)</f>
        <v>0</v>
      </c>
      <c r="J83" s="0" t="n">
        <f aca="false">IF($I$4=0,H83,(I83+H83))</f>
        <v>0.22</v>
      </c>
      <c r="K83" s="0" t="n">
        <f aca="false">IF($K$5="OK",((I83*$I$5)+(J83*$J$5)),"*******")</f>
        <v>0.22</v>
      </c>
      <c r="M83" s="6" t="n">
        <f aca="false">F83*G83*K83</f>
        <v>129041.070232258</v>
      </c>
      <c r="N83" s="5" t="n">
        <f aca="false">F83*G83</f>
        <v>586550.319237534</v>
      </c>
      <c r="W83" s="69" t="n">
        <v>0.0568551262140442</v>
      </c>
      <c r="X83" s="0" t="n">
        <v>2.545</v>
      </c>
      <c r="Y83" s="9" t="n">
        <v>2.715</v>
      </c>
      <c r="Z83" s="9" t="n">
        <f aca="false">X83*$Z$3</f>
        <v>0.1081625</v>
      </c>
      <c r="AA83" s="0" t="n">
        <f aca="false">+Y83-X83</f>
        <v>0.17</v>
      </c>
      <c r="AB83" s="47" t="n">
        <f aca="false">IF(($AA83-$Z83-$AB$3)/2&lt;$AB$3,$AB$3,($AA83-$Z83-$AB$3)/2)</f>
        <v>0.05</v>
      </c>
      <c r="AC83" s="47" t="n">
        <f aca="false">IF(AA83&gt;Z83,(AA83-Z83),0)</f>
        <v>0.0618374999999999</v>
      </c>
      <c r="AD83" s="48" t="n">
        <f aca="false">+AC83-AB83</f>
        <v>0.0118374999999999</v>
      </c>
      <c r="AE83" s="6" t="n">
        <f aca="false">10000*AD83</f>
        <v>118.374999999999</v>
      </c>
      <c r="AG83" s="6" t="n">
        <f aca="false">5000*(AC83)</f>
        <v>309.1875</v>
      </c>
      <c r="AS83" s="0" t="n">
        <f aca="false">+AS71</f>
        <v>0.17</v>
      </c>
      <c r="AT83" s="0" t="n">
        <f aca="false">+AT71</f>
        <v>0.05</v>
      </c>
      <c r="AU83" s="0" t="n">
        <f aca="false">+AS83+AT83</f>
        <v>0.22</v>
      </c>
    </row>
    <row r="84" customFormat="false" ht="12.75" hidden="false" customHeight="false" outlineLevel="0" collapsed="false">
      <c r="A84" s="51" t="n">
        <f aca="false">DATE(YEAR(A83+31),MONTH(A83+31),1)</f>
        <v>39264</v>
      </c>
      <c r="B84" s="0" t="n">
        <f aca="false">IF(A84&gt;=$A$3,IF(A84&lt;=$A$4,1,0),0)*(A85-A84)</f>
        <v>31</v>
      </c>
      <c r="C84" s="77"/>
      <c r="D84" s="53" t="n">
        <f aca="false">Feeds!G78</f>
        <v>0</v>
      </c>
      <c r="E84" s="78"/>
      <c r="F84" s="5" t="n">
        <f aca="false">$G$3*B84</f>
        <v>217000</v>
      </c>
      <c r="G84" s="55" t="n">
        <f aca="true">(1+W84/2)^(-2*($A84-TODAY())/365.25)</f>
        <v>2.78448257550919</v>
      </c>
      <c r="H84" s="76" t="n">
        <v>0.22</v>
      </c>
      <c r="I84" s="0" t="n">
        <f aca="false">IF(E84=0,D84,E84)</f>
        <v>0</v>
      </c>
      <c r="J84" s="0" t="n">
        <f aca="false">IF($I$4=0,H84,(I84+H84))</f>
        <v>0.22</v>
      </c>
      <c r="K84" s="0" t="n">
        <f aca="false">IF($K$5="OK",((I84*$I$5)+(J84*$J$5)),"*******")</f>
        <v>0.22</v>
      </c>
      <c r="M84" s="6" t="n">
        <f aca="false">F84*G84*K84</f>
        <v>132931.198154809</v>
      </c>
      <c r="N84" s="5" t="n">
        <f aca="false">F84*G84</f>
        <v>604232.718885494</v>
      </c>
      <c r="W84" s="69" t="n">
        <v>0.0569405965594414</v>
      </c>
      <c r="X84" s="0" t="n">
        <v>2.525</v>
      </c>
      <c r="Y84" s="9" t="n">
        <v>2.715</v>
      </c>
      <c r="Z84" s="9" t="n">
        <f aca="false">X84*$Z$3</f>
        <v>0.1073125</v>
      </c>
      <c r="AA84" s="0" t="n">
        <f aca="false">+Y84-X84</f>
        <v>0.19</v>
      </c>
      <c r="AB84" s="47" t="n">
        <f aca="false">IF(($AA84-$Z84-$AB$3)/2&lt;$AB$3,$AB$3,($AA84-$Z84-$AB$3)/2)</f>
        <v>0.05</v>
      </c>
      <c r="AC84" s="47" t="n">
        <f aca="false">IF(AA84&gt;Z84,(AA84-Z84),0)</f>
        <v>0.0826874999999999</v>
      </c>
      <c r="AD84" s="48" t="n">
        <f aca="false">+AC84-AB84</f>
        <v>0.0326874999999999</v>
      </c>
      <c r="AE84" s="6" t="n">
        <f aca="false">10000*AD84</f>
        <v>326.874999999999</v>
      </c>
      <c r="AG84" s="6" t="n">
        <f aca="false">5000*(AC84)</f>
        <v>413.4375</v>
      </c>
      <c r="AS84" s="0" t="n">
        <f aca="false">+AS72</f>
        <v>0.17</v>
      </c>
      <c r="AT84" s="0" t="n">
        <f aca="false">+AT72</f>
        <v>0.05</v>
      </c>
      <c r="AU84" s="0" t="n">
        <f aca="false">+AS84+AT84</f>
        <v>0.22</v>
      </c>
    </row>
    <row r="85" customFormat="false" ht="12.75" hidden="false" customHeight="false" outlineLevel="0" collapsed="false">
      <c r="A85" s="51" t="n">
        <f aca="false">DATE(YEAR(A84+31),MONTH(A84+31),1)</f>
        <v>39295</v>
      </c>
      <c r="B85" s="0" t="n">
        <f aca="false">IF(A85&gt;=$A$3,IF(A85&lt;=$A$4,1,0),0)*(A86-A85)</f>
        <v>31</v>
      </c>
      <c r="C85" s="77"/>
      <c r="D85" s="53" t="n">
        <f aca="false">Feeds!G79</f>
        <v>0</v>
      </c>
      <c r="E85" s="78"/>
      <c r="F85" s="5" t="n">
        <f aca="false">$G$3*B85</f>
        <v>217000</v>
      </c>
      <c r="G85" s="55" t="n">
        <f aca="true">(1+W85/2)^(-2*($A85-TODAY())/365.25)</f>
        <v>2.77542959492828</v>
      </c>
      <c r="H85" s="76" t="n">
        <v>0.22</v>
      </c>
      <c r="I85" s="0" t="n">
        <f aca="false">IF(E85=0,D85,E85)</f>
        <v>0</v>
      </c>
      <c r="J85" s="0" t="n">
        <f aca="false">IF($I$4=0,H85,(I85+H85))</f>
        <v>0.22</v>
      </c>
      <c r="K85" s="0" t="n">
        <f aca="false">IF($K$5="OK",((I85*$I$5)+(J85*$J$5)),"*******")</f>
        <v>0.22</v>
      </c>
      <c r="M85" s="6" t="n">
        <f aca="false">F85*G85*K85</f>
        <v>132499.008861876</v>
      </c>
      <c r="N85" s="5" t="n">
        <f aca="false">F85*G85</f>
        <v>602268.222099438</v>
      </c>
      <c r="W85" s="69" t="n">
        <v>0.0570260669072695</v>
      </c>
      <c r="X85" s="0" t="n">
        <v>2.45</v>
      </c>
      <c r="Y85" s="9" t="n">
        <v>2.63</v>
      </c>
      <c r="Z85" s="9" t="n">
        <f aca="false">X85*$Z$3</f>
        <v>0.104125</v>
      </c>
      <c r="AA85" s="0" t="n">
        <f aca="false">+Y85-X85</f>
        <v>0.18</v>
      </c>
      <c r="AB85" s="47" t="n">
        <f aca="false">IF(($AA85-$Z85-$AB$3)/2&lt;$AB$3,$AB$3,($AA85-$Z85-$AB$3)/2)</f>
        <v>0.05</v>
      </c>
      <c r="AC85" s="47" t="n">
        <f aca="false">IF(AA85&gt;Z85,(AA85-Z85),0)</f>
        <v>0.0758749999999997</v>
      </c>
      <c r="AD85" s="48" t="n">
        <f aca="false">+AC85-AB85</f>
        <v>0.0258749999999997</v>
      </c>
      <c r="AE85" s="6" t="n">
        <f aca="false">10000*AD85</f>
        <v>258.749999999997</v>
      </c>
      <c r="AG85" s="6" t="n">
        <f aca="false">5000*(AC85)</f>
        <v>379.374999999999</v>
      </c>
      <c r="AS85" s="0" t="n">
        <f aca="false">+AS73</f>
        <v>0.17</v>
      </c>
      <c r="AT85" s="0" t="n">
        <f aca="false">+AT73</f>
        <v>0.05</v>
      </c>
      <c r="AU85" s="0" t="n">
        <f aca="false">+AS85+AT85</f>
        <v>0.22</v>
      </c>
    </row>
    <row r="86" customFormat="false" ht="12.75" hidden="false" customHeight="false" outlineLevel="0" collapsed="false">
      <c r="A86" s="51" t="n">
        <f aca="false">DATE(YEAR(A85+31),MONTH(A85+31),1)</f>
        <v>39326</v>
      </c>
      <c r="B86" s="0" t="n">
        <f aca="false">IF(A86&gt;=$A$3,IF(A86&lt;=$A$4,1,0),0)*(A87-A86)</f>
        <v>30</v>
      </c>
      <c r="C86" s="77"/>
      <c r="D86" s="53" t="n">
        <f aca="false">Feeds!G80</f>
        <v>0</v>
      </c>
      <c r="E86" s="78"/>
      <c r="F86" s="5" t="n">
        <f aca="false">$G$3*B86</f>
        <v>210000</v>
      </c>
      <c r="G86" s="55" t="n">
        <f aca="true">(1+W86/2)^(-2*($A86-TODAY())/365.25)</f>
        <v>2.76623285928853</v>
      </c>
      <c r="H86" s="76" t="n">
        <v>0.22</v>
      </c>
      <c r="I86" s="0" t="n">
        <f aca="false">IF(E86=0,D86,E86)</f>
        <v>0</v>
      </c>
      <c r="J86" s="0" t="n">
        <f aca="false">IF($I$4=0,H86,(I86+H86))</f>
        <v>0.22</v>
      </c>
      <c r="K86" s="0" t="n">
        <f aca="false">IF($K$5="OK",((I86*$I$5)+(J86*$J$5)),"*******")</f>
        <v>0.22</v>
      </c>
      <c r="M86" s="6" t="n">
        <f aca="false">F86*G86*K86</f>
        <v>127799.95809913</v>
      </c>
      <c r="N86" s="5" t="n">
        <f aca="false">F86*G86</f>
        <v>580908.90045059</v>
      </c>
      <c r="W86" s="69" t="n">
        <v>0.0571087801494179</v>
      </c>
      <c r="X86" s="0" t="n">
        <v>2.495</v>
      </c>
      <c r="Y86" s="9" t="n">
        <v>2.705</v>
      </c>
      <c r="Z86" s="9" t="n">
        <f aca="false">X86*$Z$3</f>
        <v>0.1060375</v>
      </c>
      <c r="AA86" s="0" t="n">
        <f aca="false">+Y86-X86</f>
        <v>0.21</v>
      </c>
      <c r="AB86" s="47" t="n">
        <f aca="false">IF(($AA86-$Z86-$AB$3)/2&lt;$AB$3,$AB$3,($AA86-$Z86-$AB$3)/2)</f>
        <v>0.05</v>
      </c>
      <c r="AC86" s="47" t="n">
        <f aca="false">IF(AA86&gt;Z86,(AA86-Z86),0)</f>
        <v>0.1039625</v>
      </c>
      <c r="AD86" s="48" t="n">
        <f aca="false">+AC86-AB86</f>
        <v>0.0539625</v>
      </c>
      <c r="AE86" s="6" t="n">
        <f aca="false">10000*AD86</f>
        <v>539.625</v>
      </c>
      <c r="AG86" s="6" t="n">
        <f aca="false">5000*(AC86)</f>
        <v>519.8125</v>
      </c>
      <c r="AS86" s="0" t="n">
        <f aca="false">+AS74</f>
        <v>0.17</v>
      </c>
      <c r="AT86" s="0" t="n">
        <f aca="false">+AT74</f>
        <v>0.05</v>
      </c>
      <c r="AU86" s="0" t="n">
        <f aca="false">+AS86+AT86</f>
        <v>0.22</v>
      </c>
    </row>
    <row r="87" customFormat="false" ht="12.75" hidden="false" customHeight="false" outlineLevel="0" collapsed="false">
      <c r="A87" s="51" t="n">
        <f aca="false">DATE(YEAR(A86+31),MONTH(A86+31),1)</f>
        <v>39356</v>
      </c>
      <c r="B87" s="0" t="n">
        <f aca="false">IF(A87&gt;=$A$3,IF(A87&lt;=$A$4,1,0),0)*(A88-A87)</f>
        <v>31</v>
      </c>
      <c r="C87" s="77"/>
      <c r="D87" s="53" t="n">
        <f aca="false">Feeds!G81</f>
        <v>0</v>
      </c>
      <c r="E87" s="78"/>
      <c r="F87" s="5" t="n">
        <f aca="false">$G$3*B87</f>
        <v>217000</v>
      </c>
      <c r="G87" s="55" t="n">
        <f aca="true">(1+W87/2)^(-2*($A87-TODAY())/365.25)</f>
        <v>2.75758743261296</v>
      </c>
      <c r="H87" s="76" t="n">
        <v>0.22</v>
      </c>
      <c r="I87" s="0" t="n">
        <f aca="false">IF(E87=0,D87,E87)</f>
        <v>0</v>
      </c>
      <c r="J87" s="0" t="n">
        <f aca="false">IF($I$4=0,H87,(I87+H87))</f>
        <v>0.22</v>
      </c>
      <c r="K87" s="0" t="n">
        <f aca="false">IF($K$5="OK",((I87*$I$5)+(J87*$J$5)),"*******")</f>
        <v>0.22</v>
      </c>
      <c r="M87" s="6" t="n">
        <f aca="false">F87*G87*K87</f>
        <v>131647.224032943</v>
      </c>
      <c r="N87" s="5" t="n">
        <f aca="false">F87*G87</f>
        <v>598396.472877013</v>
      </c>
      <c r="W87" s="69" t="n">
        <v>0.0571942505020293</v>
      </c>
      <c r="X87" s="0" t="n">
        <v>2.495</v>
      </c>
      <c r="Y87" s="9" t="n">
        <v>2.705</v>
      </c>
      <c r="Z87" s="9" t="n">
        <f aca="false">X87*$Z$3</f>
        <v>0.1060375</v>
      </c>
      <c r="AA87" s="0" t="n">
        <f aca="false">+Y87-X87</f>
        <v>0.21</v>
      </c>
      <c r="AB87" s="47" t="n">
        <f aca="false">IF(($AA87-$Z87-$AB$3)/2&lt;$AB$3,$AB$3,($AA87-$Z87-$AB$3)/2)</f>
        <v>0.05</v>
      </c>
      <c r="AC87" s="47" t="n">
        <f aca="false">IF(AA87&gt;Z87,(AA87-Z87),0)</f>
        <v>0.1039625</v>
      </c>
      <c r="AD87" s="48" t="n">
        <f aca="false">+AC87-AB87</f>
        <v>0.0539625</v>
      </c>
      <c r="AE87" s="6" t="n">
        <f aca="false">10000*AD87</f>
        <v>539.625</v>
      </c>
      <c r="AG87" s="6" t="n">
        <f aca="false">5000*(AC87)</f>
        <v>519.8125</v>
      </c>
      <c r="AS87" s="0" t="n">
        <f aca="false">+AS75</f>
        <v>0.17</v>
      </c>
      <c r="AT87" s="0" t="n">
        <f aca="false">+AT75</f>
        <v>0.05</v>
      </c>
      <c r="AU87" s="0" t="n">
        <f aca="false">+AS87+AT87</f>
        <v>0.22</v>
      </c>
    </row>
    <row r="88" customFormat="false" ht="12.75" hidden="false" customHeight="false" outlineLevel="0" collapsed="false">
      <c r="A88" s="51" t="n">
        <f aca="false">DATE(YEAR(A87+31),MONTH(A87+31),1)</f>
        <v>39387</v>
      </c>
      <c r="B88" s="0" t="n">
        <f aca="false">IF(A88&gt;=$A$3,IF(A88&lt;=$A$4,1,0),0)*(A89-A88)</f>
        <v>30</v>
      </c>
      <c r="C88" s="77"/>
      <c r="D88" s="53" t="n">
        <f aca="false">Feeds!G82</f>
        <v>0</v>
      </c>
      <c r="E88" s="78"/>
      <c r="F88" s="5" t="n">
        <f aca="false">$G$3*B88</f>
        <v>210000</v>
      </c>
      <c r="G88" s="55" t="n">
        <f aca="true">(1+W88/2)^(-2*($A88-TODAY())/365.25)</f>
        <v>2.74837444055262</v>
      </c>
      <c r="H88" s="76" t="n">
        <v>0.41</v>
      </c>
      <c r="I88" s="0" t="n">
        <f aca="false">IF(E88=0,D88,E88)</f>
        <v>0</v>
      </c>
      <c r="J88" s="0" t="n">
        <f aca="false">IF($I$4=0,H88,(I88+H88))</f>
        <v>0.41</v>
      </c>
      <c r="K88" s="0" t="n">
        <f aca="false">IF($K$5="OK",((I88*$I$5)+(J88*$J$5)),"*******")</f>
        <v>0.41</v>
      </c>
      <c r="M88" s="6" t="n">
        <f aca="false">F88*G88*K88</f>
        <v>236635.039331581</v>
      </c>
      <c r="N88" s="5" t="n">
        <f aca="false">F88*G88</f>
        <v>577158.632516051</v>
      </c>
      <c r="W88" s="69" t="n">
        <v>0.057276963748806</v>
      </c>
      <c r="X88" s="0" t="n">
        <v>2.495</v>
      </c>
      <c r="Y88" s="9" t="n">
        <v>2.705</v>
      </c>
      <c r="Z88" s="9" t="n">
        <f aca="false">X88*$Z$3</f>
        <v>0.1060375</v>
      </c>
      <c r="AA88" s="0" t="n">
        <f aca="false">+Y88-X88</f>
        <v>0.21</v>
      </c>
      <c r="AB88" s="47" t="n">
        <f aca="false">IF(($AA88-$Z88-$AB$3)/2&lt;$AB$3,$AB$3,($AA88-$Z88-$AB$3)/2)</f>
        <v>0.05</v>
      </c>
      <c r="AC88" s="47" t="n">
        <f aca="false">IF(AA88&gt;Z88,(AA88-Z88),0)</f>
        <v>0.1039625</v>
      </c>
      <c r="AD88" s="48" t="n">
        <f aca="false">+AC88-AB88</f>
        <v>0.0539625</v>
      </c>
      <c r="AE88" s="6" t="n">
        <f aca="false">10000*AD88</f>
        <v>539.625</v>
      </c>
      <c r="AG88" s="6" t="n">
        <f aca="false">5000*(AC88)</f>
        <v>519.8125</v>
      </c>
      <c r="AS88" s="0" t="n">
        <f aca="false">+AS76</f>
        <v>0.26</v>
      </c>
      <c r="AT88" s="0" t="n">
        <f aca="false">+AT76</f>
        <v>0.15</v>
      </c>
      <c r="AU88" s="0" t="n">
        <f aca="false">+AS88+AT88</f>
        <v>0.41</v>
      </c>
    </row>
    <row r="89" customFormat="false" ht="12.75" hidden="false" customHeight="false" outlineLevel="0" collapsed="false">
      <c r="A89" s="51" t="n">
        <f aca="false">DATE(YEAR(A88+31),MONTH(A88+31),1)</f>
        <v>39417</v>
      </c>
      <c r="B89" s="0" t="n">
        <f aca="false">IF(A89&gt;=$A$3,IF(A89&lt;=$A$4,1,0),0)*(A90-A89)</f>
        <v>31</v>
      </c>
      <c r="C89" s="77"/>
      <c r="D89" s="53" t="n">
        <f aca="false">Feeds!G83</f>
        <v>0</v>
      </c>
      <c r="E89" s="78"/>
      <c r="F89" s="5" t="n">
        <f aca="false">$G$3*B89</f>
        <v>217000</v>
      </c>
      <c r="G89" s="55" t="n">
        <f aca="true">(1+W89/2)^(-2*($A89-TODAY())/365.25)</f>
        <v>2.73970968035334</v>
      </c>
      <c r="H89" s="76" t="n">
        <v>0.41</v>
      </c>
      <c r="I89" s="0" t="n">
        <f aca="false">IF(E89=0,D89,E89)</f>
        <v>0</v>
      </c>
      <c r="J89" s="0" t="n">
        <f aca="false">IF($I$4=0,H89,(I89+H89))</f>
        <v>0.41</v>
      </c>
      <c r="K89" s="0" t="n">
        <f aca="false">IF($K$5="OK",((I89*$I$5)+(J89*$J$5)),"*******")</f>
        <v>0.41</v>
      </c>
      <c r="M89" s="6" t="n">
        <f aca="false">F89*G89*K89</f>
        <v>243751.970261036</v>
      </c>
      <c r="N89" s="5" t="n">
        <f aca="false">F89*G89</f>
        <v>594517.000636674</v>
      </c>
      <c r="W89" s="69" t="n">
        <v>0.0573624341061993</v>
      </c>
      <c r="X89" s="0" t="n">
        <v>2.515</v>
      </c>
      <c r="Y89" s="9" t="n">
        <v>2.67</v>
      </c>
      <c r="Z89" s="9" t="n">
        <f aca="false">X89*$Z$3</f>
        <v>0.1068875</v>
      </c>
      <c r="AA89" s="0" t="n">
        <f aca="false">+Y89-X89</f>
        <v>0.155</v>
      </c>
      <c r="AB89" s="47" t="n">
        <f aca="false">IF(($AA89-$Z89-$AB$3)/2&lt;$AB$3,$AB$3,($AA89-$Z89-$AB$3)/2)</f>
        <v>0.05</v>
      </c>
      <c r="AC89" s="47" t="n">
        <f aca="false">IF(AA89&gt;Z89,(AA89-Z89),0)</f>
        <v>0.0481124999999998</v>
      </c>
      <c r="AD89" s="48" t="n">
        <f aca="false">+AC89-AB89</f>
        <v>-0.00188750000000021</v>
      </c>
      <c r="AE89" s="6" t="n">
        <f aca="false">10000*AD89</f>
        <v>-18.8750000000021</v>
      </c>
      <c r="AG89" s="6" t="n">
        <f aca="false">5000*(AC89)</f>
        <v>240.562499999999</v>
      </c>
      <c r="AS89" s="0" t="n">
        <f aca="false">+AS77</f>
        <v>0.26</v>
      </c>
      <c r="AT89" s="0" t="n">
        <f aca="false">+AT77</f>
        <v>0.15</v>
      </c>
      <c r="AU89" s="0" t="n">
        <f aca="false">+AS89+AT89</f>
        <v>0.41</v>
      </c>
    </row>
    <row r="90" customFormat="false" ht="12.75" hidden="false" customHeight="false" outlineLevel="0" collapsed="false">
      <c r="A90" s="51" t="n">
        <f aca="false">DATE(YEAR(A89+31),MONTH(A89+31),1)</f>
        <v>39448</v>
      </c>
      <c r="B90" s="0" t="n">
        <f aca="false">IF(A90&gt;=$A$3,IF(A90&lt;=$A$4,1,0),0)*(A91-A90)</f>
        <v>31</v>
      </c>
      <c r="C90" s="77"/>
      <c r="D90" s="53" t="n">
        <f aca="false">Feeds!G84</f>
        <v>0</v>
      </c>
      <c r="E90" s="78"/>
      <c r="F90" s="5" t="n">
        <f aca="false">$G$3*B90</f>
        <v>217000</v>
      </c>
      <c r="G90" s="55" t="n">
        <f aca="true">(1+W90/2)^(-2*($A90-TODAY())/365.25)</f>
        <v>2.73061133265936</v>
      </c>
      <c r="H90" s="76" t="n">
        <v>0.41</v>
      </c>
      <c r="I90" s="0" t="n">
        <f aca="false">IF(E90=0,D90,E90)</f>
        <v>0</v>
      </c>
      <c r="J90" s="0" t="n">
        <f aca="false">IF($I$4=0,H90,(I90+H90))</f>
        <v>0.41</v>
      </c>
      <c r="K90" s="0" t="n">
        <f aca="false">IF($K$5="OK",((I90*$I$5)+(J90*$J$5)),"*******")</f>
        <v>0.41</v>
      </c>
      <c r="M90" s="6" t="n">
        <f aca="false">F90*G90*K90</f>
        <v>242942.490266704</v>
      </c>
      <c r="N90" s="5" t="n">
        <f aca="false">F90*G90</f>
        <v>592542.659187082</v>
      </c>
      <c r="W90" s="69" t="n">
        <v>0.0574479044660237</v>
      </c>
      <c r="X90" s="0" t="n">
        <v>2.53</v>
      </c>
      <c r="Y90" s="9" t="n">
        <v>2.78</v>
      </c>
      <c r="Z90" s="9" t="n">
        <f aca="false">X90*$Z$3</f>
        <v>0.107525</v>
      </c>
      <c r="AA90" s="0" t="n">
        <f aca="false">+Y90-X90</f>
        <v>0.25</v>
      </c>
      <c r="AB90" s="47" t="n">
        <f aca="false">IF(($AA90-$Z90-$AB$3)/2&lt;$AB$3,$AB$3,($AA90-$Z90-$AB$3)/2)</f>
        <v>0.05</v>
      </c>
      <c r="AC90" s="47" t="n">
        <f aca="false">IF(AA90&gt;Z90,(AA90-Z90),0)</f>
        <v>0.142475</v>
      </c>
      <c r="AD90" s="48" t="n">
        <f aca="false">+AC90-AB90</f>
        <v>0.092475</v>
      </c>
      <c r="AE90" s="6" t="n">
        <f aca="false">10000*AD90</f>
        <v>924.75</v>
      </c>
      <c r="AG90" s="6" t="n">
        <f aca="false">5000*(AC90)</f>
        <v>712.375</v>
      </c>
      <c r="AS90" s="0" t="n">
        <f aca="false">+AS78</f>
        <v>0.26</v>
      </c>
      <c r="AT90" s="0" t="n">
        <f aca="false">+AT78</f>
        <v>0.15</v>
      </c>
      <c r="AU90" s="0" t="n">
        <f aca="false">+AS90+AT90</f>
        <v>0.41</v>
      </c>
    </row>
    <row r="91" customFormat="false" ht="12.75" hidden="false" customHeight="false" outlineLevel="0" collapsed="false">
      <c r="A91" s="51" t="n">
        <f aca="false">DATE(YEAR(A90+31),MONTH(A90+31),1)</f>
        <v>39479</v>
      </c>
      <c r="B91" s="0" t="n">
        <f aca="false">IF(A91&gt;=$A$3,IF(A91&lt;=$A$4,1,0),0)*(A92-A91)</f>
        <v>29</v>
      </c>
      <c r="C91" s="77"/>
      <c r="D91" s="53" t="n">
        <f aca="false">Feeds!G85</f>
        <v>0</v>
      </c>
      <c r="E91" s="78"/>
      <c r="F91" s="5" t="n">
        <f aca="false">$G$3*B91</f>
        <v>203000</v>
      </c>
      <c r="G91" s="55" t="n">
        <f aca="true">(1+W91/2)^(-2*($A91-TODAY())/365.25)</f>
        <v>2.72124718294181</v>
      </c>
      <c r="H91" s="76" t="n">
        <v>0.41</v>
      </c>
      <c r="I91" s="0" t="n">
        <f aca="false">IF(E91=0,D91,E91)</f>
        <v>0</v>
      </c>
      <c r="J91" s="0" t="n">
        <f aca="false">IF($I$4=0,H91,(I91+H91))</f>
        <v>0.41</v>
      </c>
      <c r="K91" s="0" t="n">
        <f aca="false">IF($K$5="OK",((I91*$I$5)+(J91*$J$5)),"*******")</f>
        <v>0.41</v>
      </c>
      <c r="M91" s="6" t="n">
        <f aca="false">F91*G91*K91</f>
        <v>226489.403036247</v>
      </c>
      <c r="N91" s="5" t="n">
        <f aca="false">F91*G91</f>
        <v>552413.178137187</v>
      </c>
      <c r="W91" s="69" t="n">
        <v>0.0575278606112852</v>
      </c>
      <c r="X91" s="0" t="n">
        <v>2.665</v>
      </c>
      <c r="Y91" s="9" t="n">
        <v>2.875</v>
      </c>
      <c r="Z91" s="9" t="n">
        <f aca="false">X91*$Z$3</f>
        <v>0.1132625</v>
      </c>
      <c r="AA91" s="0" t="n">
        <f aca="false">+Y91-X91</f>
        <v>0.21</v>
      </c>
      <c r="AB91" s="47" t="n">
        <f aca="false">IF(($AA91-$Z91-$AB$3)/2&lt;$AB$3,$AB$3,($AA91-$Z91-$AB$3)/2)</f>
        <v>0.05</v>
      </c>
      <c r="AC91" s="47" t="n">
        <f aca="false">IF(AA91&gt;Z91,(AA91-Z91),0)</f>
        <v>0.0967375</v>
      </c>
      <c r="AD91" s="48" t="n">
        <f aca="false">+AC91-AB91</f>
        <v>0.0467374999999999</v>
      </c>
      <c r="AE91" s="6" t="n">
        <f aca="false">10000*AD91</f>
        <v>467.374999999999</v>
      </c>
      <c r="AG91" s="6" t="n">
        <f aca="false">5000*(AC91)</f>
        <v>483.6875</v>
      </c>
      <c r="AS91" s="0" t="n">
        <f aca="false">+AS79</f>
        <v>0.26</v>
      </c>
      <c r="AT91" s="0" t="n">
        <f aca="false">+AT79</f>
        <v>0.15</v>
      </c>
      <c r="AU91" s="0" t="n">
        <f aca="false">+AS91+AT91</f>
        <v>0.41</v>
      </c>
    </row>
    <row r="92" customFormat="false" ht="12.75" hidden="false" customHeight="false" outlineLevel="0" collapsed="false">
      <c r="A92" s="51" t="n">
        <f aca="false">DATE(YEAR(A91+31),MONTH(A91+31),1)</f>
        <v>39508</v>
      </c>
      <c r="B92" s="0" t="n">
        <f aca="false">IF(A92&gt;=$A$3,IF(A92&lt;=$A$4,1,0),0)*(A93-A92)</f>
        <v>31</v>
      </c>
      <c r="C92" s="77"/>
      <c r="D92" s="53" t="n">
        <f aca="false">Feeds!G86</f>
        <v>0</v>
      </c>
      <c r="E92" s="78"/>
      <c r="F92" s="5" t="n">
        <f aca="false">$G$3*B92</f>
        <v>217000</v>
      </c>
      <c r="G92" s="55" t="n">
        <f aca="true">(1+W92/2)^(-2*($A92-TODAY())/365.25)</f>
        <v>2.71152291166238</v>
      </c>
      <c r="H92" s="76" t="n">
        <v>0.41</v>
      </c>
      <c r="I92" s="0" t="n">
        <f aca="false">IF(E92=0,D92,E92)</f>
        <v>0</v>
      </c>
      <c r="J92" s="0" t="n">
        <f aca="false">IF($I$4=0,H92,(I92+H92))</f>
        <v>0.41</v>
      </c>
      <c r="K92" s="0" t="n">
        <f aca="false">IF($K$5="OK",((I92*$I$5)+(J92*$J$5)),"*******")</f>
        <v>0.41</v>
      </c>
      <c r="M92" s="6" t="n">
        <f aca="false">F92*G92*K92</f>
        <v>241244.193450602</v>
      </c>
      <c r="N92" s="5" t="n">
        <f aca="false">F92*G92</f>
        <v>588400.471830736</v>
      </c>
      <c r="W92" s="69" t="n">
        <v>0.0575819155842452</v>
      </c>
      <c r="X92" s="0" t="n">
        <v>2.55</v>
      </c>
      <c r="Y92" s="9" t="n">
        <v>2.825</v>
      </c>
      <c r="Z92" s="9" t="n">
        <f aca="false">X92*$Z$3</f>
        <v>0.108375</v>
      </c>
      <c r="AA92" s="0" t="n">
        <f aca="false">+Y92-X92</f>
        <v>0.275</v>
      </c>
      <c r="AB92" s="47" t="n">
        <f aca="false">IF(($AA92-$Z92-$AB$3)/2&lt;$AB$3,$AB$3,($AA92-$Z92-$AB$3)/2)</f>
        <v>0.0583125000000002</v>
      </c>
      <c r="AC92" s="47" t="n">
        <f aca="false">IF(AA92&gt;Z92,(AA92-Z92),0)</f>
        <v>0.166625</v>
      </c>
      <c r="AD92" s="48" t="n">
        <f aca="false">+AC92-AB92</f>
        <v>0.1083125</v>
      </c>
      <c r="AE92" s="6" t="n">
        <f aca="false">10000*AD92</f>
        <v>1083.125</v>
      </c>
      <c r="AG92" s="6" t="n">
        <f aca="false">5000*(AC92)</f>
        <v>833.125000000002</v>
      </c>
      <c r="AS92" s="0" t="n">
        <f aca="false">+AS80</f>
        <v>0.26</v>
      </c>
      <c r="AT92" s="0" t="n">
        <f aca="false">+AT80</f>
        <v>0.15</v>
      </c>
      <c r="AU92" s="0" t="n">
        <f aca="false">+AS92+AT92</f>
        <v>0.41</v>
      </c>
    </row>
    <row r="93" customFormat="false" ht="12.75" hidden="false" customHeight="false" outlineLevel="0" collapsed="false">
      <c r="A93" s="51" t="n">
        <f aca="false">DATE(YEAR(A92+31),MONTH(A92+31),1)</f>
        <v>39539</v>
      </c>
      <c r="B93" s="0" t="n">
        <f aca="false">IF(A93&gt;=$A$3,IF(A93&lt;=$A$4,1,0),0)*(A94-A93)</f>
        <v>30</v>
      </c>
      <c r="C93" s="77"/>
      <c r="D93" s="53" t="n">
        <f aca="false">Feeds!G87</f>
        <v>0</v>
      </c>
      <c r="E93" s="78"/>
      <c r="F93" s="5" t="n">
        <f aca="false">$G$3*B93</f>
        <v>210000</v>
      </c>
      <c r="G93" s="55" t="n">
        <f aca="true">(1+W93/2)^(-2*($A93-TODAY())/365.25)</f>
        <v>2.70012273107258</v>
      </c>
      <c r="H93" s="76" t="n">
        <v>0.22</v>
      </c>
      <c r="I93" s="0" t="n">
        <f aca="false">IF(E93=0,D93,E93)</f>
        <v>0</v>
      </c>
      <c r="J93" s="0" t="n">
        <f aca="false">IF($I$4=0,H93,(I93+H93))</f>
        <v>0.22</v>
      </c>
      <c r="K93" s="0" t="n">
        <f aca="false">IF($K$5="OK",((I93*$I$5)+(J93*$J$5)),"*******")</f>
        <v>0.22</v>
      </c>
      <c r="M93" s="6" t="n">
        <f aca="false">F93*G93*K93</f>
        <v>124745.670175553</v>
      </c>
      <c r="N93" s="5" t="n">
        <f aca="false">F93*G93</f>
        <v>567025.773525243</v>
      </c>
      <c r="W93" s="69" t="n">
        <v>0.0576175057536559</v>
      </c>
      <c r="X93" s="0" t="n">
        <v>2.555</v>
      </c>
      <c r="Y93" s="9" t="n">
        <v>2.775</v>
      </c>
      <c r="Z93" s="9" t="n">
        <f aca="false">X93*$Z$3</f>
        <v>0.1085875</v>
      </c>
      <c r="AA93" s="0" t="n">
        <f aca="false">+Y93-X93</f>
        <v>0.22</v>
      </c>
      <c r="AB93" s="47" t="n">
        <f aca="false">IF(($AA93-$Z93-$AB$3)/2&lt;$AB$3,$AB$3,($AA93-$Z93-$AB$3)/2)</f>
        <v>0.05</v>
      </c>
      <c r="AC93" s="47" t="n">
        <f aca="false">IF(AA93&gt;Z93,(AA93-Z93),0)</f>
        <v>0.1114125</v>
      </c>
      <c r="AD93" s="48" t="n">
        <f aca="false">+AC93-AB93</f>
        <v>0.0614124999999997</v>
      </c>
      <c r="AE93" s="6" t="n">
        <f aca="false">10000*AD93</f>
        <v>614.124999999997</v>
      </c>
      <c r="AG93" s="6" t="n">
        <f aca="false">5000*(AC93)</f>
        <v>557.062499999999</v>
      </c>
      <c r="AS93" s="0" t="n">
        <f aca="false">+AS81</f>
        <v>0.17</v>
      </c>
      <c r="AT93" s="0" t="n">
        <f aca="false">+AT81</f>
        <v>0.05</v>
      </c>
      <c r="AU93" s="0" t="n">
        <f aca="false">+AS93+AT93</f>
        <v>0.22</v>
      </c>
    </row>
    <row r="94" customFormat="false" ht="12.75" hidden="false" customHeight="false" outlineLevel="0" collapsed="false">
      <c r="A94" s="51" t="n">
        <f aca="false">DATE(YEAR(A93+31),MONTH(A93+31),1)</f>
        <v>39569</v>
      </c>
      <c r="B94" s="0" t="n">
        <f aca="false">IF(A94&gt;=$A$3,IF(A94&lt;=$A$4,1,0),0)*(A95-A94)</f>
        <v>31</v>
      </c>
      <c r="C94" s="77"/>
      <c r="D94" s="53" t="n">
        <f aca="false">Feeds!G88</f>
        <v>0</v>
      </c>
      <c r="E94" s="78"/>
      <c r="F94" s="5" t="n">
        <f aca="false">$G$3*B94</f>
        <v>217000</v>
      </c>
      <c r="G94" s="55" t="n">
        <f aca="true">(1+W94/2)^(-2*($A94-TODAY())/365.25)</f>
        <v>2.68922707230995</v>
      </c>
      <c r="H94" s="76" t="n">
        <v>0.22</v>
      </c>
      <c r="I94" s="0" t="n">
        <f aca="false">IF(E94=0,D94,E94)</f>
        <v>0</v>
      </c>
      <c r="J94" s="0" t="n">
        <f aca="false">IF($I$4=0,H94,(I94+H94))</f>
        <v>0.22</v>
      </c>
      <c r="K94" s="0" t="n">
        <f aca="false">IF($K$5="OK",((I94*$I$5)+(J94*$J$5)),"*******")</f>
        <v>0.22</v>
      </c>
      <c r="M94" s="6" t="n">
        <f aca="false">F94*G94*K94</f>
        <v>128383.700432077</v>
      </c>
      <c r="N94" s="5" t="n">
        <f aca="false">F94*G94</f>
        <v>583562.274691259</v>
      </c>
      <c r="W94" s="69" t="n">
        <v>0.0576542822624893</v>
      </c>
      <c r="X94" s="0" t="n">
        <v>2.555</v>
      </c>
      <c r="Y94" s="9" t="n">
        <v>2.775</v>
      </c>
      <c r="Z94" s="9" t="n">
        <f aca="false">X94*$Z$3</f>
        <v>0.1085875</v>
      </c>
      <c r="AA94" s="0" t="n">
        <f aca="false">+Y94-X94</f>
        <v>0.22</v>
      </c>
      <c r="AB94" s="47" t="n">
        <f aca="false">IF(($AA94-$Z94-$AB$3)/2&lt;$AB$3,$AB$3,($AA94-$Z94-$AB$3)/2)</f>
        <v>0.05</v>
      </c>
      <c r="AC94" s="47" t="n">
        <f aca="false">IF(AA94&gt;Z94,(AA94-Z94),0)</f>
        <v>0.1114125</v>
      </c>
      <c r="AD94" s="48" t="n">
        <f aca="false">+AC94-AB94</f>
        <v>0.0614124999999997</v>
      </c>
      <c r="AE94" s="6" t="n">
        <f aca="false">10000*AD94</f>
        <v>614.124999999997</v>
      </c>
      <c r="AG94" s="6" t="n">
        <f aca="false">5000*(AC94)</f>
        <v>557.062499999999</v>
      </c>
      <c r="AS94" s="0" t="n">
        <f aca="false">+AS82</f>
        <v>0.17</v>
      </c>
      <c r="AT94" s="0" t="n">
        <f aca="false">+AT82</f>
        <v>0.05</v>
      </c>
      <c r="AU94" s="0" t="n">
        <f aca="false">+AS94+AT94</f>
        <v>0.22</v>
      </c>
    </row>
    <row r="95" customFormat="false" ht="12.75" hidden="false" customHeight="false" outlineLevel="0" collapsed="false">
      <c r="A95" s="51" t="n">
        <f aca="false">DATE(YEAR(A94+31),MONTH(A94+31),1)</f>
        <v>39600</v>
      </c>
      <c r="B95" s="0" t="n">
        <f aca="false">IF(A95&gt;=$A$3,IF(A95&lt;=$A$4,1,0),0)*(A96-A95)</f>
        <v>30</v>
      </c>
      <c r="C95" s="77"/>
      <c r="D95" s="53" t="n">
        <f aca="false">Feeds!G89</f>
        <v>0</v>
      </c>
      <c r="E95" s="78"/>
      <c r="F95" s="5" t="n">
        <f aca="false">$G$3*B95</f>
        <v>210000</v>
      </c>
      <c r="G95" s="55" t="n">
        <f aca="true">(1+W95/2)^(-2*($A95-TODAY())/365.25)</f>
        <v>2.67788911607213</v>
      </c>
      <c r="H95" s="76" t="n">
        <v>0.22</v>
      </c>
      <c r="I95" s="0" t="n">
        <f aca="false">IF(E95=0,D95,E95)</f>
        <v>0</v>
      </c>
      <c r="J95" s="0" t="n">
        <f aca="false">IF($I$4=0,H95,(I95+H95))</f>
        <v>0.22</v>
      </c>
      <c r="K95" s="0" t="n">
        <f aca="false">IF($K$5="OK",((I95*$I$5)+(J95*$J$5)),"*******")</f>
        <v>0.22</v>
      </c>
      <c r="M95" s="6" t="n">
        <f aca="false">F95*G95*K95</f>
        <v>123718.477162532</v>
      </c>
      <c r="N95" s="5" t="n">
        <f aca="false">F95*G95</f>
        <v>562356.714375147</v>
      </c>
      <c r="W95" s="69" t="n">
        <v>0.057689872432757</v>
      </c>
      <c r="X95" s="0" t="n">
        <v>2.555</v>
      </c>
      <c r="Y95" s="9" t="n">
        <v>2.775</v>
      </c>
      <c r="Z95" s="9" t="n">
        <f aca="false">X95*$Z$3</f>
        <v>0.1085875</v>
      </c>
      <c r="AA95" s="0" t="n">
        <f aca="false">+Y95-X95</f>
        <v>0.22</v>
      </c>
      <c r="AB95" s="47" t="n">
        <f aca="false">IF(($AA95-$Z95-$AB$3)/2&lt;$AB$3,$AB$3,($AA95-$Z95-$AB$3)/2)</f>
        <v>0.05</v>
      </c>
      <c r="AC95" s="47" t="n">
        <f aca="false">IF(AA95&gt;Z95,(AA95-Z95),0)</f>
        <v>0.1114125</v>
      </c>
      <c r="AD95" s="48" t="n">
        <f aca="false">+AC95-AB95</f>
        <v>0.0614124999999997</v>
      </c>
      <c r="AE95" s="6" t="n">
        <f aca="false">10000*AD95</f>
        <v>614.124999999997</v>
      </c>
      <c r="AG95" s="6" t="n">
        <f aca="false">5000*(AC95)</f>
        <v>557.062499999999</v>
      </c>
      <c r="AS95" s="0" t="n">
        <f aca="false">+AS83</f>
        <v>0.17</v>
      </c>
      <c r="AT95" s="0" t="n">
        <f aca="false">+AT83</f>
        <v>0.05</v>
      </c>
      <c r="AU95" s="0" t="n">
        <f aca="false">+AS95+AT95</f>
        <v>0.22</v>
      </c>
    </row>
    <row r="96" customFormat="false" ht="12.75" hidden="false" customHeight="false" outlineLevel="0" collapsed="false">
      <c r="A96" s="51" t="n">
        <f aca="false">DATE(YEAR(A95+31),MONTH(A95+31),1)</f>
        <v>39630</v>
      </c>
      <c r="B96" s="0" t="n">
        <f aca="false">IF(A96&gt;=$A$3,IF(A96&lt;=$A$4,1,0),0)*(A97-A96)</f>
        <v>31</v>
      </c>
      <c r="C96" s="77"/>
      <c r="D96" s="53" t="n">
        <f aca="false">Feeds!G90</f>
        <v>0</v>
      </c>
      <c r="E96" s="78"/>
      <c r="F96" s="5" t="n">
        <f aca="false">$G$3*B96</f>
        <v>217000</v>
      </c>
      <c r="G96" s="55" t="n">
        <f aca="true">(1+W96/2)^(-2*($A96-TODAY())/365.25)</f>
        <v>2.66705178682533</v>
      </c>
      <c r="H96" s="76" t="n">
        <v>0.22</v>
      </c>
      <c r="I96" s="0" t="n">
        <f aca="false">IF(E96=0,D96,E96)</f>
        <v>0</v>
      </c>
      <c r="J96" s="0" t="n">
        <f aca="false">IF($I$4=0,H96,(I96+H96))</f>
        <v>0.22</v>
      </c>
      <c r="K96" s="0" t="n">
        <f aca="false">IF($K$5="OK",((I96*$I$5)+(J96*$J$5)),"*******")</f>
        <v>0.22</v>
      </c>
      <c r="M96" s="6" t="n">
        <f aca="false">F96*G96*K96</f>
        <v>127325.052303041</v>
      </c>
      <c r="N96" s="5" t="n">
        <f aca="false">F96*G96</f>
        <v>578750.237741097</v>
      </c>
      <c r="W96" s="69" t="n">
        <v>0.0577266489424759</v>
      </c>
      <c r="X96" s="0" t="n">
        <v>2.565</v>
      </c>
      <c r="Y96" s="9" t="n">
        <v>2.78</v>
      </c>
      <c r="Z96" s="9" t="n">
        <f aca="false">X96*$Z$3</f>
        <v>0.1090125</v>
      </c>
      <c r="AA96" s="0" t="n">
        <f aca="false">+Y96-X96</f>
        <v>0.215</v>
      </c>
      <c r="AB96" s="47" t="n">
        <f aca="false">IF(($AA96-$Z96-$AB$3)/2&lt;$AB$3,$AB$3,($AA96-$Z96-$AB$3)/2)</f>
        <v>0.05</v>
      </c>
      <c r="AC96" s="47" t="n">
        <f aca="false">IF(AA96&gt;Z96,(AA96-Z96),0)</f>
        <v>0.1059875</v>
      </c>
      <c r="AD96" s="48" t="n">
        <f aca="false">+AC96-AB96</f>
        <v>0.0559874999999998</v>
      </c>
      <c r="AE96" s="6" t="n">
        <f aca="false">10000*AD96</f>
        <v>559.874999999998</v>
      </c>
      <c r="AG96" s="6" t="n">
        <f aca="false">5000*(AC96)</f>
        <v>529.937499999999</v>
      </c>
      <c r="AS96" s="0" t="n">
        <f aca="false">+AS84</f>
        <v>0.17</v>
      </c>
      <c r="AT96" s="0" t="n">
        <f aca="false">+AT84</f>
        <v>0.05</v>
      </c>
      <c r="AU96" s="0" t="n">
        <f aca="false">+AS96+AT96</f>
        <v>0.22</v>
      </c>
    </row>
    <row r="97" customFormat="false" ht="12.75" hidden="false" customHeight="false" outlineLevel="0" collapsed="false">
      <c r="A97" s="51" t="n">
        <f aca="false">DATE(YEAR(A96+31),MONTH(A96+31),1)</f>
        <v>39661</v>
      </c>
      <c r="B97" s="0" t="n">
        <f aca="false">IF(A97&gt;=$A$3,IF(A97&lt;=$A$4,1,0),0)*(A98-A97)</f>
        <v>31</v>
      </c>
      <c r="C97" s="77"/>
      <c r="D97" s="53" t="n">
        <f aca="false">Feeds!G91</f>
        <v>0</v>
      </c>
      <c r="E97" s="78"/>
      <c r="F97" s="5" t="n">
        <f aca="false">$G$3*B97</f>
        <v>217000</v>
      </c>
      <c r="G97" s="55" t="n">
        <f aca="true">(1+W97/2)^(-2*($A97-TODAY())/365.25)</f>
        <v>2.65582859532988</v>
      </c>
      <c r="H97" s="76" t="n">
        <v>0.22</v>
      </c>
      <c r="I97" s="0" t="n">
        <f aca="false">IF(E97=0,D97,E97)</f>
        <v>0</v>
      </c>
      <c r="J97" s="0" t="n">
        <f aca="false">IF($I$4=0,H97,(I97+H97))</f>
        <v>0.22</v>
      </c>
      <c r="K97" s="0" t="n">
        <f aca="false">IF($K$5="OK",((I97*$I$5)+(J97*$J$5)),"*******")</f>
        <v>0.22</v>
      </c>
      <c r="M97" s="6" t="n">
        <f aca="false">F97*G97*K97</f>
        <v>126789.257141048</v>
      </c>
      <c r="N97" s="5" t="n">
        <f aca="false">F97*G97</f>
        <v>576314.805186583</v>
      </c>
      <c r="W97" s="69" t="n">
        <v>0.0577634254526451</v>
      </c>
      <c r="X97" s="0" t="n">
        <v>2.49</v>
      </c>
      <c r="Y97" s="9" t="n">
        <v>2.655</v>
      </c>
      <c r="Z97" s="9" t="n">
        <f aca="false">X97*$Z$3</f>
        <v>0.105825</v>
      </c>
      <c r="AA97" s="0" t="n">
        <f aca="false">+Y97-X97</f>
        <v>0.165</v>
      </c>
      <c r="AB97" s="47" t="n">
        <f aca="false">IF(($AA97-$Z97-$AB$3)/2&lt;$AB$3,$AB$3,($AA97-$Z97-$AB$3)/2)</f>
        <v>0.05</v>
      </c>
      <c r="AC97" s="47" t="n">
        <f aca="false">IF(AA97&gt;Z97,(AA97-Z97),0)</f>
        <v>0.0591749999999996</v>
      </c>
      <c r="AD97" s="48" t="n">
        <f aca="false">+AC97-AB97</f>
        <v>0.00917499999999957</v>
      </c>
      <c r="AE97" s="6" t="n">
        <f aca="false">10000*AD97</f>
        <v>91.7499999999957</v>
      </c>
      <c r="AG97" s="6" t="n">
        <f aca="false">5000*(AC97)</f>
        <v>295.874999999998</v>
      </c>
      <c r="AS97" s="0" t="n">
        <f aca="false">+AS85</f>
        <v>0.17</v>
      </c>
      <c r="AT97" s="0" t="n">
        <f aca="false">+AT85</f>
        <v>0.05</v>
      </c>
      <c r="AU97" s="0" t="n">
        <f aca="false">+AS97+AT97</f>
        <v>0.22</v>
      </c>
    </row>
    <row r="98" customFormat="false" ht="12.75" hidden="false" customHeight="false" outlineLevel="0" collapsed="false">
      <c r="A98" s="51" t="n">
        <f aca="false">DATE(YEAR(A97+31),MONTH(A97+31),1)</f>
        <v>39692</v>
      </c>
      <c r="B98" s="0" t="n">
        <f aca="false">IF(A98&gt;=$A$3,IF(A98&lt;=$A$4,1,0),0)*(A99-A98)</f>
        <v>30</v>
      </c>
      <c r="C98" s="77"/>
      <c r="D98" s="53" t="n">
        <f aca="false">Feeds!G92</f>
        <v>0</v>
      </c>
      <c r="E98" s="78"/>
      <c r="F98" s="5" t="n">
        <f aca="false">$G$3*B98</f>
        <v>210000</v>
      </c>
      <c r="G98" s="55" t="n">
        <f aca="true">(1+W98/2)^(-2*($A98-TODAY())/365.25)</f>
        <v>2.64458451239987</v>
      </c>
      <c r="H98" s="76" t="n">
        <v>0.22</v>
      </c>
      <c r="I98" s="0" t="n">
        <f aca="false">IF(E98=0,D98,E98)</f>
        <v>0</v>
      </c>
      <c r="J98" s="0" t="n">
        <f aca="false">IF($I$4=0,H98,(I98+H98))</f>
        <v>0.22</v>
      </c>
      <c r="K98" s="0" t="n">
        <f aca="false">IF($K$5="OK",((I98*$I$5)+(J98*$J$5)),"*******")</f>
        <v>0.22</v>
      </c>
      <c r="M98" s="6" t="n">
        <f aca="false">F98*G98*K98</f>
        <v>122179.804472874</v>
      </c>
      <c r="N98" s="5" t="n">
        <f aca="false">F98*G98</f>
        <v>555362.747603973</v>
      </c>
      <c r="W98" s="69" t="n">
        <v>0.0577990156242043</v>
      </c>
      <c r="X98" s="0" t="n">
        <v>2.545</v>
      </c>
      <c r="Y98" s="9" t="n">
        <v>2.69</v>
      </c>
      <c r="Z98" s="9" t="n">
        <f aca="false">X98*$Z$3</f>
        <v>0.1081625</v>
      </c>
      <c r="AA98" s="0" t="n">
        <f aca="false">+Y98-X98</f>
        <v>0.145</v>
      </c>
      <c r="AB98" s="47" t="n">
        <f aca="false">IF(($AA98-$Z98-$AB$3)/2&lt;$AB$3,$AB$3,($AA98-$Z98-$AB$3)/2)</f>
        <v>0.05</v>
      </c>
      <c r="AC98" s="47" t="n">
        <f aca="false">IF(AA98&gt;Z98,(AA98-Z98),0)</f>
        <v>0.0368375</v>
      </c>
      <c r="AD98" s="48" t="n">
        <f aca="false">+AC98-AB98</f>
        <v>-0.0131625</v>
      </c>
      <c r="AE98" s="6" t="n">
        <f aca="false">10000*AD98</f>
        <v>-131.625</v>
      </c>
      <c r="AG98" s="6" t="n">
        <f aca="false">5000*(AC98)</f>
        <v>184.1875</v>
      </c>
      <c r="AS98" s="0" t="n">
        <f aca="false">+AS86</f>
        <v>0.17</v>
      </c>
      <c r="AT98" s="0" t="n">
        <f aca="false">+AT86</f>
        <v>0.05</v>
      </c>
      <c r="AU98" s="0" t="n">
        <f aca="false">+AS98+AT98</f>
        <v>0.22</v>
      </c>
    </row>
    <row r="99" customFormat="false" ht="12.75" hidden="false" customHeight="false" outlineLevel="0" collapsed="false">
      <c r="A99" s="51" t="n">
        <f aca="false">DATE(YEAR(A98+31),MONTH(A98+31),1)</f>
        <v>39722</v>
      </c>
      <c r="B99" s="0" t="n">
        <f aca="false">IF(A99&gt;=$A$3,IF(A99&lt;=$A$4,1,0),0)*(A100-A99)</f>
        <v>31</v>
      </c>
      <c r="C99" s="77"/>
      <c r="D99" s="53" t="n">
        <f aca="false">Feeds!G93</f>
        <v>0</v>
      </c>
      <c r="E99" s="78"/>
      <c r="F99" s="5" t="n">
        <f aca="false">$G$3*B99</f>
        <v>217000</v>
      </c>
      <c r="G99" s="55" t="n">
        <f aca="true">(1+W99/2)^(-2*($A99-TODAY())/365.25)</f>
        <v>2.63383521819302</v>
      </c>
      <c r="H99" s="76" t="n">
        <v>0.22</v>
      </c>
      <c r="I99" s="0" t="n">
        <f aca="false">IF(E99=0,D99,E99)</f>
        <v>0</v>
      </c>
      <c r="J99" s="0" t="n">
        <f aca="false">IF($I$4=0,H99,(I99+H99))</f>
        <v>0.22</v>
      </c>
      <c r="K99" s="0" t="n">
        <f aca="false">IF($K$5="OK",((I99*$I$5)+(J99*$J$5)),"*******")</f>
        <v>0.22</v>
      </c>
      <c r="M99" s="6" t="n">
        <f aca="false">F99*G99*K99</f>
        <v>125739.293316535</v>
      </c>
      <c r="N99" s="5" t="n">
        <f aca="false">F99*G99</f>
        <v>571542.242347885</v>
      </c>
      <c r="W99" s="69" t="n">
        <v>0.057835792135259</v>
      </c>
      <c r="X99" s="0" t="n">
        <v>2.595</v>
      </c>
      <c r="Y99" s="9" t="n">
        <v>2.73</v>
      </c>
      <c r="Z99" s="9" t="n">
        <f aca="false">X99*$Z$3</f>
        <v>0.1102875</v>
      </c>
      <c r="AA99" s="0" t="n">
        <f aca="false">+Y99-X99</f>
        <v>0.135</v>
      </c>
      <c r="AB99" s="47" t="n">
        <f aca="false">IF(($AA99-$Z99-$AB$3)/2&lt;$AB$3,$AB$3,($AA99-$Z99-$AB$3)/2)</f>
        <v>0.05</v>
      </c>
      <c r="AC99" s="47" t="n">
        <f aca="false">IF(AA99&gt;Z99,(AA99-Z99),0)</f>
        <v>0.0247124999999998</v>
      </c>
      <c r="AD99" s="48" t="n">
        <f aca="false">+AC99-AB99</f>
        <v>-0.0252875000000002</v>
      </c>
      <c r="AE99" s="6" t="n">
        <f aca="false">10000*AD99</f>
        <v>-252.875000000002</v>
      </c>
      <c r="AG99" s="6" t="n">
        <f aca="false">5000*(AC99)</f>
        <v>123.562499999999</v>
      </c>
      <c r="AS99" s="0" t="n">
        <f aca="false">+AS87</f>
        <v>0.17</v>
      </c>
      <c r="AT99" s="0" t="n">
        <f aca="false">+AT87</f>
        <v>0.05</v>
      </c>
      <c r="AU99" s="0" t="n">
        <f aca="false">+AS99+AT99</f>
        <v>0.22</v>
      </c>
    </row>
    <row r="100" customFormat="false" ht="12.75" hidden="false" customHeight="false" outlineLevel="0" collapsed="false">
      <c r="A100" s="51" t="n">
        <f aca="false">DATE(YEAR(A99+31),MONTH(A99+31),1)</f>
        <v>39753</v>
      </c>
      <c r="B100" s="0" t="n">
        <f aca="false">IF(A100&gt;=$A$3,IF(A100&lt;=$A$4,1,0),0)*(A101-A100)</f>
        <v>30</v>
      </c>
      <c r="C100" s="77"/>
      <c r="D100" s="53" t="n">
        <f aca="false">Feeds!G94</f>
        <v>0</v>
      </c>
      <c r="E100" s="78"/>
      <c r="F100" s="5" t="n">
        <f aca="false">$G$3*B100</f>
        <v>210000</v>
      </c>
      <c r="G100" s="55" t="n">
        <f aca="true">(1+W100/2)^(-2*($A100-TODAY())/365.25)</f>
        <v>2.62265338850136</v>
      </c>
      <c r="H100" s="76" t="n">
        <v>0.41</v>
      </c>
      <c r="I100" s="0" t="n">
        <f aca="false">IF(E100=0,D100,E100)</f>
        <v>0</v>
      </c>
      <c r="J100" s="0" t="n">
        <f aca="false">IF($I$4=0,H100,(I100+H100))</f>
        <v>0.41</v>
      </c>
      <c r="K100" s="0" t="n">
        <f aca="false">IF($K$5="OK",((I100*$I$5)+(J100*$J$5)),"*******")</f>
        <v>0.41</v>
      </c>
      <c r="M100" s="6" t="n">
        <f aca="false">F100*G100*K100</f>
        <v>225810.456749967</v>
      </c>
      <c r="N100" s="5" t="n">
        <f aca="false">F100*G100</f>
        <v>550757.211585286</v>
      </c>
      <c r="W100" s="69" t="n">
        <v>0.0578713823076749</v>
      </c>
      <c r="X100" s="0" t="n">
        <v>2.625</v>
      </c>
      <c r="Y100" s="9" t="n">
        <v>2.83</v>
      </c>
      <c r="Z100" s="9" t="n">
        <f aca="false">X100*$Z$3</f>
        <v>0.1115625</v>
      </c>
      <c r="AA100" s="0" t="n">
        <f aca="false">+Y100-X100</f>
        <v>0.205</v>
      </c>
      <c r="AB100" s="47" t="n">
        <f aca="false">IF(($AA100-$Z100-$AB$3)/2&lt;$AB$3,$AB$3,($AA100-$Z100-$AB$3)/2)</f>
        <v>0.05</v>
      </c>
      <c r="AC100" s="47" t="n">
        <f aca="false">IF(AA100&gt;Z100,(AA100-Z100),0)</f>
        <v>0.0934375000000001</v>
      </c>
      <c r="AD100" s="48" t="n">
        <f aca="false">+AC100-AB100</f>
        <v>0.0434375000000001</v>
      </c>
      <c r="AE100" s="6" t="n">
        <f aca="false">10000*AD100</f>
        <v>434.375000000001</v>
      </c>
      <c r="AG100" s="6" t="n">
        <f aca="false">5000*(AC100)</f>
        <v>467.1875</v>
      </c>
      <c r="AS100" s="0" t="n">
        <f aca="false">+AS88</f>
        <v>0.26</v>
      </c>
      <c r="AT100" s="0" t="n">
        <f aca="false">+AT88</f>
        <v>0.15</v>
      </c>
      <c r="AU100" s="0" t="n">
        <f aca="false">+AS100+AT100</f>
        <v>0.41</v>
      </c>
    </row>
    <row r="101" customFormat="false" ht="12.75" hidden="false" customHeight="false" outlineLevel="0" collapsed="false">
      <c r="A101" s="51" t="n">
        <f aca="false">DATE(YEAR(A100+31),MONTH(A100+31),1)</f>
        <v>39783</v>
      </c>
      <c r="B101" s="0" t="n">
        <f aca="false">IF(A101&gt;=$A$3,IF(A101&lt;=$A$4,1,0),0)*(A102-A101)</f>
        <v>31</v>
      </c>
      <c r="C101" s="77"/>
      <c r="D101" s="53" t="n">
        <f aca="false">Feeds!G95</f>
        <v>0</v>
      </c>
      <c r="E101" s="78"/>
      <c r="F101" s="5" t="n">
        <f aca="false">$G$3*B101</f>
        <v>217000</v>
      </c>
      <c r="G101" s="55" t="n">
        <f aca="true">(1+W101/2)^(-2*($A101-TODAY())/365.25)</f>
        <v>2.61196250035392</v>
      </c>
      <c r="H101" s="76" t="n">
        <v>0.41</v>
      </c>
      <c r="I101" s="0" t="n">
        <f aca="false">IF(E101=0,D101,E101)</f>
        <v>0</v>
      </c>
      <c r="J101" s="0" t="n">
        <f aca="false">IF($I$4=0,H101,(I101+H101))</f>
        <v>0.41</v>
      </c>
      <c r="K101" s="0" t="n">
        <f aca="false">IF($K$5="OK",((I101*$I$5)+(J101*$J$5)),"*******")</f>
        <v>0.41</v>
      </c>
      <c r="M101" s="6" t="n">
        <f aca="false">F101*G101*K101</f>
        <v>232386.303656488</v>
      </c>
      <c r="N101" s="5" t="n">
        <f aca="false">F101*G101</f>
        <v>566795.862576801</v>
      </c>
      <c r="W101" s="69" t="n">
        <v>0.0579081588196146</v>
      </c>
      <c r="X101" s="0" t="n">
        <v>2.625</v>
      </c>
      <c r="Y101" s="9" t="n">
        <v>2.83</v>
      </c>
      <c r="Z101" s="9" t="n">
        <f aca="false">X101*$Z$3</f>
        <v>0.1115625</v>
      </c>
      <c r="AA101" s="0" t="n">
        <f aca="false">+Y101-X101</f>
        <v>0.205</v>
      </c>
      <c r="AB101" s="47" t="n">
        <f aca="false">IF(($AA101-$Z101-$AB$3)/2&lt;$AB$3,$AB$3,($AA101-$Z101-$AB$3)/2)</f>
        <v>0.05</v>
      </c>
      <c r="AC101" s="47" t="n">
        <f aca="false">IF(AA101&gt;Z101,(AA101-Z101),0)</f>
        <v>0.0934375000000001</v>
      </c>
      <c r="AD101" s="48" t="n">
        <f aca="false">+AC101-AB101</f>
        <v>0.0434375000000001</v>
      </c>
      <c r="AE101" s="6" t="n">
        <f aca="false">10000*AD101</f>
        <v>434.375000000001</v>
      </c>
      <c r="AG101" s="6" t="n">
        <f aca="false">5000*(AC101)</f>
        <v>467.1875</v>
      </c>
      <c r="AS101" s="0" t="n">
        <f aca="false">+AS89</f>
        <v>0.26</v>
      </c>
      <c r="AT101" s="0" t="n">
        <f aca="false">+AT89</f>
        <v>0.15</v>
      </c>
      <c r="AU101" s="0" t="n">
        <f aca="false">+AS101+AT101</f>
        <v>0.41</v>
      </c>
    </row>
    <row r="102" customFormat="false" ht="12.75" hidden="false" customHeight="false" outlineLevel="0" collapsed="false">
      <c r="A102" s="51" t="n">
        <f aca="false">DATE(YEAR(A101+31),MONTH(A101+31),1)</f>
        <v>39814</v>
      </c>
      <c r="B102" s="0" t="n">
        <f aca="false">IF(A102&gt;=$A$3,IF(A102&lt;=$A$4,1,0),0)*(A103-A102)</f>
        <v>31</v>
      </c>
      <c r="C102" s="77"/>
      <c r="D102" s="53" t="n">
        <f aca="false">Feeds!G96</f>
        <v>0</v>
      </c>
      <c r="E102" s="78"/>
      <c r="F102" s="5" t="n">
        <f aca="false">$G$3*B102</f>
        <v>217000</v>
      </c>
      <c r="G102" s="55" t="n">
        <f aca="true">(1+W102/2)^(-2*($A102-TODAY())/365.25)</f>
        <v>2.60089310597903</v>
      </c>
      <c r="H102" s="76" t="n">
        <v>0.41</v>
      </c>
      <c r="I102" s="0" t="n">
        <f aca="false">IF(E102=0,D102,E102)</f>
        <v>0</v>
      </c>
      <c r="J102" s="0" t="n">
        <f aca="false">IF($I$4=0,H102,(I102+H102))</f>
        <v>0.41</v>
      </c>
      <c r="K102" s="0" t="n">
        <f aca="false">IF($K$5="OK",((I102*$I$5)+(J102*$J$5)),"*******")</f>
        <v>0.41</v>
      </c>
      <c r="M102" s="6" t="n">
        <f aca="false">F102*G102*K102</f>
        <v>231401.459638955</v>
      </c>
      <c r="N102" s="5" t="n">
        <f aca="false">F102*G102</f>
        <v>564393.80399745</v>
      </c>
      <c r="W102" s="69" t="n">
        <v>0.0579449353320038</v>
      </c>
      <c r="X102" s="0" t="n">
        <v>2.625</v>
      </c>
      <c r="Y102" s="9" t="n">
        <v>2.83</v>
      </c>
      <c r="Z102" s="9" t="n">
        <f aca="false">X102*$Z$3</f>
        <v>0.1115625</v>
      </c>
      <c r="AA102" s="0" t="n">
        <f aca="false">+Y102-X102</f>
        <v>0.205</v>
      </c>
      <c r="AB102" s="47" t="n">
        <f aca="false">IF(($AA102-$Z102-$AB$3)/2&lt;$AB$3,$AB$3,($AA102-$Z102-$AB$3)/2)</f>
        <v>0.05</v>
      </c>
      <c r="AC102" s="47" t="n">
        <f aca="false">IF(AA102&gt;Z102,(AA102-Z102),0)</f>
        <v>0.0934375000000001</v>
      </c>
      <c r="AD102" s="48" t="n">
        <f aca="false">+AC102-AB102</f>
        <v>0.0434375000000001</v>
      </c>
      <c r="AE102" s="6" t="n">
        <f aca="false">10000*AD102</f>
        <v>434.375000000001</v>
      </c>
      <c r="AG102" s="6" t="n">
        <f aca="false">5000*(AC102)</f>
        <v>467.1875</v>
      </c>
      <c r="AS102" s="0" t="n">
        <f aca="false">+AS90</f>
        <v>0.26</v>
      </c>
      <c r="AT102" s="0" t="n">
        <f aca="false">+AT90</f>
        <v>0.15</v>
      </c>
      <c r="AU102" s="0" t="n">
        <f aca="false">+AS102+AT102</f>
        <v>0.41</v>
      </c>
    </row>
    <row r="103" customFormat="false" ht="12.75" hidden="false" customHeight="false" outlineLevel="0" collapsed="false">
      <c r="A103" s="51" t="n">
        <f aca="false">DATE(YEAR(A102+31),MONTH(A102+31),1)</f>
        <v>39845</v>
      </c>
      <c r="B103" s="0" t="n">
        <f aca="false">IF(A103&gt;=$A$3,IF(A103&lt;=$A$4,1,0),0)*(A104-A103)</f>
        <v>28</v>
      </c>
      <c r="C103" s="77"/>
      <c r="D103" s="53" t="n">
        <f aca="false">Feeds!G97</f>
        <v>0</v>
      </c>
      <c r="E103" s="78"/>
      <c r="F103" s="5" t="n">
        <f aca="false">$G$3*B103</f>
        <v>196000</v>
      </c>
      <c r="G103" s="55" t="n">
        <f aca="true">(1+W103/2)^(-2*($A103-TODAY())/365.25)</f>
        <v>2.58970575254208</v>
      </c>
      <c r="H103" s="76" t="n">
        <v>0.41</v>
      </c>
      <c r="I103" s="0" t="n">
        <f aca="false">IF(E103=0,D103,E103)</f>
        <v>0</v>
      </c>
      <c r="J103" s="0" t="n">
        <f aca="false">IF($I$4=0,H103,(I103+H103))</f>
        <v>0.41</v>
      </c>
      <c r="K103" s="0" t="n">
        <f aca="false">IF($K$5="OK",((I103*$I$5)+(J103*$J$5)),"*******")</f>
        <v>0.41</v>
      </c>
      <c r="M103" s="6" t="n">
        <f aca="false">F103*G103*K103</f>
        <v>208108.754274281</v>
      </c>
      <c r="N103" s="5" t="n">
        <f aca="false">F103*G103</f>
        <v>507582.327498247</v>
      </c>
      <c r="W103" s="69" t="n">
        <v>0.0579781528274514</v>
      </c>
      <c r="X103" s="0" t="n">
        <v>2.6</v>
      </c>
      <c r="Y103" s="9" t="n">
        <v>2.76</v>
      </c>
      <c r="Z103" s="9" t="n">
        <f aca="false">X103*$Z$3</f>
        <v>0.1105</v>
      </c>
      <c r="AA103" s="0" t="n">
        <f aca="false">+Y103-X103</f>
        <v>0.16</v>
      </c>
      <c r="AB103" s="47" t="n">
        <f aca="false">IF(($AA103-$Z103-$AB$3)/2&lt;$AB$3,$AB$3,($AA103-$Z103-$AB$3)/2)</f>
        <v>0.05</v>
      </c>
      <c r="AC103" s="47" t="n">
        <f aca="false">IF(AA103&gt;Z103,(AA103-Z103),0)</f>
        <v>0.0494999999999997</v>
      </c>
      <c r="AD103" s="48" t="n">
        <f aca="false">+AC103-AB103</f>
        <v>-0.00050000000000032</v>
      </c>
      <c r="AE103" s="6" t="n">
        <f aca="false">10000*AD103</f>
        <v>-5.0000000000032</v>
      </c>
      <c r="AG103" s="6" t="n">
        <f aca="false">5000*(AC103)</f>
        <v>247.499999999998</v>
      </c>
      <c r="AS103" s="0" t="n">
        <f aca="false">+AS91</f>
        <v>0.26</v>
      </c>
      <c r="AT103" s="0" t="n">
        <f aca="false">+AT91</f>
        <v>0.15</v>
      </c>
      <c r="AU103" s="0" t="n">
        <f aca="false">+AS103+AT103</f>
        <v>0.41</v>
      </c>
    </row>
    <row r="104" customFormat="false" ht="12.75" hidden="false" customHeight="false" outlineLevel="0" collapsed="false">
      <c r="A104" s="51" t="n">
        <f aca="false">DATE(YEAR(A103+31),MONTH(A103+31),1)</f>
        <v>39873</v>
      </c>
      <c r="B104" s="0" t="n">
        <f aca="false">IF(A104&gt;=$A$3,IF(A104&lt;=$A$4,1,0),0)*(A105-A104)</f>
        <v>31</v>
      </c>
      <c r="C104" s="77"/>
      <c r="D104" s="53" t="n">
        <f aca="false">Feeds!G98</f>
        <v>0</v>
      </c>
      <c r="E104" s="78"/>
      <c r="F104" s="5" t="n">
        <f aca="false">$G$3*B104</f>
        <v>217000</v>
      </c>
      <c r="G104" s="55" t="n">
        <f aca="true">(1+W104/2)^(-2*($A104-TODAY())/365.25)</f>
        <v>2.57991166962193</v>
      </c>
      <c r="H104" s="76" t="n">
        <v>0.41</v>
      </c>
      <c r="I104" s="0" t="n">
        <f aca="false">IF(E104=0,D104,E104)</f>
        <v>0</v>
      </c>
      <c r="J104" s="0" t="n">
        <f aca="false">IF($I$4=0,H104,(I104+H104))</f>
        <v>0.41</v>
      </c>
      <c r="K104" s="0" t="n">
        <f aca="false">IF($K$5="OK",((I104*$I$5)+(J104*$J$5)),"*******")</f>
        <v>0.41</v>
      </c>
      <c r="M104" s="6" t="n">
        <f aca="false">F104*G104*K104</f>
        <v>229534.741246263</v>
      </c>
      <c r="N104" s="5" t="n">
        <f aca="false">F104*G104</f>
        <v>559840.832307959</v>
      </c>
      <c r="W104" s="69" t="n">
        <v>0.0580149293406968</v>
      </c>
      <c r="X104" s="0" t="n">
        <v>2.59</v>
      </c>
      <c r="Y104" s="9" t="n">
        <v>2.78</v>
      </c>
      <c r="Z104" s="9" t="n">
        <f aca="false">X104*$Z$3</f>
        <v>0.110075</v>
      </c>
      <c r="AA104" s="0" t="n">
        <f aca="false">+Y104-X104</f>
        <v>0.19</v>
      </c>
      <c r="AB104" s="47" t="n">
        <f aca="false">IF(($AA104-$Z104-$AB$3)/2&lt;$AB$3,$AB$3,($AA104-$Z104-$AB$3)/2)</f>
        <v>0.05</v>
      </c>
      <c r="AC104" s="47" t="n">
        <f aca="false">IF(AA104&gt;Z104,(AA104-Z104),0)</f>
        <v>0.0799249999999999</v>
      </c>
      <c r="AD104" s="48" t="n">
        <f aca="false">+AC104-AB104</f>
        <v>0.0299249999999999</v>
      </c>
      <c r="AE104" s="6" t="n">
        <f aca="false">10000*AD104</f>
        <v>299.249999999999</v>
      </c>
      <c r="AG104" s="6" t="n">
        <f aca="false">5000*(AC104)</f>
        <v>399.625</v>
      </c>
      <c r="AS104" s="0" t="n">
        <f aca="false">+AS92</f>
        <v>0.26</v>
      </c>
      <c r="AT104" s="0" t="n">
        <f aca="false">+AT92</f>
        <v>0.15</v>
      </c>
      <c r="AU104" s="0" t="n">
        <f aca="false">+AS104+AT104</f>
        <v>0.41</v>
      </c>
    </row>
    <row r="105" customFormat="false" ht="12.75" hidden="false" customHeight="false" outlineLevel="0" collapsed="false">
      <c r="A105" s="51" t="n">
        <f aca="false">DATE(YEAR(A104+31),MONTH(A104+31),1)</f>
        <v>39904</v>
      </c>
      <c r="B105" s="0" t="n">
        <f aca="false">IF(A105&gt;=$A$3,IF(A105&lt;=$A$4,1,0),0)*(A106-A105)</f>
        <v>30</v>
      </c>
      <c r="C105" s="77"/>
      <c r="D105" s="53" t="n">
        <f aca="false">Feeds!G99</f>
        <v>0</v>
      </c>
      <c r="E105" s="78"/>
      <c r="F105" s="5" t="n">
        <f aca="false">$G$3*B105</f>
        <v>210000</v>
      </c>
      <c r="G105" s="55" t="n">
        <f aca="true">(1+W105/2)^(-2*($A105-TODAY())/365.25)</f>
        <v>2.56888394880131</v>
      </c>
      <c r="H105" s="76" t="n">
        <v>0.22</v>
      </c>
      <c r="I105" s="0" t="n">
        <f aca="false">IF(E105=0,D105,E105)</f>
        <v>0</v>
      </c>
      <c r="J105" s="0" t="n">
        <f aca="false">IF($I$4=0,H105,(I105+H105))</f>
        <v>0.22</v>
      </c>
      <c r="K105" s="0" t="n">
        <f aca="false">IF($K$5="OK",((I105*$I$5)+(J105*$J$5)),"*******")</f>
        <v>0.22</v>
      </c>
      <c r="M105" s="6" t="n">
        <f aca="false">F105*G105*K105</f>
        <v>118682.438434621</v>
      </c>
      <c r="N105" s="5" t="n">
        <f aca="false">F105*G105</f>
        <v>539465.629248276</v>
      </c>
      <c r="W105" s="69" t="n">
        <v>0.0580505195152337</v>
      </c>
      <c r="X105" s="0" t="n">
        <v>2.575</v>
      </c>
      <c r="Y105" s="9" t="n">
        <v>2.81</v>
      </c>
      <c r="Z105" s="9" t="n">
        <f aca="false">X105*$Z$3</f>
        <v>0.1094375</v>
      </c>
      <c r="AA105" s="0" t="n">
        <f aca="false">+Y105-X105</f>
        <v>0.235</v>
      </c>
      <c r="AB105" s="47" t="n">
        <f aca="false">IF(($AA105-$Z105-$AB$3)/2&lt;$AB$3,$AB$3,($AA105-$Z105-$AB$3)/2)</f>
        <v>0.05</v>
      </c>
      <c r="AC105" s="47" t="n">
        <f aca="false">IF(AA105&gt;Z105,(AA105-Z105),0)</f>
        <v>0.1255625</v>
      </c>
      <c r="AD105" s="48" t="n">
        <f aca="false">+AC105-AB105</f>
        <v>0.0755624999999999</v>
      </c>
      <c r="AE105" s="6" t="n">
        <f aca="false">10000*AD105</f>
        <v>755.624999999999</v>
      </c>
      <c r="AG105" s="6" t="n">
        <f aca="false">5000*(AC105)</f>
        <v>627.812499999999</v>
      </c>
      <c r="AS105" s="0" t="n">
        <f aca="false">+AS93</f>
        <v>0.17</v>
      </c>
      <c r="AT105" s="0" t="n">
        <f aca="false">+AT93</f>
        <v>0.05</v>
      </c>
      <c r="AU105" s="0" t="n">
        <f aca="false">+AS105+AT105</f>
        <v>0.22</v>
      </c>
    </row>
    <row r="106" customFormat="false" ht="12.75" hidden="false" customHeight="false" outlineLevel="0" collapsed="false">
      <c r="A106" s="51" t="n">
        <f aca="false">DATE(YEAR(A105+31),MONTH(A105+31),1)</f>
        <v>39934</v>
      </c>
      <c r="B106" s="0" t="n">
        <f aca="false">IF(A106&gt;=$A$3,IF(A106&lt;=$A$4,1,0),0)*(A107-A106)</f>
        <v>31</v>
      </c>
      <c r="C106" s="77"/>
      <c r="D106" s="53" t="n">
        <f aca="false">Feeds!G100</f>
        <v>0</v>
      </c>
      <c r="E106" s="78"/>
      <c r="F106" s="5" t="n">
        <f aca="false">$G$3*B106</f>
        <v>217000</v>
      </c>
      <c r="G106" s="55" t="n">
        <f aca="true">(1+W106/2)^(-2*($A106-TODAY())/365.25)</f>
        <v>2.55833772813294</v>
      </c>
      <c r="H106" s="76" t="n">
        <v>0.22</v>
      </c>
      <c r="I106" s="0" t="n">
        <f aca="false">IF(E106=0,D106,E106)</f>
        <v>0</v>
      </c>
      <c r="J106" s="0" t="n">
        <f aca="false">IF($I$4=0,H106,(I106+H106))</f>
        <v>0.22</v>
      </c>
      <c r="K106" s="0" t="n">
        <f aca="false">IF($K$5="OK",((I106*$I$5)+(J106*$J$5)),"*******")</f>
        <v>0.22</v>
      </c>
      <c r="M106" s="6" t="n">
        <f aca="false">F106*G106*K106</f>
        <v>122135.043141067</v>
      </c>
      <c r="N106" s="5" t="n">
        <f aca="false">F106*G106</f>
        <v>555159.287004848</v>
      </c>
      <c r="W106" s="69" t="n">
        <v>0.0580872960293641</v>
      </c>
      <c r="X106" s="0" t="n">
        <v>2.595</v>
      </c>
      <c r="Y106" s="9" t="n">
        <v>2.83</v>
      </c>
      <c r="Z106" s="9" t="n">
        <f aca="false">X106*$Z$3</f>
        <v>0.1102875</v>
      </c>
      <c r="AA106" s="0" t="n">
        <f aca="false">+Y106-X106</f>
        <v>0.235</v>
      </c>
      <c r="AB106" s="47" t="n">
        <f aca="false">IF(($AA106-$Z106-$AB$3)/2&lt;$AB$3,$AB$3,($AA106-$Z106-$AB$3)/2)</f>
        <v>0.05</v>
      </c>
      <c r="AC106" s="47" t="n">
        <f aca="false">IF(AA106&gt;Z106,(AA106-Z106),0)</f>
        <v>0.1247125</v>
      </c>
      <c r="AD106" s="48" t="n">
        <f aca="false">+AC106-AB106</f>
        <v>0.0747124999999999</v>
      </c>
      <c r="AE106" s="6" t="n">
        <f aca="false">10000*AD106</f>
        <v>747.124999999999</v>
      </c>
      <c r="AG106" s="6" t="n">
        <f aca="false">5000*(AC106)</f>
        <v>623.562499999999</v>
      </c>
      <c r="AS106" s="0" t="n">
        <f aca="false">+AS94</f>
        <v>0.17</v>
      </c>
      <c r="AT106" s="0" t="n">
        <f aca="false">+AT94</f>
        <v>0.05</v>
      </c>
      <c r="AU106" s="0" t="n">
        <f aca="false">+AS106+AT106</f>
        <v>0.22</v>
      </c>
    </row>
    <row r="107" customFormat="false" ht="12.75" hidden="false" customHeight="false" outlineLevel="0" collapsed="false">
      <c r="A107" s="51" t="n">
        <f aca="false">DATE(YEAR(A106+31),MONTH(A106+31),1)</f>
        <v>39965</v>
      </c>
      <c r="B107" s="0" t="n">
        <f aca="false">IF(A107&gt;=$A$3,IF(A107&lt;=$A$4,1,0),0)*(A108-A107)</f>
        <v>30</v>
      </c>
      <c r="C107" s="77"/>
      <c r="D107" s="53" t="n">
        <f aca="false">Feeds!G101</f>
        <v>0</v>
      </c>
      <c r="E107" s="78"/>
      <c r="F107" s="5" t="n">
        <f aca="false">$G$3*B107</f>
        <v>210000</v>
      </c>
      <c r="G107" s="55" t="n">
        <f aca="true">(1+W107/2)^(-2*($A107-TODAY())/365.25)</f>
        <v>2.54737225453247</v>
      </c>
      <c r="H107" s="76" t="n">
        <v>0.22</v>
      </c>
      <c r="I107" s="0" t="n">
        <f aca="false">IF(E107=0,D107,E107)</f>
        <v>0</v>
      </c>
      <c r="J107" s="0" t="n">
        <f aca="false">IF($I$4=0,H107,(I107+H107))</f>
        <v>0.22</v>
      </c>
      <c r="K107" s="0" t="n">
        <f aca="false">IF($K$5="OK",((I107*$I$5)+(J107*$J$5)),"*******")</f>
        <v>0.22</v>
      </c>
      <c r="M107" s="6" t="n">
        <f aca="false">F107*G107*K107</f>
        <v>117688.5981594</v>
      </c>
      <c r="N107" s="5" t="n">
        <f aca="false">F107*G107</f>
        <v>534948.173451819</v>
      </c>
      <c r="W107" s="69" t="n">
        <v>0.0581228862047576</v>
      </c>
      <c r="X107" s="0" t="n">
        <v>2.645</v>
      </c>
      <c r="Y107" s="9" t="n">
        <v>2.845</v>
      </c>
      <c r="Z107" s="9" t="n">
        <f aca="false">X107*$Z$3</f>
        <v>0.1124125</v>
      </c>
      <c r="AA107" s="0" t="n">
        <f aca="false">+Y107-X107</f>
        <v>0.2</v>
      </c>
      <c r="AB107" s="47" t="n">
        <f aca="false">IF(($AA107-$Z107-$AB$3)/2&lt;$AB$3,$AB$3,($AA107-$Z107-$AB$3)/2)</f>
        <v>0.05</v>
      </c>
      <c r="AC107" s="47" t="n">
        <f aca="false">IF(AA107&gt;Z107,(AA107-Z107),0)</f>
        <v>0.0875875000000002</v>
      </c>
      <c r="AD107" s="48" t="n">
        <f aca="false">+AC107-AB107</f>
        <v>0.0375875000000002</v>
      </c>
      <c r="AE107" s="6" t="n">
        <f aca="false">10000*AD107</f>
        <v>375.875000000002</v>
      </c>
      <c r="AG107" s="6" t="n">
        <f aca="false">5000*(AC107)</f>
        <v>437.937500000001</v>
      </c>
      <c r="AS107" s="0" t="n">
        <f aca="false">+AS95</f>
        <v>0.17</v>
      </c>
      <c r="AT107" s="0" t="n">
        <f aca="false">+AT95</f>
        <v>0.05</v>
      </c>
      <c r="AU107" s="0" t="n">
        <f aca="false">+AS107+AT107</f>
        <v>0.22</v>
      </c>
    </row>
    <row r="108" customFormat="false" ht="12.75" hidden="false" customHeight="false" outlineLevel="0" collapsed="false">
      <c r="A108" s="51" t="n">
        <f aca="false">DATE(YEAR(A107+31),MONTH(A107+31),1)</f>
        <v>39995</v>
      </c>
      <c r="B108" s="0" t="n">
        <f aca="false">IF(A108&gt;=$A$3,IF(A108&lt;=$A$4,1,0),0)*(A109-A108)</f>
        <v>31</v>
      </c>
      <c r="C108" s="77"/>
      <c r="D108" s="53" t="n">
        <f aca="false">Feeds!G102</f>
        <v>0</v>
      </c>
      <c r="E108" s="78"/>
      <c r="F108" s="5" t="n">
        <f aca="false">$G$3*B108</f>
        <v>217000</v>
      </c>
      <c r="G108" s="55" t="n">
        <f aca="true">(1+W108/2)^(-2*($A108-TODAY())/365.25)</f>
        <v>2.536884500171</v>
      </c>
      <c r="H108" s="76" t="n">
        <v>0.22</v>
      </c>
      <c r="I108" s="0" t="n">
        <f aca="false">IF(E108=0,D108,E108)</f>
        <v>0</v>
      </c>
      <c r="J108" s="0" t="n">
        <f aca="false">IF($I$4=0,H108,(I108+H108))</f>
        <v>0.22</v>
      </c>
      <c r="K108" s="0" t="n">
        <f aca="false">IF($K$5="OK",((I108*$I$5)+(J108*$J$5)),"*******")</f>
        <v>0.22</v>
      </c>
      <c r="M108" s="6" t="n">
        <f aca="false">F108*G108*K108</f>
        <v>121110.866038164</v>
      </c>
      <c r="N108" s="5" t="n">
        <f aca="false">F108*G108</f>
        <v>550503.936537107</v>
      </c>
      <c r="W108" s="69" t="n">
        <v>0.0581596627197731</v>
      </c>
      <c r="X108" s="0" t="n">
        <v>2.645</v>
      </c>
      <c r="Y108" s="9" t="n">
        <v>2.845</v>
      </c>
      <c r="Z108" s="9" t="n">
        <f aca="false">X108*$Z$3</f>
        <v>0.1124125</v>
      </c>
      <c r="AA108" s="0" t="n">
        <f aca="false">+Y108-X108</f>
        <v>0.2</v>
      </c>
      <c r="AB108" s="47" t="n">
        <f aca="false">IF(($AA108-$Z108-$AB$3)/2&lt;$AB$3,$AB$3,($AA108-$Z108-$AB$3)/2)</f>
        <v>0.05</v>
      </c>
      <c r="AC108" s="47" t="n">
        <f aca="false">IF(AA108&gt;Z108,(AA108-Z108),0)</f>
        <v>0.0875875000000002</v>
      </c>
      <c r="AD108" s="48" t="n">
        <f aca="false">+AC108-AB108</f>
        <v>0.0375875000000002</v>
      </c>
      <c r="AE108" s="6" t="n">
        <f aca="false">10000*AD108</f>
        <v>375.875000000002</v>
      </c>
      <c r="AG108" s="6" t="n">
        <f aca="false">5000*(AC108)</f>
        <v>437.937500000001</v>
      </c>
      <c r="AS108" s="0" t="n">
        <f aca="false">+AS96</f>
        <v>0.17</v>
      </c>
      <c r="AT108" s="0" t="n">
        <f aca="false">+AT96</f>
        <v>0.05</v>
      </c>
      <c r="AU108" s="0" t="n">
        <f aca="false">+AS108+AT108</f>
        <v>0.22</v>
      </c>
    </row>
    <row r="109" customFormat="false" ht="12.75" hidden="false" customHeight="false" outlineLevel="0" collapsed="false">
      <c r="A109" s="51" t="n">
        <f aca="false">DATE(YEAR(A108+31),MONTH(A108+31),1)</f>
        <v>40026</v>
      </c>
      <c r="B109" s="0" t="n">
        <f aca="false">IF(A109&gt;=$A$3,IF(A109&lt;=$A$4,1,0),0)*(A110-A109)</f>
        <v>31</v>
      </c>
      <c r="C109" s="77"/>
      <c r="D109" s="53" t="n">
        <f aca="false">Feeds!G103</f>
        <v>0</v>
      </c>
      <c r="E109" s="78"/>
      <c r="F109" s="5" t="n">
        <f aca="false">$G$3*B109</f>
        <v>217000</v>
      </c>
      <c r="G109" s="55" t="n">
        <f aca="true">(1+W109/2)^(-2*($A109-TODAY())/365.25)</f>
        <v>2.52602830026543</v>
      </c>
      <c r="H109" s="76" t="n">
        <v>0.22</v>
      </c>
      <c r="I109" s="0" t="n">
        <f aca="false">IF(E109=0,D109,E109)</f>
        <v>0</v>
      </c>
      <c r="J109" s="0" t="n">
        <f aca="false">IF($I$4=0,H109,(I109+H109))</f>
        <v>0.22</v>
      </c>
      <c r="K109" s="0" t="n">
        <f aca="false">IF($K$5="OK",((I109*$I$5)+(J109*$J$5)),"*******")</f>
        <v>0.22</v>
      </c>
      <c r="M109" s="6" t="n">
        <f aca="false">F109*G109*K109</f>
        <v>120592.591054671</v>
      </c>
      <c r="N109" s="5" t="n">
        <f aca="false">F109*G109</f>
        <v>548148.141157597</v>
      </c>
      <c r="W109" s="69" t="n">
        <v>0.0581964392352385</v>
      </c>
      <c r="X109" s="0" t="n">
        <v>2.645</v>
      </c>
      <c r="Y109" s="9" t="n">
        <v>2.845</v>
      </c>
      <c r="Z109" s="9" t="n">
        <f aca="false">X109*$Z$3</f>
        <v>0.1124125</v>
      </c>
      <c r="AA109" s="0" t="n">
        <f aca="false">+Y109-X109</f>
        <v>0.2</v>
      </c>
      <c r="AB109" s="47" t="n">
        <f aca="false">IF(($AA109-$Z109-$AB$3)/2&lt;$AB$3,$AB$3,($AA109-$Z109-$AB$3)/2)</f>
        <v>0.05</v>
      </c>
      <c r="AC109" s="47" t="n">
        <f aca="false">IF(AA109&gt;Z109,(AA109-Z109),0)</f>
        <v>0.0875875000000002</v>
      </c>
      <c r="AD109" s="48" t="n">
        <f aca="false">+AC109-AB109</f>
        <v>0.0375875000000002</v>
      </c>
      <c r="AE109" s="6" t="n">
        <f aca="false">10000*AD109</f>
        <v>375.875000000002</v>
      </c>
      <c r="AG109" s="6" t="n">
        <f aca="false">5000*(AC109)</f>
        <v>437.937500000001</v>
      </c>
      <c r="AS109" s="0" t="n">
        <f aca="false">+AS97</f>
        <v>0.17</v>
      </c>
      <c r="AT109" s="0" t="n">
        <f aca="false">+AT97</f>
        <v>0.05</v>
      </c>
      <c r="AU109" s="0" t="n">
        <f aca="false">+AS109+AT109</f>
        <v>0.22</v>
      </c>
    </row>
    <row r="110" customFormat="false" ht="12.75" hidden="false" customHeight="false" outlineLevel="0" collapsed="false">
      <c r="A110" s="51" t="n">
        <f aca="false">DATE(YEAR(A109+31),MONTH(A109+31),1)</f>
        <v>40057</v>
      </c>
      <c r="B110" s="0" t="n">
        <f aca="false">IF(A110&gt;=$A$3,IF(A110&lt;=$A$4,1,0),0)*(A111-A110)</f>
        <v>30</v>
      </c>
      <c r="C110" s="77"/>
      <c r="D110" s="53" t="n">
        <f aca="false">Feeds!G104</f>
        <v>0</v>
      </c>
      <c r="E110" s="78"/>
      <c r="F110" s="5" t="n">
        <f aca="false">$G$3*B110</f>
        <v>210000</v>
      </c>
      <c r="G110" s="55" t="n">
        <f aca="true">(1+W110/2)^(-2*($A110-TODAY())/365.25)</f>
        <v>2.51515668469308</v>
      </c>
      <c r="H110" s="76" t="n">
        <v>0.22</v>
      </c>
      <c r="I110" s="0" t="n">
        <f aca="false">IF(E110=0,D110,E110)</f>
        <v>0</v>
      </c>
      <c r="J110" s="0" t="n">
        <f aca="false">IF($I$4=0,H110,(I110+H110))</f>
        <v>0.22</v>
      </c>
      <c r="K110" s="0" t="n">
        <f aca="false">IF($K$5="OK",((I110*$I$5)+(J110*$J$5)),"*******")</f>
        <v>0.22</v>
      </c>
      <c r="M110" s="6" t="n">
        <f aca="false">F110*G110*K110</f>
        <v>116200.23883282</v>
      </c>
      <c r="N110" s="5" t="n">
        <f aca="false">F110*G110</f>
        <v>528182.903785546</v>
      </c>
      <c r="W110" s="69" t="n">
        <v>0.0582320294119238</v>
      </c>
      <c r="X110" s="0" t="n">
        <v>2.645</v>
      </c>
      <c r="Y110" s="9" t="n">
        <v>2.845</v>
      </c>
      <c r="Z110" s="9" t="n">
        <f aca="false">X110*$Z$3</f>
        <v>0.1124125</v>
      </c>
      <c r="AA110" s="0" t="n">
        <f aca="false">+Y110-X110</f>
        <v>0.2</v>
      </c>
      <c r="AB110" s="47" t="n">
        <f aca="false">IF(($AA110-$Z110-$AB$3)/2&lt;$AB$3,$AB$3,($AA110-$Z110-$AB$3)/2)</f>
        <v>0.05</v>
      </c>
      <c r="AC110" s="47" t="n">
        <f aca="false">IF(AA110&gt;Z110,(AA110-Z110),0)</f>
        <v>0.0875875000000002</v>
      </c>
      <c r="AD110" s="48" t="n">
        <f aca="false">+AC110-AB110</f>
        <v>0.0375875000000002</v>
      </c>
      <c r="AE110" s="6" t="n">
        <f aca="false">10000*AD110</f>
        <v>375.875000000002</v>
      </c>
      <c r="AG110" s="6" t="n">
        <f aca="false">5000*(AC110)</f>
        <v>437.937500000001</v>
      </c>
      <c r="AS110" s="0" t="n">
        <f aca="false">+AS98</f>
        <v>0.17</v>
      </c>
      <c r="AT110" s="0" t="n">
        <f aca="false">+AT98</f>
        <v>0.05</v>
      </c>
      <c r="AU110" s="0" t="n">
        <f aca="false">+AS110+AT110</f>
        <v>0.22</v>
      </c>
    </row>
    <row r="111" customFormat="false" ht="12.75" hidden="false" customHeight="false" outlineLevel="0" collapsed="false">
      <c r="A111" s="51" t="n">
        <f aca="false">DATE(YEAR(A110+31),MONTH(A110+31),1)</f>
        <v>40087</v>
      </c>
      <c r="B111" s="0" t="n">
        <f aca="false">IF(A111&gt;=$A$3,IF(A111&lt;=$A$4,1,0),0)*(A112-A111)</f>
        <v>31</v>
      </c>
      <c r="C111" s="77"/>
      <c r="D111" s="53" t="n">
        <f aca="false">Feeds!G105</f>
        <v>0</v>
      </c>
      <c r="E111" s="78"/>
      <c r="F111" s="5" t="n">
        <f aca="false">$G$3*B111</f>
        <v>217000</v>
      </c>
      <c r="G111" s="55" t="n">
        <f aca="true">(1+W111/2)^(-2*($A111-TODAY())/365.25)</f>
        <v>2.50475712214782</v>
      </c>
      <c r="H111" s="76" t="n">
        <v>0.22</v>
      </c>
      <c r="I111" s="0" t="n">
        <f aca="false">IF(E111=0,D111,E111)</f>
        <v>0</v>
      </c>
      <c r="J111" s="0" t="n">
        <f aca="false">IF($I$4=0,H111,(I111+H111))</f>
        <v>0.22</v>
      </c>
      <c r="K111" s="0" t="n">
        <f aca="false">IF($K$5="OK",((I111*$I$5)+(J111*$J$5)),"*******")</f>
        <v>0.22</v>
      </c>
      <c r="M111" s="6" t="n">
        <f aca="false">F111*G111*K111</f>
        <v>119577.105011337</v>
      </c>
      <c r="N111" s="5" t="n">
        <f aca="false">F111*G111</f>
        <v>543532.295506077</v>
      </c>
      <c r="W111" s="69" t="n">
        <v>0.0582688059282739</v>
      </c>
      <c r="X111" s="0" t="n">
        <v>2.55</v>
      </c>
      <c r="Y111" s="9" t="n">
        <v>2.705</v>
      </c>
      <c r="Z111" s="9" t="n">
        <f aca="false">X111*$Z$3</f>
        <v>0.108375</v>
      </c>
      <c r="AA111" s="0" t="n">
        <f aca="false">+Y111-X111</f>
        <v>0.155</v>
      </c>
      <c r="AB111" s="47" t="n">
        <f aca="false">IF(($AA111-$Z111-$AB$3)/2&lt;$AB$3,$AB$3,($AA111-$Z111-$AB$3)/2)</f>
        <v>0.05</v>
      </c>
      <c r="AC111" s="47" t="n">
        <f aca="false">IF(AA111&gt;Z111,(AA111-Z111),0)</f>
        <v>0.0466250000000003</v>
      </c>
      <c r="AD111" s="48" t="n">
        <f aca="false">+AC111-AB111</f>
        <v>-0.00337499999999975</v>
      </c>
      <c r="AE111" s="6" t="n">
        <f aca="false">10000*AD111</f>
        <v>-33.7499999999975</v>
      </c>
      <c r="AG111" s="6" t="n">
        <f aca="false">5000*(AC111)</f>
        <v>233.125000000001</v>
      </c>
      <c r="AS111" s="0" t="n">
        <f aca="false">+AS99</f>
        <v>0.17</v>
      </c>
      <c r="AT111" s="0" t="n">
        <f aca="false">+AT99</f>
        <v>0.05</v>
      </c>
      <c r="AU111" s="0" t="n">
        <f aca="false">+AS111+AT111</f>
        <v>0.22</v>
      </c>
    </row>
    <row r="112" customFormat="false" ht="12.75" hidden="false" customHeight="false" outlineLevel="0" collapsed="false">
      <c r="A112" s="51" t="n">
        <f aca="false">DATE(YEAR(A111+31),MONTH(A111+31),1)</f>
        <v>40118</v>
      </c>
      <c r="B112" s="0" t="n">
        <f aca="false">IF(A112&gt;=$A$3,IF(A112&lt;=$A$4,1,0),0)*(A113-A112)</f>
        <v>30</v>
      </c>
      <c r="C112" s="77"/>
      <c r="D112" s="53" t="n">
        <f aca="false">Feeds!G106</f>
        <v>0</v>
      </c>
      <c r="E112" s="78"/>
      <c r="F112" s="5" t="n">
        <f aca="false">$G$3*B112</f>
        <v>210000</v>
      </c>
      <c r="G112" s="55" t="n">
        <f aca="true">(1+W112/2)^(-2*($A112-TODAY())/365.25)</f>
        <v>2.49394771700771</v>
      </c>
      <c r="H112" s="76" t="n">
        <v>0.41</v>
      </c>
      <c r="I112" s="0" t="n">
        <f aca="false">IF(E112=0,D112,E112)</f>
        <v>0</v>
      </c>
      <c r="J112" s="0" t="n">
        <f aca="false">IF($I$4=0,H112,(I112+H112))</f>
        <v>0.41</v>
      </c>
      <c r="K112" s="0" t="n">
        <f aca="false">IF($K$5="OK",((I112*$I$5)+(J112*$J$5)),"*******")</f>
        <v>0.41</v>
      </c>
      <c r="M112" s="6" t="n">
        <f aca="false">F112*G112*K112</f>
        <v>214728.898434364</v>
      </c>
      <c r="N112" s="5" t="n">
        <f aca="false">F112*G112</f>
        <v>523729.020571619</v>
      </c>
      <c r="W112" s="69" t="n">
        <v>0.0583043961058154</v>
      </c>
      <c r="X112" s="0" t="n">
        <v>2.485</v>
      </c>
      <c r="Y112" s="9" t="n">
        <v>2.65</v>
      </c>
      <c r="Z112" s="9" t="n">
        <f aca="false">X112*$Z$3</f>
        <v>0.1056125</v>
      </c>
      <c r="AA112" s="0" t="n">
        <f aca="false">+Y112-X112</f>
        <v>0.165</v>
      </c>
      <c r="AB112" s="47" t="n">
        <f aca="false">IF(($AA112-$Z112-$AB$3)/2&lt;$AB$3,$AB$3,($AA112-$Z112-$AB$3)/2)</f>
        <v>0.05</v>
      </c>
      <c r="AC112" s="47" t="n">
        <f aca="false">IF(AA112&gt;Z112,(AA112-Z112),0)</f>
        <v>0.0593875</v>
      </c>
      <c r="AD112" s="48" t="n">
        <f aca="false">+AC112-AB112</f>
        <v>0.00938750000000004</v>
      </c>
      <c r="AE112" s="6" t="n">
        <f aca="false">10000*AD112</f>
        <v>93.8750000000003</v>
      </c>
      <c r="AG112" s="6" t="n">
        <f aca="false">5000*(AC112)</f>
        <v>296.9375</v>
      </c>
      <c r="AS112" s="0" t="n">
        <f aca="false">+AS100</f>
        <v>0.26</v>
      </c>
      <c r="AT112" s="0" t="n">
        <f aca="false">+AT100</f>
        <v>0.15</v>
      </c>
      <c r="AU112" s="0" t="n">
        <f aca="false">+AS112+AT112</f>
        <v>0.41</v>
      </c>
    </row>
    <row r="113" customFormat="false" ht="12.75" hidden="false" customHeight="false" outlineLevel="0" collapsed="false">
      <c r="A113" s="51" t="n">
        <f aca="false">DATE(YEAR(A112+31),MONTH(A112+31),1)</f>
        <v>40148</v>
      </c>
      <c r="B113" s="0" t="n">
        <f aca="false">IF(A113&gt;=$A$3,IF(A113&lt;=$A$4,1,0),0)*(A114-A113)</f>
        <v>31</v>
      </c>
      <c r="C113" s="77"/>
      <c r="D113" s="53" t="n">
        <f aca="false">Feeds!G107</f>
        <v>0</v>
      </c>
      <c r="E113" s="78"/>
      <c r="F113" s="5" t="n">
        <f aca="false">$G$3*B113</f>
        <v>217000</v>
      </c>
      <c r="G113" s="55" t="n">
        <f aca="true">(1+W113/2)^(-2*($A113-TODAY())/365.25)</f>
        <v>2.48360663194168</v>
      </c>
      <c r="H113" s="76" t="n">
        <v>0.41</v>
      </c>
      <c r="I113" s="0" t="n">
        <f aca="false">IF(E113=0,D113,E113)</f>
        <v>0</v>
      </c>
      <c r="J113" s="0" t="n">
        <f aca="false">IF($I$4=0,H113,(I113+H113))</f>
        <v>0.41</v>
      </c>
      <c r="K113" s="0" t="n">
        <f aca="false">IF($K$5="OK",((I113*$I$5)+(J113*$J$5)),"*******")</f>
        <v>0.41</v>
      </c>
      <c r="M113" s="6" t="n">
        <f aca="false">F113*G113*K113</f>
        <v>220966.482043851</v>
      </c>
      <c r="N113" s="5" t="n">
        <f aca="false">F113*G113</f>
        <v>538942.639131344</v>
      </c>
      <c r="W113" s="69" t="n">
        <v>0.0583411726230509</v>
      </c>
      <c r="X113" s="0" t="n">
        <v>2.54</v>
      </c>
      <c r="Y113" s="9" t="n">
        <v>2.68</v>
      </c>
      <c r="Z113" s="9" t="n">
        <f aca="false">X113*$Z$3</f>
        <v>0.10795</v>
      </c>
      <c r="AA113" s="0" t="n">
        <f aca="false">+Y113-X113</f>
        <v>0.14</v>
      </c>
      <c r="AB113" s="47" t="n">
        <f aca="false">IF(($AA113-$Z113-$AB$3)/2&lt;$AB$3,$AB$3,($AA113-$Z113-$AB$3)/2)</f>
        <v>0.05</v>
      </c>
      <c r="AC113" s="47" t="n">
        <f aca="false">IF(AA113&gt;Z113,(AA113-Z113),0)</f>
        <v>0.0320500000000001</v>
      </c>
      <c r="AD113" s="48" t="n">
        <f aca="false">+AC113-AB113</f>
        <v>-0.0179499999999999</v>
      </c>
      <c r="AE113" s="6" t="n">
        <f aca="false">10000*AD113</f>
        <v>-179.499999999999</v>
      </c>
      <c r="AG113" s="6" t="n">
        <f aca="false">5000*(AC113)</f>
        <v>160.250000000001</v>
      </c>
      <c r="AS113" s="0" t="n">
        <f aca="false">+AS101</f>
        <v>0.26</v>
      </c>
      <c r="AT113" s="0" t="n">
        <f aca="false">+AT101</f>
        <v>0.15</v>
      </c>
      <c r="AU113" s="0" t="n">
        <f aca="false">+AS113+AT113</f>
        <v>0.41</v>
      </c>
    </row>
    <row r="114" customFormat="false" ht="12.75" hidden="false" customHeight="false" outlineLevel="0" collapsed="false">
      <c r="A114" s="51" t="n">
        <f aca="false">DATE(YEAR(A113+31),MONTH(A113+31),1)</f>
        <v>40179</v>
      </c>
      <c r="B114" s="0" t="n">
        <f aca="false">IF(A114&gt;=$A$3,IF(A114&lt;=$A$4,1,0),0)*(A115-A114)</f>
        <v>31</v>
      </c>
      <c r="C114" s="77"/>
      <c r="D114" s="53" t="n">
        <f aca="false">Feeds!G108</f>
        <v>0</v>
      </c>
      <c r="E114" s="78"/>
      <c r="F114" s="5" t="n">
        <f aca="false">$G$3*B114</f>
        <v>217000</v>
      </c>
      <c r="G114" s="55" t="n">
        <f aca="true">(1+W114/2)^(-2*($A114-TODAY())/365.25)</f>
        <v>2.47290426573489</v>
      </c>
      <c r="H114" s="76" t="n">
        <v>0.41</v>
      </c>
      <c r="I114" s="0" t="n">
        <f aca="false">IF(E114=0,D114,E114)</f>
        <v>0</v>
      </c>
      <c r="J114" s="0" t="n">
        <f aca="false">IF($I$4=0,H114,(I114+H114))</f>
        <v>0.41</v>
      </c>
      <c r="K114" s="0" t="n">
        <f aca="false">IF($K$5="OK",((I114*$I$5)+(J114*$J$5)),"*******")</f>
        <v>0.41</v>
      </c>
      <c r="M114" s="6" t="n">
        <f aca="false">F114*G114*K114</f>
        <v>220014.292522433</v>
      </c>
      <c r="N114" s="5" t="n">
        <f aca="false">F114*G114</f>
        <v>536620.225664472</v>
      </c>
      <c r="W114" s="69" t="n">
        <v>0.0583779491407364</v>
      </c>
      <c r="X114" s="0" t="n">
        <v>2.515</v>
      </c>
      <c r="Y114" s="9" t="n">
        <v>2.705</v>
      </c>
      <c r="Z114" s="9" t="n">
        <f aca="false">X114*$Z$3</f>
        <v>0.1068875</v>
      </c>
      <c r="AA114" s="0" t="n">
        <f aca="false">+Y114-X114</f>
        <v>0.19</v>
      </c>
      <c r="AB114" s="47" t="n">
        <f aca="false">IF(($AA114-$Z114-$AB$3)/2&lt;$AB$3,$AB$3,($AA114-$Z114-$AB$3)/2)</f>
        <v>0.05</v>
      </c>
      <c r="AC114" s="47" t="n">
        <f aca="false">IF(AA114&gt;Z114,(AA114-Z114),0)</f>
        <v>0.0831124999999999</v>
      </c>
      <c r="AD114" s="48" t="n">
        <f aca="false">+AC114-AB114</f>
        <v>0.0331124999999999</v>
      </c>
      <c r="AE114" s="6" t="n">
        <f aca="false">10000*AD114</f>
        <v>331.124999999999</v>
      </c>
      <c r="AG114" s="6" t="n">
        <f aca="false">5000*(AC114)</f>
        <v>415.5625</v>
      </c>
      <c r="AS114" s="0" t="n">
        <f aca="false">+AS102</f>
        <v>0.26</v>
      </c>
      <c r="AT114" s="0" t="n">
        <f aca="false">+AT102</f>
        <v>0.15</v>
      </c>
      <c r="AU114" s="0" t="n">
        <f aca="false">+AS114+AT114</f>
        <v>0.41</v>
      </c>
    </row>
    <row r="115" customFormat="false" ht="12.75" hidden="false" customHeight="false" outlineLevel="0" collapsed="false">
      <c r="A115" s="51" t="n">
        <f aca="false">DATE(YEAR(A114+31),MONTH(A114+31),1)</f>
        <v>40210</v>
      </c>
      <c r="B115" s="0" t="n">
        <f aca="false">IF(A115&gt;=$A$3,IF(A115&lt;=$A$4,1,0),0)*(A116-A115)</f>
        <v>28</v>
      </c>
      <c r="C115" s="77"/>
      <c r="D115" s="53" t="n">
        <f aca="false">Feeds!G109</f>
        <v>0</v>
      </c>
      <c r="E115" s="78"/>
      <c r="F115" s="5" t="n">
        <f aca="false">$G$3*B115</f>
        <v>196000</v>
      </c>
      <c r="G115" s="55" t="n">
        <f aca="true">(1+W115/2)^(-2*($A115-TODAY())/365.25)</f>
        <v>2.46209981459094</v>
      </c>
      <c r="H115" s="76" t="n">
        <v>0.41</v>
      </c>
      <c r="I115" s="0" t="n">
        <f aca="false">IF(E115=0,D115,E115)</f>
        <v>0</v>
      </c>
      <c r="J115" s="0" t="n">
        <f aca="false">IF($I$4=0,H115,(I115+H115))</f>
        <v>0.41</v>
      </c>
      <c r="K115" s="0" t="n">
        <f aca="false">IF($K$5="OK",((I115*$I$5)+(J115*$J$5)),"*******")</f>
        <v>0.41</v>
      </c>
      <c r="M115" s="6" t="n">
        <f aca="false">F115*G115*K115</f>
        <v>197854.341100528</v>
      </c>
      <c r="N115" s="5" t="n">
        <f aca="false">F115*G115</f>
        <v>482571.563659823</v>
      </c>
      <c r="W115" s="69" t="n">
        <v>0.0584111666409677</v>
      </c>
      <c r="X115" s="0" t="n">
        <v>2.515</v>
      </c>
      <c r="Y115" s="9" t="n">
        <v>2.705</v>
      </c>
      <c r="Z115" s="9" t="n">
        <f aca="false">X115*$Z$3</f>
        <v>0.1068875</v>
      </c>
      <c r="AA115" s="0" t="n">
        <f aca="false">+Y115-X115</f>
        <v>0.19</v>
      </c>
      <c r="AB115" s="47" t="n">
        <f aca="false">IF(($AA115-$Z115-$AB$3)/2&lt;$AB$3,$AB$3,($AA115-$Z115-$AB$3)/2)</f>
        <v>0.05</v>
      </c>
      <c r="AC115" s="47" t="n">
        <f aca="false">IF(AA115&gt;Z115,(AA115-Z115),0)</f>
        <v>0.0831124999999999</v>
      </c>
      <c r="AD115" s="48" t="n">
        <f aca="false">+AC115-AB115</f>
        <v>0.0331124999999999</v>
      </c>
      <c r="AE115" s="6" t="n">
        <f aca="false">10000*AD115</f>
        <v>331.124999999999</v>
      </c>
      <c r="AG115" s="6" t="n">
        <f aca="false">5000*(AC115)</f>
        <v>415.5625</v>
      </c>
      <c r="AS115" s="0" t="n">
        <f aca="false">+AS103</f>
        <v>0.26</v>
      </c>
      <c r="AT115" s="0" t="n">
        <f aca="false">+AT103</f>
        <v>0.15</v>
      </c>
      <c r="AU115" s="0" t="n">
        <f aca="false">+AS115+AT115</f>
        <v>0.41</v>
      </c>
    </row>
    <row r="116" customFormat="false" ht="12.75" hidden="false" customHeight="false" outlineLevel="0" collapsed="false">
      <c r="A116" s="51" t="n">
        <f aca="false">DATE(YEAR(A115+31),MONTH(A115+31),1)</f>
        <v>40238</v>
      </c>
      <c r="B116" s="0" t="n">
        <f aca="false">IF(A116&gt;=$A$3,IF(A116&lt;=$A$4,1,0),0)*(A117-A116)</f>
        <v>31</v>
      </c>
      <c r="C116" s="77"/>
      <c r="D116" s="53" t="n">
        <f aca="false">Feeds!G110</f>
        <v>0</v>
      </c>
      <c r="E116" s="78"/>
      <c r="F116" s="5" t="n">
        <f aca="false">$G$3*B116</f>
        <v>217000</v>
      </c>
      <c r="G116" s="55" t="n">
        <f aca="true">(1+W116/2)^(-2*($A116-TODAY())/365.25)</f>
        <v>2.45262132641354</v>
      </c>
      <c r="H116" s="76" t="n">
        <v>0.41</v>
      </c>
      <c r="I116" s="0" t="n">
        <f aca="false">IF(E116=0,D116,E116)</f>
        <v>0</v>
      </c>
      <c r="J116" s="0" t="n">
        <f aca="false">IF($I$4=0,H116,(I116+H116))</f>
        <v>0.41</v>
      </c>
      <c r="K116" s="0" t="n">
        <f aca="false">IF($K$5="OK",((I116*$I$5)+(J116*$J$5)),"*******")</f>
        <v>0.41</v>
      </c>
      <c r="M116" s="6" t="n">
        <f aca="false">F116*G116*K116</f>
        <v>218209.719411013</v>
      </c>
      <c r="N116" s="5" t="n">
        <f aca="false">F116*G116</f>
        <v>532218.827831739</v>
      </c>
      <c r="W116" s="69" t="n">
        <v>0.0584479431595088</v>
      </c>
      <c r="X116" s="0" t="n">
        <v>2.515</v>
      </c>
      <c r="Y116" s="9" t="n">
        <v>2.705</v>
      </c>
      <c r="Z116" s="9" t="n">
        <f aca="false">X116*$Z$3</f>
        <v>0.1068875</v>
      </c>
      <c r="AA116" s="0" t="n">
        <f aca="false">+Y116-X116</f>
        <v>0.19</v>
      </c>
      <c r="AB116" s="47" t="n">
        <f aca="false">IF(($AA116-$Z116-$AB$3)/2&lt;$AB$3,$AB$3,($AA116-$Z116-$AB$3)/2)</f>
        <v>0.05</v>
      </c>
      <c r="AC116" s="47" t="n">
        <f aca="false">IF(AA116&gt;Z116,(AA116-Z116),0)</f>
        <v>0.0831124999999999</v>
      </c>
      <c r="AD116" s="48" t="n">
        <f aca="false">+AC116-AB116</f>
        <v>0.0331124999999999</v>
      </c>
      <c r="AE116" s="6" t="n">
        <f aca="false">10000*AD116</f>
        <v>331.124999999999</v>
      </c>
      <c r="AG116" s="6" t="n">
        <f aca="false">5000*(AC116)</f>
        <v>415.5625</v>
      </c>
      <c r="AS116" s="0" t="n">
        <f aca="false">+AS104</f>
        <v>0.26</v>
      </c>
      <c r="AT116" s="0" t="n">
        <f aca="false">+AT104</f>
        <v>0.15</v>
      </c>
      <c r="AU116" s="0" t="n">
        <f aca="false">+AS116+AT116</f>
        <v>0.41</v>
      </c>
    </row>
    <row r="117" customFormat="false" ht="12.75" hidden="false" customHeight="false" outlineLevel="0" collapsed="false">
      <c r="A117" s="51" t="n">
        <f aca="false">DATE(YEAR(A116+31),MONTH(A116+31),1)</f>
        <v>40269</v>
      </c>
      <c r="B117" s="0" t="n">
        <f aca="false">IF(A117&gt;=$A$3,IF(A117&lt;=$A$4,1,0),0)*(A118-A117)</f>
        <v>30</v>
      </c>
      <c r="C117" s="77"/>
      <c r="D117" s="53" t="n">
        <f aca="false">Feeds!G111</f>
        <v>0</v>
      </c>
      <c r="E117" s="78"/>
      <c r="F117" s="5" t="n">
        <f aca="false">$G$3*B117</f>
        <v>210000</v>
      </c>
      <c r="G117" s="55" t="n">
        <f aca="true">(1+W117/2)^(-2*($A117-TODAY())/365.25)</f>
        <v>2.44196581370039</v>
      </c>
      <c r="H117" s="76" t="n">
        <v>0.22</v>
      </c>
      <c r="I117" s="0" t="n">
        <f aca="false">IF(E117=0,D117,E117)</f>
        <v>0</v>
      </c>
      <c r="J117" s="0" t="n">
        <f aca="false">IF($I$4=0,H117,(I117+H117))</f>
        <v>0.22</v>
      </c>
      <c r="K117" s="0" t="n">
        <f aca="false">IF($K$5="OK",((I117*$I$5)+(J117*$J$5)),"*******")</f>
        <v>0.22</v>
      </c>
      <c r="M117" s="6" t="n">
        <f aca="false">F117*G117*K117</f>
        <v>112818.820592958</v>
      </c>
      <c r="N117" s="5" t="n">
        <f aca="false">F117*G117</f>
        <v>512812.820877082</v>
      </c>
      <c r="W117" s="69" t="n">
        <v>0.0584835333391704</v>
      </c>
      <c r="X117" s="0" t="n">
        <v>2.565</v>
      </c>
      <c r="Y117" s="9" t="n">
        <v>2.77</v>
      </c>
      <c r="Z117" s="9" t="n">
        <f aca="false">X117*$Z$3</f>
        <v>0.1090125</v>
      </c>
      <c r="AA117" s="0" t="n">
        <f aca="false">+Y117-X117</f>
        <v>0.205</v>
      </c>
      <c r="AB117" s="47" t="n">
        <f aca="false">IF(($AA117-$Z117-$AB$3)/2&lt;$AB$3,$AB$3,($AA117-$Z117-$AB$3)/2)</f>
        <v>0.05</v>
      </c>
      <c r="AC117" s="47" t="n">
        <f aca="false">IF(AA117&gt;Z117,(AA117-Z117),0)</f>
        <v>0.0959875000000001</v>
      </c>
      <c r="AD117" s="48" t="n">
        <f aca="false">+AC117-AB117</f>
        <v>0.0459875000000001</v>
      </c>
      <c r="AE117" s="6" t="n">
        <f aca="false">10000*AD117</f>
        <v>459.875000000001</v>
      </c>
      <c r="AG117" s="6" t="n">
        <f aca="false">5000*(AC117)</f>
        <v>479.9375</v>
      </c>
      <c r="AS117" s="0" t="n">
        <f aca="false">+AS105</f>
        <v>0.17</v>
      </c>
      <c r="AT117" s="0" t="n">
        <f aca="false">+AT105</f>
        <v>0.05</v>
      </c>
      <c r="AU117" s="0" t="n">
        <f aca="false">+AS117+AT117</f>
        <v>0.22</v>
      </c>
    </row>
    <row r="118" customFormat="false" ht="12.75" hidden="false" customHeight="false" outlineLevel="0" collapsed="false">
      <c r="A118" s="51" t="n">
        <f aca="false">DATE(YEAR(A117+31),MONTH(A117+31),1)</f>
        <v>40299</v>
      </c>
      <c r="B118" s="0" t="n">
        <f aca="false">IF(A118&gt;=$A$3,IF(A118&lt;=$A$4,1,0),0)*(A119-A118)</f>
        <v>31</v>
      </c>
      <c r="C118" s="77"/>
      <c r="D118" s="53" t="n">
        <f aca="false">Feeds!G112</f>
        <v>0</v>
      </c>
      <c r="E118" s="78"/>
      <c r="F118" s="5" t="n">
        <f aca="false">$G$3*B118</f>
        <v>217000</v>
      </c>
      <c r="G118" s="55" t="n">
        <f aca="true">(1+W118/2)^(-2*($A118-TODAY())/365.25)</f>
        <v>2.4317694628632</v>
      </c>
      <c r="H118" s="76" t="n">
        <v>0.22</v>
      </c>
      <c r="I118" s="0" t="n">
        <f aca="false">IF(E118=0,D118,E118)</f>
        <v>0</v>
      </c>
      <c r="J118" s="0" t="n">
        <f aca="false">IF($I$4=0,H118,(I118+H118))</f>
        <v>0.22</v>
      </c>
      <c r="K118" s="0" t="n">
        <f aca="false">IF($K$5="OK",((I118*$I$5)+(J118*$J$5)),"*******")</f>
        <v>0.22</v>
      </c>
      <c r="M118" s="6" t="n">
        <f aca="false">F118*G118*K118</f>
        <v>116092.674157089</v>
      </c>
      <c r="N118" s="5" t="n">
        <f aca="false">F118*G118</f>
        <v>527693.973441314</v>
      </c>
      <c r="W118" s="69" t="n">
        <v>0.0585203098585967</v>
      </c>
      <c r="X118" s="0" t="n">
        <v>2.57</v>
      </c>
      <c r="Y118" s="9" t="n">
        <v>2.84</v>
      </c>
      <c r="Z118" s="9" t="n">
        <f aca="false">X118*$Z$3</f>
        <v>0.109225</v>
      </c>
      <c r="AA118" s="0" t="n">
        <f aca="false">+Y118-X118</f>
        <v>0.27</v>
      </c>
      <c r="AB118" s="47" t="n">
        <f aca="false">IF(($AA118-$Z118-$AB$3)/2&lt;$AB$3,$AB$3,($AA118-$Z118-$AB$3)/2)</f>
        <v>0.0553875</v>
      </c>
      <c r="AC118" s="47" t="n">
        <f aca="false">IF(AA118&gt;Z118,(AA118-Z118),0)</f>
        <v>0.160775</v>
      </c>
      <c r="AD118" s="48" t="n">
        <f aca="false">+AC118-AB118</f>
        <v>0.1053875</v>
      </c>
      <c r="AE118" s="6" t="n">
        <f aca="false">10000*AD118</f>
        <v>1053.875</v>
      </c>
      <c r="AG118" s="6" t="n">
        <f aca="false">5000*(AC118)</f>
        <v>803.875</v>
      </c>
      <c r="AS118" s="0" t="n">
        <f aca="false">+AS106</f>
        <v>0.17</v>
      </c>
      <c r="AT118" s="0" t="n">
        <f aca="false">+AT106</f>
        <v>0.05</v>
      </c>
      <c r="AU118" s="0" t="n">
        <f aca="false">+AS118+AT118</f>
        <v>0.22</v>
      </c>
    </row>
    <row r="119" customFormat="false" ht="12.75" hidden="false" customHeight="false" outlineLevel="0" collapsed="false">
      <c r="A119" s="51" t="n">
        <f aca="false">DATE(YEAR(A118+31),MONTH(A118+31),1)</f>
        <v>40330</v>
      </c>
      <c r="B119" s="0" t="n">
        <f aca="false">IF(A119&gt;=$A$3,IF(A119&lt;=$A$4,1,0),0)*(A120-A119)</f>
        <v>30</v>
      </c>
      <c r="C119" s="77"/>
      <c r="D119" s="53" t="n">
        <f aca="false">Feeds!G113</f>
        <v>0</v>
      </c>
      <c r="E119" s="78"/>
      <c r="F119" s="5" t="n">
        <f aca="false">$G$3*B119</f>
        <v>210000</v>
      </c>
      <c r="G119" s="55" t="n">
        <f aca="true">(1+W119/2)^(-2*($A119-TODAY())/365.25)</f>
        <v>2.42117606588329</v>
      </c>
      <c r="H119" s="76" t="n">
        <v>0.22</v>
      </c>
      <c r="I119" s="0" t="n">
        <f aca="false">IF(E119=0,D119,E119)</f>
        <v>0</v>
      </c>
      <c r="J119" s="0" t="n">
        <f aca="false">IF($I$4=0,H119,(I119+H119))</f>
        <v>0.22</v>
      </c>
      <c r="K119" s="0" t="n">
        <f aca="false">IF($K$5="OK",((I119*$I$5)+(J119*$J$5)),"*******")</f>
        <v>0.22</v>
      </c>
      <c r="M119" s="6" t="n">
        <f aca="false">F119*G119*K119</f>
        <v>111858.334243808</v>
      </c>
      <c r="N119" s="5" t="n">
        <f aca="false">F119*G119</f>
        <v>508446.973835491</v>
      </c>
      <c r="W119" s="69" t="n">
        <v>0.0585559000391145</v>
      </c>
      <c r="X119" s="0" t="n">
        <v>2.57</v>
      </c>
      <c r="Y119" s="9" t="n">
        <v>2.9</v>
      </c>
      <c r="Z119" s="9" t="n">
        <f aca="false">X119*$Z$3</f>
        <v>0.109225</v>
      </c>
      <c r="AA119" s="0" t="n">
        <f aca="false">+Y119-X119</f>
        <v>0.33</v>
      </c>
      <c r="AB119" s="47" t="n">
        <f aca="false">IF(($AA119-$Z119-$AB$3)/2&lt;$AB$3,$AB$3,($AA119-$Z119-$AB$3)/2)</f>
        <v>0.0853875</v>
      </c>
      <c r="AC119" s="47" t="n">
        <f aca="false">IF(AA119&gt;Z119,(AA119-Z119),0)</f>
        <v>0.220775</v>
      </c>
      <c r="AD119" s="48" t="n">
        <f aca="false">+AC119-AB119</f>
        <v>0.1353875</v>
      </c>
      <c r="AE119" s="6" t="n">
        <f aca="false">10000*AD119</f>
        <v>1353.875</v>
      </c>
      <c r="AG119" s="6" t="n">
        <f aca="false">5000*(AC119)</f>
        <v>1103.875</v>
      </c>
      <c r="AS119" s="0" t="n">
        <f aca="false">+AS107</f>
        <v>0.17</v>
      </c>
      <c r="AT119" s="0" t="n">
        <f aca="false">+AT107</f>
        <v>0.05</v>
      </c>
      <c r="AU119" s="0" t="n">
        <f aca="false">+AS119+AT119</f>
        <v>0.22</v>
      </c>
    </row>
    <row r="120" customFormat="false" ht="12.75" hidden="false" customHeight="false" outlineLevel="0" collapsed="false">
      <c r="A120" s="51" t="n">
        <f aca="false">DATE(YEAR(A119+31),MONTH(A119+31),1)</f>
        <v>40360</v>
      </c>
      <c r="B120" s="0" t="n">
        <f aca="false">IF(A120&gt;=$A$3,IF(A120&lt;=$A$4,1,0),0)*(A121-A120)</f>
        <v>31</v>
      </c>
      <c r="C120" s="77"/>
      <c r="D120" s="53" t="n">
        <f aca="false">Feeds!G114</f>
        <v>0</v>
      </c>
      <c r="E120" s="78"/>
      <c r="F120" s="5" t="n">
        <f aca="false">$G$3*B120</f>
        <v>217000</v>
      </c>
      <c r="G120" s="55" t="n">
        <f aca="true">(1+W120/2)^(-2*($A120-TODAY())/365.25)</f>
        <v>2.41103816442417</v>
      </c>
      <c r="H120" s="76" t="n">
        <v>0.22</v>
      </c>
      <c r="I120" s="0" t="n">
        <f aca="false">IF(E120=0,D120,E120)</f>
        <v>0</v>
      </c>
      <c r="J120" s="0" t="n">
        <f aca="false">IF($I$4=0,H120,(I120+H120))</f>
        <v>0.22</v>
      </c>
      <c r="K120" s="0" t="n">
        <f aca="false">IF($K$5="OK",((I120*$I$5)+(J120*$J$5)),"*******")</f>
        <v>0.22</v>
      </c>
      <c r="M120" s="6" t="n">
        <f aca="false">F120*G120*K120</f>
        <v>115102.96196961</v>
      </c>
      <c r="N120" s="5" t="n">
        <f aca="false">F120*G120</f>
        <v>523195.281680046</v>
      </c>
      <c r="W120" s="69" t="n">
        <v>0.0585926765594254</v>
      </c>
      <c r="X120" s="0" t="n">
        <v>2.76</v>
      </c>
      <c r="Y120" s="9" t="n">
        <v>3.005</v>
      </c>
      <c r="Z120" s="9" t="n">
        <f aca="false">X120*$Z$3</f>
        <v>0.1173</v>
      </c>
      <c r="AA120" s="0" t="n">
        <f aca="false">+Y120-X120</f>
        <v>0.245</v>
      </c>
      <c r="AB120" s="47" t="n">
        <f aca="false">IF(($AA120-$Z120-$AB$3)/2&lt;$AB$3,$AB$3,($AA120-$Z120-$AB$3)/2)</f>
        <v>0.05</v>
      </c>
      <c r="AC120" s="47" t="n">
        <f aca="false">IF(AA120&gt;Z120,(AA120-Z120),0)</f>
        <v>0.1277</v>
      </c>
      <c r="AD120" s="48" t="n">
        <f aca="false">+AC120-AB120</f>
        <v>0.0777000000000001</v>
      </c>
      <c r="AE120" s="6" t="n">
        <f aca="false">10000*AD120</f>
        <v>777.000000000001</v>
      </c>
      <c r="AG120" s="6" t="n">
        <f aca="false">5000*(AC120)</f>
        <v>638.500000000001</v>
      </c>
      <c r="AS120" s="0" t="n">
        <f aca="false">+AS108</f>
        <v>0.17</v>
      </c>
      <c r="AT120" s="0" t="n">
        <f aca="false">+AT108</f>
        <v>0.05</v>
      </c>
      <c r="AU120" s="0" t="n">
        <f aca="false">+AS120+AT120</f>
        <v>0.22</v>
      </c>
    </row>
    <row r="121" customFormat="false" ht="12.75" hidden="false" customHeight="false" outlineLevel="0" collapsed="false">
      <c r="A121" s="51" t="n">
        <f aca="false">DATE(YEAR(A120+31),MONTH(A120+31),1)</f>
        <v>40391</v>
      </c>
      <c r="B121" s="0" t="n">
        <f aca="false">IF(A121&gt;=$A$3,IF(A121&lt;=$A$4,1,0),0)*(A122-A121)</f>
        <v>31</v>
      </c>
      <c r="C121" s="77"/>
      <c r="D121" s="53" t="n">
        <f aca="false">Feeds!G115</f>
        <v>0</v>
      </c>
      <c r="E121" s="78"/>
      <c r="F121" s="5" t="n">
        <f aca="false">$G$3*B121</f>
        <v>217000</v>
      </c>
      <c r="G121" s="55" t="n">
        <f aca="true">(1+W121/2)^(-2*($A121-TODAY())/365.25)</f>
        <v>2.40054877383705</v>
      </c>
      <c r="H121" s="76" t="n">
        <v>0.22</v>
      </c>
      <c r="I121" s="0" t="n">
        <f aca="false">IF(E121=0,D121,E121)</f>
        <v>0</v>
      </c>
      <c r="J121" s="0" t="n">
        <f aca="false">IF($I$4=0,H121,(I121+H121))</f>
        <v>0.22</v>
      </c>
      <c r="K121" s="0" t="n">
        <f aca="false">IF($K$5="OK",((I121*$I$5)+(J121*$J$5)),"*******")</f>
        <v>0.22</v>
      </c>
      <c r="M121" s="6" t="n">
        <f aca="false">F121*G121*K121</f>
        <v>114602.198462981</v>
      </c>
      <c r="N121" s="5" t="n">
        <f aca="false">F121*G121</f>
        <v>520919.08392264</v>
      </c>
      <c r="W121" s="69" t="n">
        <v>0.0586294530801861</v>
      </c>
      <c r="X121" s="0" t="n">
        <v>2.68</v>
      </c>
      <c r="Y121" s="9" t="n">
        <v>2.91</v>
      </c>
      <c r="Z121" s="9" t="n">
        <f aca="false">X121*$Z$3</f>
        <v>0.1139</v>
      </c>
      <c r="AA121" s="0" t="n">
        <f aca="false">+Y121-X121</f>
        <v>0.23</v>
      </c>
      <c r="AB121" s="47" t="n">
        <f aca="false">IF(($AA121-$Z121-$AB$3)/2&lt;$AB$3,$AB$3,($AA121-$Z121-$AB$3)/2)</f>
        <v>0.05</v>
      </c>
      <c r="AC121" s="47" t="n">
        <f aca="false">IF(AA121&gt;Z121,(AA121-Z121),0)</f>
        <v>0.1161</v>
      </c>
      <c r="AD121" s="48" t="n">
        <f aca="false">+AC121-AB121</f>
        <v>0.0661</v>
      </c>
      <c r="AE121" s="6" t="n">
        <f aca="false">10000*AD121</f>
        <v>661</v>
      </c>
      <c r="AG121" s="6" t="n">
        <f aca="false">5000*(AC121)</f>
        <v>580.5</v>
      </c>
      <c r="AS121" s="0" t="n">
        <f aca="false">+AS109</f>
        <v>0.17</v>
      </c>
      <c r="AT121" s="0" t="n">
        <f aca="false">+AT109</f>
        <v>0.05</v>
      </c>
      <c r="AU121" s="0" t="n">
        <f aca="false">+AS121+AT121</f>
        <v>0.22</v>
      </c>
    </row>
    <row r="122" customFormat="false" ht="12.75" hidden="false" customHeight="false" outlineLevel="0" collapsed="false">
      <c r="A122" s="51" t="n">
        <f aca="false">DATE(YEAR(A121+31),MONTH(A121+31),1)</f>
        <v>40422</v>
      </c>
      <c r="B122" s="0" t="n">
        <f aca="false">IF(A122&gt;=$A$3,IF(A122&lt;=$A$4,1,0),0)*(A123-A122)</f>
        <v>30</v>
      </c>
      <c r="C122" s="77"/>
      <c r="D122" s="53" t="n">
        <f aca="false">Feeds!G116</f>
        <v>0</v>
      </c>
      <c r="E122" s="78"/>
      <c r="F122" s="5" t="n">
        <f aca="false">$G$3*B122</f>
        <v>210000</v>
      </c>
      <c r="G122" s="55" t="n">
        <f aca="true">(1+W122/2)^(-2*($A122-TODAY())/365.25)</f>
        <v>2.39004898934214</v>
      </c>
      <c r="H122" s="76" t="n">
        <v>0.22</v>
      </c>
      <c r="I122" s="0" t="n">
        <f aca="false">IF(E122=0,D122,E122)</f>
        <v>0</v>
      </c>
      <c r="J122" s="0" t="n">
        <f aca="false">IF($I$4=0,H122,(I122+H122))</f>
        <v>0.22</v>
      </c>
      <c r="K122" s="0" t="n">
        <f aca="false">IF($K$5="OK",((I122*$I$5)+(J122*$J$5)),"*******")</f>
        <v>0.22</v>
      </c>
      <c r="M122" s="6" t="n">
        <f aca="false">F122*G122*K122</f>
        <v>110420.263307607</v>
      </c>
      <c r="N122" s="5" t="n">
        <f aca="false">F122*G122</f>
        <v>501910.28776185</v>
      </c>
      <c r="W122" s="69" t="n">
        <v>0.0586650432619957</v>
      </c>
      <c r="X122" s="0" t="n">
        <v>2.68</v>
      </c>
      <c r="Y122" s="9" t="n">
        <v>2.91</v>
      </c>
      <c r="Z122" s="9" t="n">
        <f aca="false">X122*$Z$3</f>
        <v>0.1139</v>
      </c>
      <c r="AA122" s="0" t="n">
        <f aca="false">+Y122-X122</f>
        <v>0.23</v>
      </c>
      <c r="AB122" s="47" t="n">
        <f aca="false">IF(($AA122-$Z122-$AB$3)/2&lt;$AB$3,$AB$3,($AA122-$Z122-$AB$3)/2)</f>
        <v>0.05</v>
      </c>
      <c r="AC122" s="47" t="n">
        <f aca="false">IF(AA122&gt;Z122,(AA122-Z122),0)</f>
        <v>0.1161</v>
      </c>
      <c r="AD122" s="48" t="n">
        <f aca="false">+AC122-AB122</f>
        <v>0.0661</v>
      </c>
      <c r="AE122" s="6" t="n">
        <f aca="false">10000*AD122</f>
        <v>661</v>
      </c>
      <c r="AG122" s="6" t="n">
        <f aca="false">5000*(AC122)</f>
        <v>580.5</v>
      </c>
      <c r="AS122" s="0" t="n">
        <f aca="false">+AS110</f>
        <v>0.17</v>
      </c>
      <c r="AT122" s="0" t="n">
        <f aca="false">+AT110</f>
        <v>0.05</v>
      </c>
      <c r="AU122" s="0" t="n">
        <f aca="false">+AS122+AT122</f>
        <v>0.22</v>
      </c>
    </row>
    <row r="123" customFormat="false" ht="12.75" hidden="false" customHeight="false" outlineLevel="0" collapsed="false">
      <c r="A123" s="51" t="n">
        <f aca="false">DATE(YEAR(A122+31),MONTH(A122+31),1)</f>
        <v>40452</v>
      </c>
      <c r="B123" s="0" t="n">
        <f aca="false">IF(A123&gt;=$A$3,IF(A123&lt;=$A$4,1,0),0)*(A124-A123)</f>
        <v>31</v>
      </c>
      <c r="C123" s="77"/>
      <c r="D123" s="53" t="n">
        <f aca="false">Feeds!G117</f>
        <v>0</v>
      </c>
      <c r="E123" s="78"/>
      <c r="F123" s="5" t="n">
        <f aca="false">$G$3*B123</f>
        <v>217000</v>
      </c>
      <c r="G123" s="55" t="n">
        <f aca="true">(1+W123/2)^(-2*($A123-TODAY())/365.25)</f>
        <v>2.37999920707524</v>
      </c>
      <c r="H123" s="76" t="n">
        <v>0.22</v>
      </c>
      <c r="I123" s="0" t="n">
        <f aca="false">IF(E123=0,D123,E123)</f>
        <v>0</v>
      </c>
      <c r="J123" s="0" t="n">
        <f aca="false">IF($I$4=0,H123,(I123+H123))</f>
        <v>0.22</v>
      </c>
      <c r="K123" s="0" t="n">
        <f aca="false">IF($K$5="OK",((I123*$I$5)+(J123*$J$5)),"*******")</f>
        <v>0.22</v>
      </c>
      <c r="M123" s="6" t="n">
        <f aca="false">F123*G123*K123</f>
        <v>113621.162145772</v>
      </c>
      <c r="N123" s="5" t="n">
        <f aca="false">F123*G123</f>
        <v>516459.827935328</v>
      </c>
      <c r="W123" s="69" t="n">
        <v>0.0587018197836411</v>
      </c>
      <c r="X123" s="0" t="n">
        <v>2.68</v>
      </c>
      <c r="Y123" s="9" t="n">
        <v>2.91</v>
      </c>
      <c r="Z123" s="9" t="n">
        <f aca="false">X123*$Z$3</f>
        <v>0.1139</v>
      </c>
      <c r="AA123" s="0" t="n">
        <f aca="false">+Y123-X123</f>
        <v>0.23</v>
      </c>
      <c r="AB123" s="47" t="n">
        <f aca="false">IF(($AA123-$Z123-$AB$3)/2&lt;$AB$3,$AB$3,($AA123-$Z123-$AB$3)/2)</f>
        <v>0.05</v>
      </c>
      <c r="AC123" s="47" t="n">
        <f aca="false">IF(AA123&gt;Z123,(AA123-Z123),0)</f>
        <v>0.1161</v>
      </c>
      <c r="AD123" s="48" t="n">
        <f aca="false">+AC123-AB123</f>
        <v>0.0661</v>
      </c>
      <c r="AE123" s="6" t="n">
        <f aca="false">10000*AD123</f>
        <v>661</v>
      </c>
      <c r="AG123" s="6" t="n">
        <f aca="false">5000*(AC123)</f>
        <v>580.5</v>
      </c>
      <c r="AS123" s="0" t="n">
        <f aca="false">+AS111</f>
        <v>0.17</v>
      </c>
      <c r="AT123" s="0" t="n">
        <f aca="false">+AT111</f>
        <v>0.05</v>
      </c>
      <c r="AU123" s="0" t="n">
        <f aca="false">+AS123+AT123</f>
        <v>0.22</v>
      </c>
    </row>
    <row r="124" customFormat="false" ht="12.75" hidden="false" customHeight="false" outlineLevel="0" collapsed="false">
      <c r="A124" s="51" t="n">
        <f aca="false">DATE(YEAR(A123+31),MONTH(A123+31),1)</f>
        <v>40483</v>
      </c>
      <c r="B124" s="0" t="n">
        <f aca="false">IF(A124&gt;=$A$3,IF(A124&lt;=$A$4,1,0),0)*(A125-A124)</f>
        <v>30</v>
      </c>
      <c r="C124" s="77"/>
      <c r="D124" s="53" t="n">
        <f aca="false">Feeds!G118</f>
        <v>0</v>
      </c>
      <c r="E124" s="78"/>
      <c r="F124" s="5" t="n">
        <f aca="false">$G$3*B124</f>
        <v>210000</v>
      </c>
      <c r="G124" s="55" t="n">
        <f aca="true">(1+W124/2)^(-2*($A124-TODAY())/365.25)</f>
        <v>2.36956143922198</v>
      </c>
      <c r="H124" s="76" t="n">
        <v>0.45</v>
      </c>
      <c r="I124" s="0" t="n">
        <f aca="false">IF(E124=0,D124,E124)</f>
        <v>0</v>
      </c>
      <c r="J124" s="0" t="n">
        <f aca="false">IF($I$4=0,H124,(I124+H124))</f>
        <v>0.45</v>
      </c>
      <c r="K124" s="0" t="n">
        <f aca="false">IF($K$5="OK",((I124*$I$5)+(J124*$J$5)),"*******")</f>
        <v>0.45</v>
      </c>
      <c r="M124" s="6" t="n">
        <f aca="false">F124*G124*K124</f>
        <v>223923.556006477</v>
      </c>
      <c r="N124" s="5" t="n">
        <f aca="false">F124*G124</f>
        <v>497607.902236617</v>
      </c>
      <c r="W124" s="69" t="n">
        <v>0.0587374099663074</v>
      </c>
      <c r="X124" s="0" t="n">
        <v>2.715</v>
      </c>
      <c r="Y124" s="9" t="n">
        <v>2.97</v>
      </c>
      <c r="Z124" s="9" t="n">
        <f aca="false">X124*$Z$3</f>
        <v>0.1153875</v>
      </c>
      <c r="AA124" s="0" t="n">
        <f aca="false">+Y124-X124</f>
        <v>0.255</v>
      </c>
      <c r="AB124" s="47" t="n">
        <f aca="false">IF(($AA124-$Z124-$AB$3)/2&lt;$AB$3,$AB$3,($AA124-$Z124-$AB$3)/2)</f>
        <v>0.05</v>
      </c>
      <c r="AC124" s="47" t="n">
        <f aca="false">IF(AA124&gt;Z124,(AA124-Z124),0)</f>
        <v>0.1396125</v>
      </c>
      <c r="AD124" s="48" t="n">
        <f aca="false">+AC124-AB124</f>
        <v>0.0896125000000003</v>
      </c>
      <c r="AE124" s="6" t="n">
        <f aca="false">10000*AD124</f>
        <v>896.125000000003</v>
      </c>
      <c r="AG124" s="6" t="n">
        <f aca="false">5000*(AC124)</f>
        <v>698.062500000002</v>
      </c>
      <c r="AS124" s="0" t="n">
        <v>0.3</v>
      </c>
      <c r="AT124" s="0" t="n">
        <f aca="false">+AT112</f>
        <v>0.15</v>
      </c>
      <c r="AU124" s="0" t="n">
        <f aca="false">+AS124+AT124</f>
        <v>0.45</v>
      </c>
    </row>
    <row r="125" customFormat="false" ht="12.75" hidden="false" customHeight="false" outlineLevel="0" collapsed="false">
      <c r="A125" s="51" t="n">
        <f aca="false">DATE(YEAR(A124+31),MONTH(A124+31),1)</f>
        <v>40513</v>
      </c>
      <c r="B125" s="0" t="n">
        <f aca="false">IF(A125&gt;=$A$3,IF(A125&lt;=$A$4,1,0),0)*(A126-A125)</f>
        <v>31</v>
      </c>
      <c r="C125" s="77"/>
      <c r="D125" s="53" t="n">
        <f aca="false">Feeds!G119</f>
        <v>0</v>
      </c>
      <c r="E125" s="78"/>
      <c r="F125" s="5" t="n">
        <f aca="false">$G$3*B125</f>
        <v>217000</v>
      </c>
      <c r="G125" s="55" t="n">
        <f aca="true">(1+W125/2)^(-2*($A125-TODAY())/365.25)</f>
        <v>2.35957005537941</v>
      </c>
      <c r="H125" s="76" t="n">
        <v>0.45</v>
      </c>
      <c r="I125" s="0" t="n">
        <f aca="false">IF(E125=0,D125,E125)</f>
        <v>0</v>
      </c>
      <c r="J125" s="0" t="n">
        <f aca="false">IF($I$4=0,H125,(I125+H125))</f>
        <v>0.45</v>
      </c>
      <c r="K125" s="0" t="n">
        <f aca="false">IF($K$5="OK",((I125*$I$5)+(J125*$J$5)),"*******")</f>
        <v>0.45</v>
      </c>
      <c r="M125" s="6" t="n">
        <f aca="false">F125*G125*K125</f>
        <v>230412.0159078</v>
      </c>
      <c r="N125" s="5" t="n">
        <f aca="false">F125*G125</f>
        <v>512026.702017333</v>
      </c>
      <c r="W125" s="69" t="n">
        <v>0.0587741864888374</v>
      </c>
      <c r="X125" s="0" t="n">
        <v>2.74</v>
      </c>
      <c r="Y125" s="9" t="n">
        <v>2.965</v>
      </c>
      <c r="Z125" s="9" t="n">
        <f aca="false">X125*$Z$3</f>
        <v>0.11645</v>
      </c>
      <c r="AA125" s="0" t="n">
        <f aca="false">+Y125-X125</f>
        <v>0.225</v>
      </c>
      <c r="AB125" s="47" t="n">
        <f aca="false">IF(($AA125-$Z125-$AB$3)/2&lt;$AB$3,$AB$3,($AA125-$Z125-$AB$3)/2)</f>
        <v>0.05</v>
      </c>
      <c r="AC125" s="47" t="n">
        <f aca="false">IF(AA125&gt;Z125,(AA125-Z125),0)</f>
        <v>0.10855</v>
      </c>
      <c r="AD125" s="48" t="n">
        <f aca="false">+AC125-AB125</f>
        <v>0.0585499999999996</v>
      </c>
      <c r="AE125" s="6" t="n">
        <f aca="false">10000*AD125</f>
        <v>585.499999999996</v>
      </c>
      <c r="AG125" s="6" t="n">
        <f aca="false">5000*(AC125)</f>
        <v>542.749999999998</v>
      </c>
      <c r="AS125" s="0" t="n">
        <v>0.3</v>
      </c>
      <c r="AT125" s="0" t="n">
        <f aca="false">+AT113</f>
        <v>0.15</v>
      </c>
      <c r="AU125" s="0" t="n">
        <f aca="false">+AS125+AT125</f>
        <v>0.45</v>
      </c>
    </row>
    <row r="126" customFormat="false" ht="12.75" hidden="false" customHeight="false" outlineLevel="0" collapsed="false">
      <c r="A126" s="51" t="n">
        <f aca="false">DATE(YEAR(A125+31),MONTH(A125+31),1)</f>
        <v>40544</v>
      </c>
      <c r="B126" s="0" t="n">
        <f aca="false">IF(A126&gt;=$A$3,IF(A126&lt;=$A$4,1,0),0)*(A127-A126)</f>
        <v>31</v>
      </c>
      <c r="C126" s="77"/>
      <c r="D126" s="53" t="n">
        <f aca="false">Feeds!G120</f>
        <v>0</v>
      </c>
      <c r="E126" s="78"/>
      <c r="F126" s="5" t="n">
        <f aca="false">$G$3*B126</f>
        <v>217000</v>
      </c>
      <c r="G126" s="55" t="n">
        <f aca="true">(1+W126/2)^(-2*($A126-TODAY())/365.25)</f>
        <v>2.34923415081527</v>
      </c>
      <c r="H126" s="76" t="n">
        <v>0.45</v>
      </c>
      <c r="I126" s="0" t="n">
        <f aca="false">IF(E126=0,D126,E126)</f>
        <v>0</v>
      </c>
      <c r="J126" s="0" t="n">
        <f aca="false">IF($I$4=0,H126,(I126+H126))</f>
        <v>0.45</v>
      </c>
      <c r="K126" s="0" t="n">
        <f aca="false">IF($K$5="OK",((I126*$I$5)+(J126*$J$5)),"*******")</f>
        <v>0.45</v>
      </c>
      <c r="M126" s="6" t="n">
        <f aca="false">F126*G126*K126</f>
        <v>229402.714827111</v>
      </c>
      <c r="N126" s="5" t="n">
        <f aca="false">F126*G126</f>
        <v>509783.810726914</v>
      </c>
      <c r="W126" s="69" t="n">
        <v>0.0588109630118176</v>
      </c>
      <c r="X126" s="0" t="n">
        <v>2.725</v>
      </c>
      <c r="Y126" s="9" t="n">
        <v>2.9</v>
      </c>
      <c r="Z126" s="9" t="n">
        <f aca="false">X126*$Z$3</f>
        <v>0.1158125</v>
      </c>
      <c r="AA126" s="0" t="n">
        <f aca="false">+Y126-X126</f>
        <v>0.175</v>
      </c>
      <c r="AB126" s="47" t="n">
        <f aca="false">IF(($AA126-$Z126-$AB$3)/2&lt;$AB$3,$AB$3,($AA126-$Z126-$AB$3)/2)</f>
        <v>0.05</v>
      </c>
      <c r="AC126" s="47" t="n">
        <f aca="false">IF(AA126&gt;Z126,(AA126-Z126),0)</f>
        <v>0.0591874999999998</v>
      </c>
      <c r="AD126" s="48" t="n">
        <f aca="false">+AC126-AB126</f>
        <v>0.00918749999999981</v>
      </c>
      <c r="AE126" s="6" t="n">
        <f aca="false">10000*AD126</f>
        <v>91.8749999999981</v>
      </c>
      <c r="AG126" s="6" t="n">
        <f aca="false">5000*(AC126)</f>
        <v>295.937499999999</v>
      </c>
      <c r="AS126" s="0" t="n">
        <v>0.3</v>
      </c>
      <c r="AT126" s="0" t="n">
        <f aca="false">+AT114</f>
        <v>0.15</v>
      </c>
      <c r="AU126" s="0" t="n">
        <f aca="false">+AS126+AT126</f>
        <v>0.45</v>
      </c>
    </row>
    <row r="127" customFormat="false" ht="12.75" hidden="false" customHeight="false" outlineLevel="0" collapsed="false">
      <c r="A127" s="51" t="n">
        <f aca="false">DATE(YEAR(A126+31),MONTH(A126+31),1)</f>
        <v>40575</v>
      </c>
      <c r="B127" s="0" t="n">
        <f aca="false">IF(A127&gt;=$A$3,IF(A127&lt;=$A$4,1,0),0)*(A128-A127)</f>
        <v>28</v>
      </c>
      <c r="C127" s="77"/>
      <c r="D127" s="53" t="n">
        <f aca="false">Feeds!G121</f>
        <v>0</v>
      </c>
      <c r="E127" s="78"/>
      <c r="F127" s="5" t="n">
        <f aca="false">$G$3*B127</f>
        <v>196000</v>
      </c>
      <c r="G127" s="55" t="n">
        <f aca="true">(1+W127/2)^(-2*($A127-TODAY())/365.25)</f>
        <v>2.3388108514651</v>
      </c>
      <c r="H127" s="76" t="n">
        <v>0.45</v>
      </c>
      <c r="I127" s="0" t="n">
        <f aca="false">IF(E127=0,D127,E127)</f>
        <v>0</v>
      </c>
      <c r="J127" s="0" t="n">
        <f aca="false">IF($I$4=0,H127,(I127+H127))</f>
        <v>0.45</v>
      </c>
      <c r="K127" s="0" t="n">
        <f aca="false">IF($K$5="OK",((I127*$I$5)+(J127*$J$5)),"*******")</f>
        <v>0.45</v>
      </c>
      <c r="M127" s="6" t="n">
        <f aca="false">F127*G127*K127</f>
        <v>206283.117099222</v>
      </c>
      <c r="N127" s="5" t="n">
        <f aca="false">F127*G127</f>
        <v>458406.92688716</v>
      </c>
      <c r="W127" s="69" t="n">
        <v>0.0588441805168314</v>
      </c>
      <c r="X127" s="0" t="n">
        <v>2.685</v>
      </c>
      <c r="Y127" s="9" t="n">
        <v>2.845</v>
      </c>
      <c r="Z127" s="9" t="n">
        <f aca="false">X127*$Z$3</f>
        <v>0.1141125</v>
      </c>
      <c r="AA127" s="0" t="n">
        <f aca="false">+Y127-X127</f>
        <v>0.16</v>
      </c>
      <c r="AB127" s="47" t="n">
        <f aca="false">IF(($AA127-$Z127-$AB$3)/2&lt;$AB$3,$AB$3,($AA127-$Z127-$AB$3)/2)</f>
        <v>0.05</v>
      </c>
      <c r="AC127" s="47" t="n">
        <f aca="false">IF(AA127&gt;Z127,(AA127-Z127),0)</f>
        <v>0.0458875000000001</v>
      </c>
      <c r="AD127" s="48" t="n">
        <f aca="false">+AC127-AB127</f>
        <v>-0.00411249999999987</v>
      </c>
      <c r="AE127" s="6" t="n">
        <f aca="false">10000*AD127</f>
        <v>-41.1249999999987</v>
      </c>
      <c r="AG127" s="6" t="n">
        <f aca="false">5000*(AC127)</f>
        <v>229.437500000001</v>
      </c>
      <c r="AS127" s="0" t="n">
        <v>0.3</v>
      </c>
      <c r="AT127" s="0" t="n">
        <f aca="false">+AT115</f>
        <v>0.15</v>
      </c>
      <c r="AU127" s="0" t="n">
        <f aca="false">+AS127+AT127</f>
        <v>0.45</v>
      </c>
    </row>
    <row r="128" customFormat="false" ht="12.75" hidden="false" customHeight="false" outlineLevel="0" collapsed="false">
      <c r="A128" s="51" t="n">
        <f aca="false">DATE(YEAR(A127+31),MONTH(A127+31),1)</f>
        <v>40603</v>
      </c>
      <c r="B128" s="0" t="n">
        <f aca="false">IF(A128&gt;=$A$3,IF(A128&lt;=$A$4,1,0),0)*(A129-A128)</f>
        <v>31</v>
      </c>
      <c r="C128" s="77"/>
      <c r="D128" s="53" t="n">
        <f aca="false">Feeds!G122</f>
        <v>0</v>
      </c>
      <c r="E128" s="78"/>
      <c r="F128" s="5" t="n">
        <f aca="false">$G$3*B128</f>
        <v>217000</v>
      </c>
      <c r="G128" s="55" t="n">
        <f aca="true">(1+W128/2)^(-2*($A128-TODAY())/365.25)</f>
        <v>2.32953194584572</v>
      </c>
      <c r="H128" s="76" t="n">
        <v>0.45</v>
      </c>
      <c r="I128" s="0" t="n">
        <f aca="false">IF(E128=0,D128,E128)</f>
        <v>0</v>
      </c>
      <c r="J128" s="0" t="n">
        <f aca="false">IF($I$4=0,H128,(I128+H128))</f>
        <v>0.45</v>
      </c>
      <c r="K128" s="0" t="n">
        <f aca="false">IF($K$5="OK",((I128*$I$5)+(J128*$J$5)),"*******")</f>
        <v>0.45</v>
      </c>
      <c r="M128" s="6" t="n">
        <f aca="false">F128*G128*K128</f>
        <v>227478.794511834</v>
      </c>
      <c r="N128" s="5" t="n">
        <f aca="false">F128*G128</f>
        <v>505508.43224852</v>
      </c>
      <c r="W128" s="69" t="n">
        <v>0.058877425383224</v>
      </c>
      <c r="X128" s="0" t="n">
        <v>2.725</v>
      </c>
      <c r="Y128" s="9" t="n">
        <v>2.94</v>
      </c>
      <c r="Z128" s="9" t="n">
        <f aca="false">X128*$Z$3</f>
        <v>0.1158125</v>
      </c>
      <c r="AA128" s="0" t="n">
        <f aca="false">+Y128-X128</f>
        <v>0.215</v>
      </c>
      <c r="AB128" s="47" t="n">
        <f aca="false">IF(($AA128-$Z128-$AB$3)/2&lt;$AB$3,$AB$3,($AA128-$Z128-$AB$3)/2)</f>
        <v>0.05</v>
      </c>
      <c r="AC128" s="47" t="n">
        <f aca="false">IF(AA128&gt;Z128,(AA128-Z128),0)</f>
        <v>0.0991874999999999</v>
      </c>
      <c r="AD128" s="48" t="n">
        <f aca="false">+AC128-AB128</f>
        <v>0.0491874999999998</v>
      </c>
      <c r="AE128" s="6" t="n">
        <f aca="false">10000*AD128</f>
        <v>491.874999999998</v>
      </c>
      <c r="AG128" s="6" t="n">
        <f aca="false">5000*(AC128)</f>
        <v>495.937499999999</v>
      </c>
      <c r="AS128" s="0" t="n">
        <v>0.3</v>
      </c>
      <c r="AT128" s="0" t="n">
        <f aca="false">+AT116</f>
        <v>0.15</v>
      </c>
      <c r="AU128" s="0" t="n">
        <f aca="false">+AS128+AT128</f>
        <v>0.45</v>
      </c>
    </row>
    <row r="129" customFormat="false" ht="12.75" hidden="false" customHeight="false" outlineLevel="0" collapsed="false">
      <c r="A129" s="51" t="n">
        <f aca="false">DATE(YEAR(A128+31),MONTH(A128+31),1)</f>
        <v>40634</v>
      </c>
      <c r="B129" s="0" t="n">
        <f aca="false">IF(A129&gt;=$A$3,IF(A129&lt;=$A$4,1,0),0)*(A130-A129)</f>
        <v>0</v>
      </c>
      <c r="C129" s="77"/>
      <c r="D129" s="53" t="n">
        <f aca="false">Feeds!G123</f>
        <v>0</v>
      </c>
      <c r="E129" s="78"/>
      <c r="F129" s="5" t="n">
        <f aca="false">$G$3*B129</f>
        <v>0</v>
      </c>
      <c r="G129" s="55" t="n">
        <f aca="true">(1+W129/2)^(-2*($A129-TODAY())/365.25)</f>
        <v>2.31905655474935</v>
      </c>
      <c r="H129" s="76" t="n">
        <f aca="false">+H117</f>
        <v>0.22</v>
      </c>
      <c r="I129" s="0" t="n">
        <f aca="false">IF(E129=0,D129,E129)</f>
        <v>0</v>
      </c>
      <c r="J129" s="0" t="n">
        <f aca="false">IF($I$4=0,H129,(I129+H129))</f>
        <v>0.22</v>
      </c>
      <c r="K129" s="0" t="n">
        <f aca="false">IF($K$5="OK",((I129*$I$5)+(J129*$J$5)),"*******")</f>
        <v>0.22</v>
      </c>
      <c r="M129" s="6" t="n">
        <f aca="false">F129*G129*K129</f>
        <v>0</v>
      </c>
      <c r="N129" s="5" t="n">
        <f aca="false">F129*G129</f>
        <v>0</v>
      </c>
      <c r="W129" s="69" t="n">
        <v>0.0589071294721681</v>
      </c>
      <c r="X129" s="0" t="n">
        <v>2.725</v>
      </c>
      <c r="Y129" s="9" t="n">
        <v>2.94</v>
      </c>
      <c r="Z129" s="9" t="n">
        <f aca="false">X129*$Z$3</f>
        <v>0.1158125</v>
      </c>
      <c r="AA129" s="0" t="n">
        <f aca="false">+Y129-X129</f>
        <v>0.215</v>
      </c>
      <c r="AB129" s="47" t="n">
        <f aca="false">IF(($AA129-$Z129-$AB$3)/2&lt;$AB$3,$AB$3,($AA129-$Z129-$AB$3)/2)</f>
        <v>0.05</v>
      </c>
      <c r="AC129" s="47" t="n">
        <f aca="false">IF(AA129&gt;Z129,(AA129-Z129),0)</f>
        <v>0.0991874999999999</v>
      </c>
      <c r="AD129" s="48" t="n">
        <f aca="false">+AC129-AB129</f>
        <v>0.0491874999999998</v>
      </c>
      <c r="AE129" s="6" t="n">
        <f aca="false">10000*AD129</f>
        <v>491.874999999998</v>
      </c>
      <c r="AG129" s="6" t="n">
        <f aca="false">5000*(AC129)</f>
        <v>495.937499999999</v>
      </c>
    </row>
    <row r="130" customFormat="false" ht="12.75" hidden="false" customHeight="false" outlineLevel="0" collapsed="false">
      <c r="A130" s="51" t="n">
        <f aca="false">DATE(YEAR(A129+31),MONTH(A129+31),1)</f>
        <v>40664</v>
      </c>
      <c r="B130" s="0" t="n">
        <f aca="false">IF(A130&gt;=$A$3,IF(A130&lt;=$A$4,1,0),0)*(A131-A130)</f>
        <v>0</v>
      </c>
      <c r="C130" s="77"/>
      <c r="D130" s="53" t="n">
        <f aca="false">Feeds!G124</f>
        <v>0</v>
      </c>
      <c r="E130" s="78"/>
      <c r="F130" s="5" t="n">
        <f aca="false">$G$3*B130</f>
        <v>0</v>
      </c>
      <c r="G130" s="55" t="n">
        <f aca="true">(1+W130/2)^(-2*($A130-TODAY())/365.25)</f>
        <v>2.30901610662062</v>
      </c>
      <c r="H130" s="76" t="n">
        <f aca="false">+H118</f>
        <v>0.22</v>
      </c>
      <c r="I130" s="0" t="n">
        <f aca="false">IF(E130=0,D130,E130)</f>
        <v>0</v>
      </c>
      <c r="J130" s="0" t="n">
        <f aca="false">IF($I$4=0,H130,(I130+H130))</f>
        <v>0.22</v>
      </c>
      <c r="K130" s="0" t="n">
        <f aca="false">IF($K$5="OK",((I130*$I$5)+(J130*$J$5)),"*******")</f>
        <v>0.22</v>
      </c>
      <c r="M130" s="6" t="n">
        <f aca="false">F130*G130*K130</f>
        <v>0</v>
      </c>
      <c r="N130" s="5" t="n">
        <f aca="false">F130*G130</f>
        <v>0</v>
      </c>
      <c r="W130" s="69" t="n">
        <v>0.0589378236977192</v>
      </c>
      <c r="X130" s="0" t="n">
        <v>2.725</v>
      </c>
      <c r="Y130" s="9" t="n">
        <v>2.94</v>
      </c>
      <c r="Z130" s="9" t="n">
        <f aca="false">X130*$Z$3</f>
        <v>0.1158125</v>
      </c>
      <c r="AA130" s="0" t="n">
        <f aca="false">+Y130-X130</f>
        <v>0.215</v>
      </c>
      <c r="AB130" s="47" t="n">
        <f aca="false">IF(($AA130-$Z130-$AB$3)/2&lt;$AB$3,$AB$3,($AA130-$Z130-$AB$3)/2)</f>
        <v>0.05</v>
      </c>
      <c r="AC130" s="47" t="n">
        <f aca="false">IF(AA130&gt;Z130,(AA130-Z130),0)</f>
        <v>0.0991874999999999</v>
      </c>
      <c r="AD130" s="48" t="n">
        <f aca="false">+AC130-AB130</f>
        <v>0.0491874999999998</v>
      </c>
      <c r="AE130" s="6" t="n">
        <f aca="false">10000*AD130</f>
        <v>491.874999999998</v>
      </c>
      <c r="AG130" s="6" t="n">
        <f aca="false">5000*(AC130)</f>
        <v>495.937499999999</v>
      </c>
    </row>
    <row r="131" customFormat="false" ht="12.75" hidden="false" customHeight="false" outlineLevel="0" collapsed="false">
      <c r="A131" s="51" t="n">
        <f aca="false">DATE(YEAR(A130+31),MONTH(A130+31),1)</f>
        <v>40695</v>
      </c>
      <c r="B131" s="0" t="n">
        <f aca="false">IF(A131&gt;=$A$3,IF(A131&lt;=$A$4,1,0),0)*(A132-A131)</f>
        <v>0</v>
      </c>
      <c r="C131" s="77"/>
      <c r="D131" s="53" t="n">
        <f aca="false">Feeds!G125</f>
        <v>0</v>
      </c>
      <c r="E131" s="78"/>
      <c r="F131" s="5" t="n">
        <f aca="false">$G$3*B131</f>
        <v>0</v>
      </c>
      <c r="G131" s="55" t="n">
        <f aca="true">(1+W131/2)^(-2*($A131-TODAY())/365.25)</f>
        <v>2.29861041985871</v>
      </c>
      <c r="H131" s="76" t="n">
        <f aca="false">+H119</f>
        <v>0.22</v>
      </c>
      <c r="I131" s="0" t="n">
        <f aca="false">IF(E131=0,D131,E131)</f>
        <v>0</v>
      </c>
      <c r="J131" s="0" t="n">
        <f aca="false">IF($I$4=0,H131,(I131+H131))</f>
        <v>0.22</v>
      </c>
      <c r="K131" s="0" t="n">
        <f aca="false">IF($K$5="OK",((I131*$I$5)+(J131*$J$5)),"*******")</f>
        <v>0.22</v>
      </c>
      <c r="M131" s="6" t="n">
        <f aca="false">F131*G131*K131</f>
        <v>0</v>
      </c>
      <c r="N131" s="5" t="n">
        <f aca="false">F131*G131</f>
        <v>0</v>
      </c>
      <c r="W131" s="69" t="n">
        <v>0.0589675277872601</v>
      </c>
      <c r="X131" s="0" t="n">
        <v>2.805</v>
      </c>
      <c r="Y131" s="9" t="n">
        <v>2.97</v>
      </c>
      <c r="Z131" s="9" t="n">
        <f aca="false">X131*$Z$3</f>
        <v>0.1192125</v>
      </c>
      <c r="AA131" s="0" t="n">
        <f aca="false">+Y131-X131</f>
        <v>0.165</v>
      </c>
      <c r="AB131" s="47" t="n">
        <f aca="false">IF(($AA131-$Z131-$AB$3)/2&lt;$AB$3,$AB$3,($AA131-$Z131-$AB$3)/2)</f>
        <v>0.05</v>
      </c>
      <c r="AC131" s="47" t="n">
        <f aca="false">IF(AA131&gt;Z131,(AA131-Z131),0)</f>
        <v>0.0457875</v>
      </c>
      <c r="AD131" s="48" t="n">
        <f aca="false">+AC131-AB131</f>
        <v>-0.00421249999999998</v>
      </c>
      <c r="AE131" s="6" t="n">
        <f aca="false">10000*AD131</f>
        <v>-42.1249999999998</v>
      </c>
      <c r="AG131" s="6" t="n">
        <f aca="false">5000*(AC131)</f>
        <v>228.9375</v>
      </c>
    </row>
    <row r="132" customFormat="false" ht="12.75" hidden="false" customHeight="false" outlineLevel="0" collapsed="false">
      <c r="A132" s="51" t="n">
        <f aca="false">DATE(YEAR(A131+31),MONTH(A131+31),1)</f>
        <v>40725</v>
      </c>
      <c r="B132" s="0" t="n">
        <f aca="false">IF(A132&gt;=$A$3,IF(A132&lt;=$A$4,1,0),0)*(A133-A132)</f>
        <v>0</v>
      </c>
      <c r="C132" s="77"/>
      <c r="D132" s="53" t="n">
        <f aca="false">Feeds!G126</f>
        <v>0</v>
      </c>
      <c r="E132" s="78"/>
      <c r="F132" s="5" t="n">
        <f aca="false">$G$3*B132</f>
        <v>0</v>
      </c>
      <c r="G132" s="55" t="n">
        <f aca="true">(1+W132/2)^(-2*($A132-TODAY())/365.25)</f>
        <v>2.28863604064114</v>
      </c>
      <c r="H132" s="76" t="n">
        <f aca="false">+H120</f>
        <v>0.22</v>
      </c>
      <c r="I132" s="0" t="n">
        <f aca="false">IF(E132=0,D132,E132)</f>
        <v>0</v>
      </c>
      <c r="J132" s="0" t="n">
        <f aca="false">IF($I$4=0,H132,(I132+H132))</f>
        <v>0.22</v>
      </c>
      <c r="K132" s="0" t="n">
        <f aca="false">IF($K$5="OK",((I132*$I$5)+(J132*$J$5)),"*******")</f>
        <v>0.22</v>
      </c>
      <c r="M132" s="6" t="n">
        <f aca="false">F132*G132*K132</f>
        <v>0</v>
      </c>
      <c r="N132" s="5" t="n">
        <f aca="false">F132*G132</f>
        <v>0</v>
      </c>
      <c r="W132" s="69" t="n">
        <v>0.0589982220134275</v>
      </c>
      <c r="X132" s="0" t="n">
        <v>2.8</v>
      </c>
      <c r="Y132" s="9" t="n">
        <v>2.965</v>
      </c>
      <c r="Z132" s="9" t="n">
        <f aca="false">X132*$Z$3</f>
        <v>0.119</v>
      </c>
      <c r="AA132" s="0" t="n">
        <f aca="false">+Y132-X132</f>
        <v>0.165</v>
      </c>
      <c r="AB132" s="47" t="n">
        <f aca="false">IF(($AA132-$Z132-$AB$3)/2&lt;$AB$3,$AB$3,($AA132-$Z132-$AB$3)/2)</f>
        <v>0.05</v>
      </c>
      <c r="AC132" s="47" t="n">
        <f aca="false">IF(AA132&gt;Z132,(AA132-Z132),0)</f>
        <v>0.046</v>
      </c>
      <c r="AD132" s="48" t="n">
        <f aca="false">+AC132-AB132</f>
        <v>-0.00399999999999996</v>
      </c>
      <c r="AE132" s="6" t="n">
        <f aca="false">10000*AD132</f>
        <v>-39.9999999999996</v>
      </c>
      <c r="AG132" s="6" t="n">
        <f aca="false">5000*(AC132)</f>
        <v>230</v>
      </c>
    </row>
    <row r="133" customFormat="false" ht="12.75" hidden="false" customHeight="false" outlineLevel="0" collapsed="false">
      <c r="A133" s="51" t="n">
        <f aca="false">DATE(YEAR(A132+31),MONTH(A132+31),1)</f>
        <v>40756</v>
      </c>
      <c r="B133" s="0" t="n">
        <f aca="false">IF(A133&gt;=$A$3,IF(A133&lt;=$A$4,1,0),0)*(A134-A133)</f>
        <v>0</v>
      </c>
      <c r="C133" s="77"/>
      <c r="D133" s="53" t="n">
        <f aca="false">Feeds!G127</f>
        <v>0</v>
      </c>
      <c r="E133" s="78"/>
      <c r="F133" s="5" t="n">
        <f aca="false">$G$3*B133</f>
        <v>0</v>
      </c>
      <c r="G133" s="55" t="n">
        <f aca="true">(1+W133/2)^(-2*($A133-TODAY())/365.25)</f>
        <v>2.27833086230876</v>
      </c>
      <c r="H133" s="76" t="n">
        <f aca="false">+H121</f>
        <v>0.22</v>
      </c>
      <c r="I133" s="0" t="n">
        <f aca="false">IF(E133=0,D133,E133)</f>
        <v>0</v>
      </c>
      <c r="J133" s="0" t="n">
        <f aca="false">IF($I$4=0,H133,(I133+H133))</f>
        <v>0.22</v>
      </c>
      <c r="K133" s="0" t="n">
        <f aca="false">IF($K$5="OK",((I133*$I$5)+(J133*$J$5)),"*******")</f>
        <v>0.22</v>
      </c>
      <c r="M133" s="6" t="n">
        <f aca="false">F133*G133*K133</f>
        <v>0</v>
      </c>
      <c r="N133" s="5" t="n">
        <f aca="false">F133*G133</f>
        <v>0</v>
      </c>
      <c r="W133" s="69" t="n">
        <v>0.0590289162399071</v>
      </c>
      <c r="X133" s="0" t="n">
        <v>2.8</v>
      </c>
      <c r="Y133" s="9" t="n">
        <v>2.905</v>
      </c>
      <c r="Z133" s="9" t="n">
        <f aca="false">X133*$Z$3</f>
        <v>0.119</v>
      </c>
      <c r="AA133" s="0" t="n">
        <f aca="false">+Y133-X133</f>
        <v>0.105</v>
      </c>
      <c r="AB133" s="47" t="n">
        <f aca="false">IF(($AA133-$Z133-$AB$3)/2&lt;$AB$3,$AB$3,($AA133-$Z133-$AB$3)/2)</f>
        <v>0.05</v>
      </c>
      <c r="AC133" s="47" t="n">
        <f aca="false">IF(AA133&gt;Z133,(AA133-Z133),0)</f>
        <v>0</v>
      </c>
      <c r="AD133" s="48" t="n">
        <f aca="false">+AC133-AB133</f>
        <v>-0.05</v>
      </c>
      <c r="AE133" s="6" t="n">
        <f aca="false">10000*AD133</f>
        <v>-500</v>
      </c>
      <c r="AG133" s="6" t="n">
        <f aca="false">5000*(AC133)</f>
        <v>0</v>
      </c>
    </row>
    <row r="134" customFormat="false" ht="12.75" hidden="false" customHeight="false" outlineLevel="0" collapsed="false">
      <c r="A134" s="51" t="n">
        <f aca="false">DATE(YEAR(A133+31),MONTH(A133+31),1)</f>
        <v>40787</v>
      </c>
      <c r="B134" s="0" t="n">
        <f aca="false">IF(A134&gt;=$A$3,IF(A134&lt;=$A$4,1,0),0)*(A135-A134)</f>
        <v>0</v>
      </c>
      <c r="C134" s="77"/>
      <c r="D134" s="53" t="n">
        <f aca="false">Feeds!G128</f>
        <v>0</v>
      </c>
      <c r="E134" s="78"/>
      <c r="F134" s="5" t="n">
        <f aca="false">$G$3*B134</f>
        <v>0</v>
      </c>
      <c r="G134" s="55" t="n">
        <f aca="true">(1+W134/2)^(-2*($A134-TODAY())/365.25)</f>
        <v>2.26802990309954</v>
      </c>
      <c r="H134" s="76" t="n">
        <f aca="false">+H122</f>
        <v>0.22</v>
      </c>
      <c r="I134" s="0" t="n">
        <f aca="false">IF(E134=0,D134,E134)</f>
        <v>0</v>
      </c>
      <c r="J134" s="0" t="n">
        <f aca="false">IF($I$4=0,H134,(I134+H134))</f>
        <v>0.22</v>
      </c>
      <c r="K134" s="0" t="n">
        <f aca="false">IF($K$5="OK",((I134*$I$5)+(J134*$J$5)),"*******")</f>
        <v>0.22</v>
      </c>
      <c r="M134" s="6" t="n">
        <f aca="false">F134*G134*K134</f>
        <v>0</v>
      </c>
      <c r="N134" s="5" t="n">
        <f aca="false">F134*G134</f>
        <v>0</v>
      </c>
      <c r="W134" s="69" t="n">
        <v>0.0590586203303478</v>
      </c>
      <c r="X134" s="0" t="n">
        <v>2.8</v>
      </c>
      <c r="Y134" s="9" t="n">
        <v>2.995</v>
      </c>
      <c r="Z134" s="9" t="n">
        <f aca="false">X134*$Z$3</f>
        <v>0.119</v>
      </c>
      <c r="AA134" s="0" t="n">
        <f aca="false">+Y134-X134</f>
        <v>0.195</v>
      </c>
      <c r="AB134" s="47" t="n">
        <f aca="false">IF(($AA134-$Z134-$AB$3)/2&lt;$AB$3,$AB$3,($AA134-$Z134-$AB$3)/2)</f>
        <v>0.05</v>
      </c>
      <c r="AC134" s="47" t="n">
        <f aca="false">IF(AA134&gt;Z134,(AA134-Z134),0)</f>
        <v>0.0760000000000003</v>
      </c>
      <c r="AD134" s="48" t="n">
        <f aca="false">+AC134-AB134</f>
        <v>0.0260000000000003</v>
      </c>
      <c r="AE134" s="6" t="n">
        <f aca="false">10000*AD134</f>
        <v>260.000000000003</v>
      </c>
      <c r="AG134" s="6" t="n">
        <f aca="false">5000*(AC134)</f>
        <v>380.000000000001</v>
      </c>
    </row>
    <row r="135" customFormat="false" ht="12.75" hidden="false" customHeight="false" outlineLevel="0" collapsed="false">
      <c r="A135" s="51" t="n">
        <f aca="false">DATE(YEAR(A134+31),MONTH(A134+31),1)</f>
        <v>40817</v>
      </c>
      <c r="B135" s="0" t="n">
        <f aca="false">IF(A135&gt;=$A$3,IF(A135&lt;=$A$4,1,0),0)*(A136-A135)</f>
        <v>0</v>
      </c>
      <c r="C135" s="77"/>
      <c r="D135" s="53" t="n">
        <f aca="false">Feeds!G129</f>
        <v>0</v>
      </c>
      <c r="E135" s="78"/>
      <c r="F135" s="5" t="n">
        <f aca="false">$G$3*B135</f>
        <v>0</v>
      </c>
      <c r="G135" s="55" t="n">
        <f aca="true">(1+W135/2)^(-2*($A135-TODAY())/365.25)</f>
        <v>2.25815481074607</v>
      </c>
      <c r="H135" s="76" t="n">
        <f aca="false">+H123</f>
        <v>0.22</v>
      </c>
      <c r="I135" s="0" t="n">
        <f aca="false">IF(E135=0,D135,E135)</f>
        <v>0</v>
      </c>
      <c r="J135" s="0" t="n">
        <f aca="false">IF($I$4=0,H135,(I135+H135))</f>
        <v>0.22</v>
      </c>
      <c r="K135" s="0" t="n">
        <f aca="false">IF($K$5="OK",((I135*$I$5)+(J135*$J$5)),"*******")</f>
        <v>0.22</v>
      </c>
      <c r="M135" s="6" t="n">
        <f aca="false">F135*G135*K135</f>
        <v>0</v>
      </c>
      <c r="N135" s="5" t="n">
        <f aca="false">F135*G135</f>
        <v>0</v>
      </c>
      <c r="W135" s="69" t="n">
        <v>0.0590893145574443</v>
      </c>
      <c r="X135" s="0" t="n">
        <v>2.77</v>
      </c>
      <c r="Y135" s="9" t="n">
        <v>2.97</v>
      </c>
      <c r="Z135" s="9" t="n">
        <f aca="false">X135*$Z$3</f>
        <v>0.117725</v>
      </c>
      <c r="AA135" s="0" t="n">
        <f aca="false">+Y135-X135</f>
        <v>0.2</v>
      </c>
      <c r="AB135" s="47" t="n">
        <f aca="false">IF(($AA135-$Z135-$AB$3)/2&lt;$AB$3,$AB$3,($AA135-$Z135-$AB$3)/2)</f>
        <v>0.05</v>
      </c>
      <c r="AC135" s="47" t="n">
        <f aca="false">IF(AA135&gt;Z135,(AA135-Z135),0)</f>
        <v>0.0822750000000002</v>
      </c>
      <c r="AD135" s="48" t="n">
        <f aca="false">+AC135-AB135</f>
        <v>0.0322750000000002</v>
      </c>
      <c r="AE135" s="6" t="n">
        <f aca="false">10000*AD135</f>
        <v>322.750000000002</v>
      </c>
      <c r="AG135" s="6" t="n">
        <f aca="false">5000*(AC135)</f>
        <v>411.375000000001</v>
      </c>
    </row>
    <row r="136" customFormat="false" ht="12.75" hidden="false" customHeight="false" outlineLevel="0" collapsed="false">
      <c r="A136" s="51" t="n">
        <f aca="false">DATE(YEAR(A135+31),MONTH(A135+31),1)</f>
        <v>40848</v>
      </c>
      <c r="B136" s="0" t="n">
        <f aca="false">IF(A136&gt;=$A$3,IF(A136&lt;=$A$4,1,0),0)*(A137-A136)</f>
        <v>0</v>
      </c>
      <c r="C136" s="77"/>
      <c r="D136" s="53" t="n">
        <f aca="false">Feeds!G130</f>
        <v>0</v>
      </c>
      <c r="E136" s="78"/>
      <c r="F136" s="5" t="n">
        <f aca="false">$G$3*B136</f>
        <v>0</v>
      </c>
      <c r="G136" s="55" t="n">
        <f aca="true">(1+W136/2)^(-2*($A136-TODAY())/365.25)</f>
        <v>2.24792302183308</v>
      </c>
      <c r="H136" s="76" t="n">
        <f aca="false">+H124</f>
        <v>0.45</v>
      </c>
      <c r="I136" s="0" t="n">
        <f aca="false">IF(E136=0,D136,E136)</f>
        <v>0</v>
      </c>
      <c r="J136" s="0" t="n">
        <f aca="false">IF($I$4=0,H136,(I136+H136))</f>
        <v>0.45</v>
      </c>
      <c r="K136" s="0" t="n">
        <f aca="false">IF($K$5="OK",((I136*$I$5)+(J136*$J$5)),"*******")</f>
        <v>0.45</v>
      </c>
      <c r="M136" s="6" t="n">
        <f aca="false">F136*G136*K136</f>
        <v>0</v>
      </c>
      <c r="N136" s="5" t="n">
        <f aca="false">F136*G136</f>
        <v>0</v>
      </c>
      <c r="W136" s="69" t="n">
        <v>0.0591190186484809</v>
      </c>
      <c r="X136" s="0" t="n">
        <v>2.77</v>
      </c>
      <c r="Y136" s="9" t="n">
        <v>2.97</v>
      </c>
      <c r="Z136" s="9" t="n">
        <f aca="false">X136*$Z$3</f>
        <v>0.117725</v>
      </c>
      <c r="AA136" s="0" t="n">
        <f aca="false">+Y136-X136</f>
        <v>0.2</v>
      </c>
      <c r="AB136" s="47" t="n">
        <f aca="false">IF(($AA136-$Z136-$AB$3)/2&lt;$AB$3,$AB$3,($AA136-$Z136-$AB$3)/2)</f>
        <v>0.05</v>
      </c>
      <c r="AC136" s="47" t="n">
        <f aca="false">IF(AA136&gt;Z136,(AA136-Z136),0)</f>
        <v>0.0822750000000002</v>
      </c>
      <c r="AD136" s="48" t="n">
        <f aca="false">+AC136-AB136</f>
        <v>0.0322750000000002</v>
      </c>
      <c r="AE136" s="6" t="n">
        <f aca="false">10000*AD136</f>
        <v>322.750000000002</v>
      </c>
      <c r="AG136" s="6" t="n">
        <f aca="false">5000*(AC136)</f>
        <v>411.375000000001</v>
      </c>
    </row>
    <row r="137" customFormat="false" ht="12.75" hidden="false" customHeight="false" outlineLevel="0" collapsed="false">
      <c r="A137" s="51" t="n">
        <f aca="false">DATE(YEAR(A136+31),MONTH(A136+31),1)</f>
        <v>40878</v>
      </c>
      <c r="B137" s="0" t="n">
        <f aca="false">IF(A137&gt;=$A$3,IF(A137&lt;=$A$4,1,0),0)*(A138-A137)</f>
        <v>0</v>
      </c>
      <c r="C137" s="77"/>
      <c r="D137" s="53" t="n">
        <f aca="false">Feeds!G131</f>
        <v>0</v>
      </c>
      <c r="E137" s="78"/>
      <c r="F137" s="5" t="n">
        <f aca="false">$G$3*B137</f>
        <v>0</v>
      </c>
      <c r="G137" s="55" t="n">
        <f aca="true">(1+W137/2)^(-2*($A137-TODAY())/365.25)</f>
        <v>2.23811352029631</v>
      </c>
      <c r="H137" s="76" t="n">
        <f aca="false">+H125</f>
        <v>0.45</v>
      </c>
      <c r="I137" s="0" t="n">
        <f aca="false">IF(E137=0,D137,E137)</f>
        <v>0</v>
      </c>
      <c r="J137" s="0" t="n">
        <f aca="false">IF($I$4=0,H137,(I137+H137))</f>
        <v>0.45</v>
      </c>
      <c r="K137" s="0" t="n">
        <f aca="false">IF($K$5="OK",((I137*$I$5)+(J137*$J$5)),"*******")</f>
        <v>0.45</v>
      </c>
      <c r="M137" s="6" t="n">
        <f aca="false">F137*G137*K137</f>
        <v>0</v>
      </c>
      <c r="N137" s="5" t="n">
        <f aca="false">F137*G137</f>
        <v>0</v>
      </c>
      <c r="W137" s="69" t="n">
        <v>0.0591497128761938</v>
      </c>
      <c r="X137" s="0" t="n">
        <v>2.77</v>
      </c>
      <c r="Y137" s="9" t="n">
        <v>2.97</v>
      </c>
      <c r="Z137" s="9" t="n">
        <f aca="false">X137*$Z$3</f>
        <v>0.117725</v>
      </c>
      <c r="AA137" s="0" t="n">
        <f aca="false">+Y137-X137</f>
        <v>0.2</v>
      </c>
      <c r="AB137" s="47" t="n">
        <f aca="false">IF(($AA137-$Z137-$AB$3)/2&lt;$AB$3,$AB$3,($AA137-$Z137-$AB$3)/2)</f>
        <v>0.05</v>
      </c>
      <c r="AC137" s="47" t="n">
        <f aca="false">IF(AA137&gt;Z137,(AA137-Z137),0)</f>
        <v>0.0822750000000002</v>
      </c>
      <c r="AD137" s="48" t="n">
        <f aca="false">+AC137-AB137</f>
        <v>0.0322750000000002</v>
      </c>
      <c r="AE137" s="6" t="n">
        <f aca="false">10000*AD137</f>
        <v>322.750000000002</v>
      </c>
      <c r="AG137" s="6" t="n">
        <f aca="false">5000*(AC137)</f>
        <v>411.375000000001</v>
      </c>
    </row>
    <row r="138" customFormat="false" ht="12.75" hidden="false" customHeight="false" outlineLevel="0" collapsed="false">
      <c r="A138" s="51" t="n">
        <f aca="false">DATE(YEAR(A137+31),MONTH(A137+31),1)</f>
        <v>40909</v>
      </c>
      <c r="B138" s="0" t="n">
        <f aca="false">IF(A138&gt;=$A$3,IF(A138&lt;=$A$4,1,0),0)*(A139-A138)</f>
        <v>0</v>
      </c>
      <c r="C138" s="77"/>
      <c r="D138" s="53" t="n">
        <f aca="false">Feeds!G132</f>
        <v>0</v>
      </c>
      <c r="E138" s="78"/>
      <c r="F138" s="5" t="n">
        <f aca="false">$G$3*B138</f>
        <v>0</v>
      </c>
      <c r="G138" s="55" t="n">
        <f aca="true">(1+W138/2)^(-2*($A138-TODAY())/365.25)</f>
        <v>2.22798011515812</v>
      </c>
      <c r="H138" s="76" t="n">
        <f aca="false">+H126</f>
        <v>0.45</v>
      </c>
      <c r="I138" s="0" t="n">
        <f aca="false">IF(E138=0,D138,E138)</f>
        <v>0</v>
      </c>
      <c r="J138" s="0" t="n">
        <f aca="false">IF($I$4=0,H138,(I138+H138))</f>
        <v>0.45</v>
      </c>
      <c r="K138" s="0" t="n">
        <f aca="false">IF($K$5="OK",((I138*$I$5)+(J138*$J$5)),"*******")</f>
        <v>0.45</v>
      </c>
      <c r="M138" s="6" t="n">
        <f aca="false">F138*G138*K138</f>
        <v>0</v>
      </c>
      <c r="N138" s="5" t="n">
        <f aca="false">F138*G138</f>
        <v>0</v>
      </c>
      <c r="W138" s="69" t="n">
        <v>0.0591804071042197</v>
      </c>
      <c r="X138" s="0" t="n">
        <v>2.735</v>
      </c>
      <c r="Y138" s="9" t="n">
        <v>2.9</v>
      </c>
      <c r="Z138" s="9" t="n">
        <f aca="false">X138*$Z$3</f>
        <v>0.1162375</v>
      </c>
      <c r="AA138" s="0" t="n">
        <f aca="false">+Y138-X138</f>
        <v>0.165</v>
      </c>
      <c r="AB138" s="47" t="n">
        <f aca="false">IF(($AA138-$Z138-$AB$3)/2&lt;$AB$3,$AB$3,($AA138-$Z138-$AB$3)/2)</f>
        <v>0.05</v>
      </c>
      <c r="AC138" s="47" t="n">
        <f aca="false">IF(AA138&gt;Z138,(AA138-Z138),0)</f>
        <v>0.0487625</v>
      </c>
      <c r="AD138" s="48" t="n">
        <f aca="false">+AC138-AB138</f>
        <v>-0.00123749999999997</v>
      </c>
      <c r="AE138" s="6" t="n">
        <f aca="false">10000*AD138</f>
        <v>-12.3749999999997</v>
      </c>
      <c r="AG138" s="6" t="n">
        <f aca="false">5000*(AC138)</f>
        <v>243.8125</v>
      </c>
    </row>
    <row r="139" customFormat="false" ht="12.75" hidden="false" customHeight="false" outlineLevel="0" collapsed="false">
      <c r="A139" s="51" t="n">
        <f aca="false">DATE(YEAR(A138+31),MONTH(A138+31),1)</f>
        <v>40940</v>
      </c>
      <c r="B139" s="0" t="n">
        <f aca="false">IF(A139&gt;=$A$3,IF(A139&lt;=$A$4,1,0),0)*(A140-A139)</f>
        <v>0</v>
      </c>
      <c r="C139" s="77"/>
      <c r="D139" s="53" t="n">
        <f aca="false">Feeds!G133</f>
        <v>0</v>
      </c>
      <c r="E139" s="78"/>
      <c r="F139" s="5" t="n">
        <f aca="false">$G$3*B139</f>
        <v>0</v>
      </c>
      <c r="G139" s="55" t="n">
        <f aca="true">(1+W139/2)^(-2*($A139-TODAY())/365.25)</f>
        <v>2.21782312312611</v>
      </c>
      <c r="H139" s="76" t="n">
        <f aca="false">+H127</f>
        <v>0.45</v>
      </c>
      <c r="I139" s="0" t="n">
        <f aca="false">IF(E139=0,D139,E139)</f>
        <v>0</v>
      </c>
      <c r="J139" s="0" t="n">
        <f aca="false">IF($I$4=0,H139,(I139+H139))</f>
        <v>0.45</v>
      </c>
      <c r="K139" s="0" t="n">
        <f aca="false">IF($K$5="OK",((I139*$I$5)+(J139*$J$5)),"*******")</f>
        <v>0.45</v>
      </c>
      <c r="M139" s="6" t="n">
        <f aca="false">F139*G139*K139</f>
        <v>0</v>
      </c>
      <c r="N139" s="5" t="n">
        <f aca="false">F139*G139</f>
        <v>0</v>
      </c>
      <c r="W139" s="69" t="n">
        <v>0.0592091210597534</v>
      </c>
      <c r="X139" s="0" t="n">
        <v>2.71</v>
      </c>
      <c r="Y139" s="9" t="n">
        <v>2.91</v>
      </c>
      <c r="Z139" s="9" t="n">
        <f aca="false">X139*$Z$3</f>
        <v>0.115175</v>
      </c>
      <c r="AA139" s="0" t="n">
        <f aca="false">+Y139-X139</f>
        <v>0.2</v>
      </c>
      <c r="AB139" s="47" t="n">
        <f aca="false">IF(($AA139-$Z139-$AB$3)/2&lt;$AB$3,$AB$3,($AA139-$Z139-$AB$3)/2)</f>
        <v>0.05</v>
      </c>
      <c r="AC139" s="47" t="n">
        <f aca="false">IF(AA139&gt;Z139,(AA139-Z139),0)</f>
        <v>0.0848250000000002</v>
      </c>
      <c r="AD139" s="48" t="n">
        <f aca="false">+AC139-AB139</f>
        <v>0.0348250000000002</v>
      </c>
      <c r="AE139" s="6" t="n">
        <f aca="false">10000*AD139</f>
        <v>348.250000000002</v>
      </c>
      <c r="AG139" s="6" t="n">
        <f aca="false">5000*(AC139)</f>
        <v>424.125000000001</v>
      </c>
    </row>
    <row r="140" customFormat="false" ht="12.75" hidden="false" customHeight="false" outlineLevel="0" collapsed="false">
      <c r="A140" s="51" t="n">
        <f aca="false">DATE(YEAR(A139+31),MONTH(A139+31),1)</f>
        <v>40969</v>
      </c>
      <c r="B140" s="0" t="n">
        <f aca="false">IF(A140&gt;=$A$3,IF(A140&lt;=$A$4,1,0),0)*(A141-A140)</f>
        <v>0</v>
      </c>
      <c r="C140" s="77"/>
      <c r="D140" s="53" t="n">
        <f aca="false">Feeds!G134</f>
        <v>0</v>
      </c>
      <c r="E140" s="78"/>
      <c r="F140" s="5" t="n">
        <f aca="false">$G$3*B140</f>
        <v>0</v>
      </c>
      <c r="G140" s="55" t="n">
        <f aca="true">(1+W140/2)^(-2*($A140-TODAY())/365.25)</f>
        <v>2.20846543919011</v>
      </c>
      <c r="H140" s="76" t="n">
        <f aca="false">+H128</f>
        <v>0.45</v>
      </c>
      <c r="I140" s="0" t="n">
        <f aca="false">IF(E140=0,D140,E140)</f>
        <v>0</v>
      </c>
      <c r="J140" s="0" t="n">
        <f aca="false">IF($I$4=0,H140,(I140+H140))</f>
        <v>0.45</v>
      </c>
      <c r="K140" s="0" t="n">
        <f aca="false">IF($K$5="OK",((I140*$I$5)+(J140*$J$5)),"*******")</f>
        <v>0.45</v>
      </c>
      <c r="M140" s="6" t="n">
        <f aca="false">F140*G140*K140</f>
        <v>0</v>
      </c>
      <c r="N140" s="5" t="n">
        <f aca="false">F140*G140</f>
        <v>0</v>
      </c>
      <c r="W140" s="69" t="n">
        <v>0.0592398152883851</v>
      </c>
      <c r="X140" s="0" t="n">
        <v>2.745</v>
      </c>
      <c r="Y140" s="9" t="n">
        <v>2.935</v>
      </c>
      <c r="Z140" s="9" t="n">
        <f aca="false">X140*$Z$3</f>
        <v>0.1166625</v>
      </c>
      <c r="AA140" s="0" t="n">
        <f aca="false">+Y140-X140</f>
        <v>0.19</v>
      </c>
      <c r="AB140" s="47" t="n">
        <f aca="false">IF(($AA140-$Z140-$AB$3)/2&lt;$AB$3,$AB$3,($AA140-$Z140-$AB$3)/2)</f>
        <v>0.05</v>
      </c>
      <c r="AC140" s="47" t="n">
        <f aca="false">IF(AA140&gt;Z140,(AA140-Z140),0)</f>
        <v>0.0733374999999999</v>
      </c>
      <c r="AD140" s="48" t="n">
        <f aca="false">+AC140-AB140</f>
        <v>0.0233374999999999</v>
      </c>
      <c r="AE140" s="6" t="n">
        <f aca="false">10000*AD140</f>
        <v>233.374999999999</v>
      </c>
      <c r="AG140" s="6" t="n">
        <f aca="false">5000*(AC140)</f>
        <v>366.6875</v>
      </c>
    </row>
    <row r="141" customFormat="false" ht="12.75" hidden="false" customHeight="false" outlineLevel="0" collapsed="false">
      <c r="A141" s="51" t="n">
        <f aca="false">DATE(YEAR(A140+31),MONTH(A140+31),1)</f>
        <v>41000</v>
      </c>
      <c r="B141" s="0" t="n">
        <f aca="false">IF(A141&gt;=$A$3,IF(A141&lt;=$A$4,1,0),0)*(A142-A141)</f>
        <v>0</v>
      </c>
      <c r="C141" s="77"/>
      <c r="D141" s="53" t="n">
        <f aca="false">Feeds!G135</f>
        <v>0</v>
      </c>
      <c r="E141" s="78"/>
      <c r="F141" s="5" t="n">
        <f aca="false">$G$3*B141</f>
        <v>0</v>
      </c>
      <c r="G141" s="55" t="n">
        <f aca="true">(1+W141/2)^(-2*($A141-TODAY())/365.25)</f>
        <v>2.19840506171278</v>
      </c>
      <c r="H141" s="76" t="n">
        <f aca="false">+H129</f>
        <v>0.22</v>
      </c>
      <c r="I141" s="0" t="n">
        <f aca="false">IF(E141=0,D141,E141)</f>
        <v>0</v>
      </c>
      <c r="J141" s="0" t="n">
        <f aca="false">IF($I$4=0,H141,(I141+H141))</f>
        <v>0.22</v>
      </c>
      <c r="K141" s="0" t="n">
        <f aca="false">IF($K$5="OK",((I141*$I$5)+(J141*$J$5)),"*******")</f>
        <v>0.22</v>
      </c>
      <c r="M141" s="6" t="n">
        <f aca="false">F141*G141*K141</f>
        <v>0</v>
      </c>
      <c r="N141" s="5" t="n">
        <f aca="false">F141*G141</f>
        <v>0</v>
      </c>
      <c r="W141" s="69" t="n">
        <v>0.0592695193809081</v>
      </c>
      <c r="X141" s="0" t="n">
        <v>2.725</v>
      </c>
      <c r="Y141" s="9" t="n">
        <v>2.91</v>
      </c>
      <c r="Z141" s="9" t="n">
        <f aca="false">X141*$Z$3</f>
        <v>0.1158125</v>
      </c>
      <c r="AA141" s="0" t="n">
        <f aca="false">+Y141-X141</f>
        <v>0.185</v>
      </c>
      <c r="AB141" s="47" t="n">
        <f aca="false">IF(($AA141-$Z141-$AB$3)/2&lt;$AB$3,$AB$3,($AA141-$Z141-$AB$3)/2)</f>
        <v>0.05</v>
      </c>
      <c r="AC141" s="47" t="n">
        <f aca="false">IF(AA141&gt;Z141,(AA141-Z141),0)</f>
        <v>0.0691875</v>
      </c>
      <c r="AD141" s="48" t="n">
        <f aca="false">+AC141-AB141</f>
        <v>0.0191875</v>
      </c>
      <c r="AE141" s="6" t="n">
        <f aca="false">10000*AD141</f>
        <v>191.875</v>
      </c>
      <c r="AG141" s="6" t="n">
        <f aca="false">5000*(AC141)</f>
        <v>345.9375</v>
      </c>
    </row>
    <row r="142" customFormat="false" ht="12.75" hidden="false" customHeight="false" outlineLevel="0" collapsed="false">
      <c r="A142" s="51" t="n">
        <f aca="false">DATE(YEAR(A141+31),MONTH(A141+31),1)</f>
        <v>41030</v>
      </c>
      <c r="B142" s="0" t="n">
        <f aca="false">IF(A142&gt;=$A$3,IF(A142&lt;=$A$4,1,0),0)*(A143-A142)</f>
        <v>0</v>
      </c>
      <c r="C142" s="77"/>
      <c r="D142" s="53" t="n">
        <f aca="false">Feeds!G136</f>
        <v>0</v>
      </c>
      <c r="E142" s="78"/>
      <c r="F142" s="5" t="n">
        <f aca="false">$G$3*B142</f>
        <v>0</v>
      </c>
      <c r="G142" s="55" t="n">
        <f aca="true">(1+W142/2)^(-2*($A142-TODAY())/365.25)</f>
        <v>2.1887581487659</v>
      </c>
      <c r="H142" s="76" t="n">
        <f aca="false">+H130</f>
        <v>0.22</v>
      </c>
      <c r="I142" s="0" t="n">
        <f aca="false">IF(E142=0,D142,E142)</f>
        <v>0</v>
      </c>
      <c r="J142" s="0" t="n">
        <f aca="false">IF($I$4=0,H142,(I142+H142))</f>
        <v>0.22</v>
      </c>
      <c r="K142" s="0" t="n">
        <f aca="false">IF($K$5="OK",((I142*$I$5)+(J142*$J$5)),"*******")</f>
        <v>0.22</v>
      </c>
      <c r="M142" s="6" t="n">
        <f aca="false">F142*G142*K142</f>
        <v>0</v>
      </c>
      <c r="N142" s="5" t="n">
        <f aca="false">F142*G142</f>
        <v>0</v>
      </c>
      <c r="W142" s="69" t="n">
        <v>0.0593002136101566</v>
      </c>
      <c r="X142" s="0" t="n">
        <v>2.76</v>
      </c>
      <c r="Y142" s="9" t="n">
        <v>2.96</v>
      </c>
      <c r="Z142" s="9" t="n">
        <f aca="false">X142*$Z$3</f>
        <v>0.1173</v>
      </c>
      <c r="AA142" s="0" t="n">
        <f aca="false">+Y142-X142</f>
        <v>0.2</v>
      </c>
      <c r="AB142" s="47" t="n">
        <f aca="false">IF(($AA142-$Z142-$AB$3)/2&lt;$AB$3,$AB$3,($AA142-$Z142-$AB$3)/2)</f>
        <v>0.05</v>
      </c>
      <c r="AC142" s="47" t="n">
        <f aca="false">IF(AA142&gt;Z142,(AA142-Z142),0)</f>
        <v>0.0827000000000002</v>
      </c>
      <c r="AD142" s="48" t="n">
        <f aca="false">+AC142-AB142</f>
        <v>0.0327000000000002</v>
      </c>
      <c r="AE142" s="6" t="n">
        <f aca="false">10000*AD142</f>
        <v>327.000000000002</v>
      </c>
      <c r="AG142" s="6" t="n">
        <f aca="false">5000*(AC142)</f>
        <v>413.500000000001</v>
      </c>
    </row>
    <row r="143" customFormat="false" ht="12.75" hidden="false" customHeight="false" outlineLevel="0" collapsed="false">
      <c r="A143" s="51" t="n">
        <f aca="false">DATE(YEAR(A142+31),MONTH(A142+31),1)</f>
        <v>41061</v>
      </c>
      <c r="B143" s="0" t="n">
        <f aca="false">IF(A143&gt;=$A$3,IF(A143&lt;=$A$4,1,0),0)*(A144-A143)</f>
        <v>0</v>
      </c>
      <c r="C143" s="77"/>
      <c r="D143" s="53" t="n">
        <f aca="false">Feeds!G137</f>
        <v>0</v>
      </c>
      <c r="E143" s="78"/>
      <c r="F143" s="5" t="n">
        <f aca="false">$G$3*B143</f>
        <v>0</v>
      </c>
      <c r="G143" s="55" t="n">
        <f aca="true">(1+W143/2)^(-2*($A143-TODAY())/365.25)</f>
        <v>2.17876617578321</v>
      </c>
      <c r="H143" s="76" t="n">
        <f aca="false">+H131</f>
        <v>0.22</v>
      </c>
      <c r="I143" s="0" t="n">
        <f aca="false">IF(E143=0,D143,E143)</f>
        <v>0</v>
      </c>
      <c r="J143" s="0" t="n">
        <f aca="false">IF($I$4=0,H143,(I143+H143))</f>
        <v>0.22</v>
      </c>
      <c r="K143" s="0" t="n">
        <f aca="false">IF($K$5="OK",((I143*$I$5)+(J143*$J$5)),"*******")</f>
        <v>0.22</v>
      </c>
      <c r="M143" s="6" t="n">
        <f aca="false">F143*G143*K143</f>
        <v>0</v>
      </c>
      <c r="N143" s="5" t="n">
        <f aca="false">F143*G143</f>
        <v>0</v>
      </c>
      <c r="W143" s="69" t="n">
        <v>0.0593299177032751</v>
      </c>
      <c r="X143" s="0" t="n">
        <v>2.76</v>
      </c>
      <c r="Y143" s="9" t="n">
        <v>2.96</v>
      </c>
      <c r="Z143" s="9" t="n">
        <f aca="false">X143*$Z$3</f>
        <v>0.1173</v>
      </c>
      <c r="AA143" s="0" t="n">
        <f aca="false">+Y143-X143</f>
        <v>0.2</v>
      </c>
      <c r="AB143" s="47" t="n">
        <f aca="false">IF(($AA143-$Z143-$AB$3)/2&lt;$AB$3,$AB$3,($AA143-$Z143-$AB$3)/2)</f>
        <v>0.05</v>
      </c>
      <c r="AC143" s="47" t="n">
        <f aca="false">IF(AA143&gt;Z143,(AA143-Z143),0)</f>
        <v>0.0827000000000002</v>
      </c>
      <c r="AD143" s="48" t="n">
        <f aca="false">+AC143-AB143</f>
        <v>0.0327000000000002</v>
      </c>
      <c r="AE143" s="6" t="n">
        <f aca="false">10000*AD143</f>
        <v>327.000000000002</v>
      </c>
      <c r="AG143" s="6" t="n">
        <f aca="false">5000*(AC143)</f>
        <v>413.500000000001</v>
      </c>
    </row>
    <row r="144" customFormat="false" ht="12.75" hidden="false" customHeight="false" outlineLevel="0" collapsed="false">
      <c r="A144" s="51" t="n">
        <f aca="false">DATE(YEAR(A143+31),MONTH(A143+31),1)</f>
        <v>41091</v>
      </c>
      <c r="B144" s="0" t="n">
        <f aca="false">IF(A144&gt;=$A$3,IF(A144&lt;=$A$4,1,0),0)*(A145-A144)</f>
        <v>0</v>
      </c>
      <c r="C144" s="77"/>
      <c r="D144" s="53" t="n">
        <f aca="false">Feeds!G138</f>
        <v>0</v>
      </c>
      <c r="E144" s="78"/>
      <c r="F144" s="5" t="n">
        <f aca="false">$G$3*B144</f>
        <v>0</v>
      </c>
      <c r="G144" s="55" t="n">
        <f aca="true">(1+W144/2)^(-2*($A144-TODAY())/365.25)</f>
        <v>2.16918416517296</v>
      </c>
      <c r="H144" s="76" t="n">
        <f aca="false">+H132</f>
        <v>0.22</v>
      </c>
      <c r="I144" s="0" t="n">
        <f aca="false">IF(E144=0,D144,E144)</f>
        <v>0</v>
      </c>
      <c r="J144" s="0" t="n">
        <f aca="false">IF($I$4=0,H144,(I144+H144))</f>
        <v>0.22</v>
      </c>
      <c r="K144" s="0" t="n">
        <f aca="false">IF($K$5="OK",((I144*$I$5)+(J144*$J$5)),"*******")</f>
        <v>0.22</v>
      </c>
      <c r="M144" s="6" t="n">
        <f aca="false">F144*G144*K144</f>
        <v>0</v>
      </c>
      <c r="N144" s="5" t="n">
        <f aca="false">F144*G144</f>
        <v>0</v>
      </c>
      <c r="W144" s="69" t="n">
        <v>0.0593606119331396</v>
      </c>
      <c r="X144" s="0" t="n">
        <v>2.76</v>
      </c>
      <c r="Y144" s="9" t="n">
        <v>2.96</v>
      </c>
      <c r="Z144" s="9" t="n">
        <f aca="false">X144*$Z$3</f>
        <v>0.1173</v>
      </c>
      <c r="AA144" s="0" t="n">
        <f aca="false">+Y144-X144</f>
        <v>0.2</v>
      </c>
      <c r="AB144" s="47" t="n">
        <f aca="false">IF(($AA144-$Z144-$AB$3)/2&lt;$AB$3,$AB$3,($AA144-$Z144-$AB$3)/2)</f>
        <v>0.05</v>
      </c>
      <c r="AC144" s="47" t="n">
        <f aca="false">IF(AA144&gt;Z144,(AA144-Z144),0)</f>
        <v>0.0827000000000002</v>
      </c>
      <c r="AD144" s="48" t="n">
        <f aca="false">+AC144-AB144</f>
        <v>0.0327000000000002</v>
      </c>
      <c r="AE144" s="6" t="n">
        <f aca="false">10000*AD144</f>
        <v>327.000000000002</v>
      </c>
      <c r="AG144" s="6" t="n">
        <f aca="false">5000*(AC144)</f>
        <v>413.500000000001</v>
      </c>
    </row>
    <row r="145" customFormat="false" ht="12.75" hidden="false" customHeight="false" outlineLevel="0" collapsed="false">
      <c r="A145" s="51" t="n">
        <f aca="false">DATE(YEAR(A144+31),MONTH(A144+31),1)</f>
        <v>41122</v>
      </c>
      <c r="B145" s="0" t="n">
        <f aca="false">IF(A145&gt;=$A$3,IF(A145&lt;=$A$4,1,0),0)*(A146-A145)</f>
        <v>0</v>
      </c>
      <c r="C145" s="77"/>
      <c r="D145" s="53" t="n">
        <f aca="false">Feeds!G139</f>
        <v>0</v>
      </c>
      <c r="E145" s="78"/>
      <c r="F145" s="5" t="n">
        <f aca="false">$G$3*B145</f>
        <v>0</v>
      </c>
      <c r="G145" s="55" t="n">
        <f aca="true">(1+W145/2)^(-2*($A145-TODAY())/365.25)</f>
        <v>2.15928768183438</v>
      </c>
      <c r="H145" s="76" t="n">
        <f aca="false">+H133</f>
        <v>0.22</v>
      </c>
      <c r="I145" s="0" t="n">
        <f aca="false">IF(E145=0,D145,E145)</f>
        <v>0</v>
      </c>
      <c r="J145" s="0" t="n">
        <f aca="false">IF($I$4=0,H145,(I145+H145))</f>
        <v>0.22</v>
      </c>
      <c r="K145" s="0" t="n">
        <f aca="false">IF($K$5="OK",((I145*$I$5)+(J145*$J$5)),"*******")</f>
        <v>0.22</v>
      </c>
      <c r="M145" s="6" t="n">
        <f aca="false">F145*G145*K145</f>
        <v>0</v>
      </c>
      <c r="N145" s="5" t="n">
        <f aca="false">F145*G145</f>
        <v>0</v>
      </c>
      <c r="W145" s="69" t="n">
        <v>0.0593913061633171</v>
      </c>
      <c r="X145" s="0" t="n">
        <v>2.815</v>
      </c>
      <c r="Y145" s="9" t="n">
        <v>2.975</v>
      </c>
      <c r="Z145" s="9" t="n">
        <f aca="false">X145*$Z$3</f>
        <v>0.1196375</v>
      </c>
      <c r="AA145" s="0" t="n">
        <f aca="false">+Y145-X145</f>
        <v>0.16</v>
      </c>
      <c r="AB145" s="47" t="n">
        <f aca="false">IF(($AA145-$Z145-$AB$3)/2&lt;$AB$3,$AB$3,($AA145-$Z145-$AB$3)/2)</f>
        <v>0.05</v>
      </c>
      <c r="AC145" s="47" t="n">
        <f aca="false">IF(AA145&gt;Z145,(AA145-Z145),0)</f>
        <v>0.0403625000000001</v>
      </c>
      <c r="AD145" s="48" t="n">
        <f aca="false">+AC145-AB145</f>
        <v>-0.00963749999999987</v>
      </c>
      <c r="AE145" s="6" t="n">
        <f aca="false">10000*AD145</f>
        <v>-96.3749999999987</v>
      </c>
      <c r="AG145" s="6" t="n">
        <f aca="false">5000*(AC145)</f>
        <v>201.812500000001</v>
      </c>
    </row>
    <row r="146" customFormat="false" ht="12.75" hidden="false" customHeight="false" outlineLevel="0" collapsed="false">
      <c r="A146" s="51" t="n">
        <f aca="false">DATE(YEAR(A145+31),MONTH(A145+31),1)</f>
        <v>41153</v>
      </c>
      <c r="B146" s="0" t="n">
        <f aca="false">IF(A146&gt;=$A$3,IF(A146&lt;=$A$4,1,0),0)*(A147-A146)</f>
        <v>0</v>
      </c>
      <c r="C146" s="77"/>
      <c r="D146" s="53" t="n">
        <f aca="false">Feeds!G140</f>
        <v>0</v>
      </c>
      <c r="E146" s="78"/>
      <c r="F146" s="5" t="n">
        <f aca="false">$G$3*B146</f>
        <v>0</v>
      </c>
      <c r="G146" s="55" t="n">
        <f aca="true">(1+W146/2)^(-2*($A146-TODAY())/365.25)</f>
        <v>2.14939845213164</v>
      </c>
      <c r="H146" s="76" t="n">
        <f aca="false">+H134</f>
        <v>0.22</v>
      </c>
      <c r="I146" s="0" t="n">
        <f aca="false">IF(E146=0,D146,E146)</f>
        <v>0</v>
      </c>
      <c r="J146" s="0" t="n">
        <f aca="false">IF($I$4=0,H146,(I146+H146))</f>
        <v>0.22</v>
      </c>
      <c r="K146" s="0" t="n">
        <f aca="false">IF($K$5="OK",((I146*$I$5)+(J146*$J$5)),"*******")</f>
        <v>0.22</v>
      </c>
      <c r="M146" s="6" t="n">
        <f aca="false">F146*G146*K146</f>
        <v>0</v>
      </c>
      <c r="N146" s="5" t="n">
        <f aca="false">F146*G146</f>
        <v>0</v>
      </c>
      <c r="W146" s="69" t="n">
        <v>0.0594210102573358</v>
      </c>
      <c r="X146" s="0" t="n">
        <v>2.905</v>
      </c>
      <c r="Y146" s="9" t="n">
        <v>3.075</v>
      </c>
      <c r="Z146" s="9" t="n">
        <f aca="false">X146*$Z$3</f>
        <v>0.1234625</v>
      </c>
      <c r="AA146" s="0" t="n">
        <f aca="false">+Y146-X146</f>
        <v>0.17</v>
      </c>
      <c r="AB146" s="47" t="n">
        <f aca="false">IF(($AA146-$Z146-$AB$3)/2&lt;$AB$3,$AB$3,($AA146-$Z146-$AB$3)/2)</f>
        <v>0.05</v>
      </c>
      <c r="AC146" s="47" t="n">
        <f aca="false">IF(AA146&gt;Z146,(AA146-Z146),0)</f>
        <v>0.0465375000000004</v>
      </c>
      <c r="AD146" s="48" t="n">
        <f aca="false">+AC146-AB146</f>
        <v>-0.00346249999999963</v>
      </c>
      <c r="AE146" s="6" t="n">
        <f aca="false">10000*AD146</f>
        <v>-34.6249999999963</v>
      </c>
      <c r="AG146" s="6" t="n">
        <f aca="false">5000*(AC146)</f>
        <v>232.687500000002</v>
      </c>
    </row>
    <row r="147" customFormat="false" ht="12.75" hidden="false" customHeight="false" outlineLevel="0" collapsed="false">
      <c r="A147" s="51" t="n">
        <f aca="false">DATE(YEAR(A146+31),MONTH(A146+31),1)</f>
        <v>41183</v>
      </c>
      <c r="B147" s="0" t="n">
        <f aca="false">IF(A147&gt;=$A$3,IF(A147&lt;=$A$4,1,0),0)*(A148-A147)</f>
        <v>0</v>
      </c>
      <c r="C147" s="77"/>
      <c r="D147" s="53" t="n">
        <f aca="false">Feeds!G141</f>
        <v>0</v>
      </c>
      <c r="E147" s="78"/>
      <c r="F147" s="5" t="n">
        <f aca="false">$G$3*B147</f>
        <v>0</v>
      </c>
      <c r="G147" s="55" t="n">
        <f aca="true">(1+W147/2)^(-2*($A147-TODAY())/365.25)</f>
        <v>2.13991394448788</v>
      </c>
      <c r="H147" s="76" t="n">
        <f aca="false">+H135</f>
        <v>0.22</v>
      </c>
      <c r="I147" s="0" t="n">
        <f aca="false">IF(E147=0,D147,E147)</f>
        <v>0</v>
      </c>
      <c r="J147" s="0" t="n">
        <f aca="false">IF($I$4=0,H147,(I147+H147))</f>
        <v>0.22</v>
      </c>
      <c r="K147" s="0" t="n">
        <f aca="false">IF($K$5="OK",((I147*$I$5)+(J147*$J$5)),"*******")</f>
        <v>0.22</v>
      </c>
      <c r="M147" s="6" t="n">
        <f aca="false">F147*G147*K147</f>
        <v>0</v>
      </c>
      <c r="N147" s="5" t="n">
        <f aca="false">F147*G147</f>
        <v>0</v>
      </c>
      <c r="W147" s="69" t="n">
        <v>0.0594517044881293</v>
      </c>
      <c r="X147" s="0" t="n">
        <v>2.845</v>
      </c>
      <c r="Y147" s="9" t="n">
        <v>3.05</v>
      </c>
      <c r="Z147" s="9" t="n">
        <f aca="false">X147*$Z$3</f>
        <v>0.1209125</v>
      </c>
      <c r="AA147" s="0" t="n">
        <f aca="false">+Y147-X147</f>
        <v>0.205</v>
      </c>
      <c r="AB147" s="47" t="n">
        <f aca="false">IF(($AA147-$Z147-$AB$3)/2&lt;$AB$3,$AB$3,($AA147-$Z147-$AB$3)/2)</f>
        <v>0.05</v>
      </c>
      <c r="AC147" s="47" t="n">
        <f aca="false">IF(AA147&gt;Z147,(AA147-Z147),0)</f>
        <v>0.0840874999999996</v>
      </c>
      <c r="AD147" s="48" t="n">
        <f aca="false">+AC147-AB147</f>
        <v>0.0340874999999996</v>
      </c>
      <c r="AE147" s="6" t="n">
        <f aca="false">10000*AD147</f>
        <v>340.874999999996</v>
      </c>
      <c r="AG147" s="6" t="n">
        <f aca="false">5000*(AC147)</f>
        <v>420.437499999998</v>
      </c>
    </row>
    <row r="148" customFormat="false" ht="12.75" hidden="false" customHeight="false" outlineLevel="0" collapsed="false">
      <c r="A148" s="51" t="n">
        <f aca="false">DATE(YEAR(A147+31),MONTH(A147+31),1)</f>
        <v>41214</v>
      </c>
      <c r="B148" s="0" t="n">
        <f aca="false">IF(A148&gt;=$A$3,IF(A148&lt;=$A$4,1,0),0)*(A149-A148)</f>
        <v>0</v>
      </c>
      <c r="C148" s="77"/>
      <c r="D148" s="53" t="n">
        <f aca="false">Feeds!G142</f>
        <v>0</v>
      </c>
      <c r="E148" s="78"/>
      <c r="F148" s="5" t="n">
        <f aca="false">$G$3*B148</f>
        <v>0</v>
      </c>
      <c r="G148" s="55" t="n">
        <f aca="true">(1+W148/2)^(-2*($A148-TODAY())/365.25)</f>
        <v>2.13009255391903</v>
      </c>
      <c r="H148" s="76" t="n">
        <f aca="false">+H136</f>
        <v>0.45</v>
      </c>
      <c r="I148" s="0" t="n">
        <f aca="false">IF(E148=0,D148,E148)</f>
        <v>0</v>
      </c>
      <c r="J148" s="0" t="n">
        <f aca="false">IF($I$4=0,H148,(I148+H148))</f>
        <v>0.45</v>
      </c>
      <c r="K148" s="0" t="n">
        <f aca="false">IF($K$5="OK",((I148*$I$5)+(J148*$J$5)),"*******")</f>
        <v>0.45</v>
      </c>
      <c r="M148" s="6" t="n">
        <f aca="false">F148*G148*K148</f>
        <v>0</v>
      </c>
      <c r="N148" s="5" t="n">
        <f aca="false">F148*G148</f>
        <v>0</v>
      </c>
      <c r="W148" s="69" t="n">
        <v>0.059481408582744</v>
      </c>
      <c r="X148" s="0" t="n">
        <v>2.845</v>
      </c>
      <c r="Y148" s="9" t="n">
        <v>2.98</v>
      </c>
      <c r="Z148" s="9" t="n">
        <f aca="false">X148*$Z$3</f>
        <v>0.1209125</v>
      </c>
      <c r="AA148" s="0" t="n">
        <f aca="false">+Y148-X148</f>
        <v>0.135</v>
      </c>
      <c r="AB148" s="47" t="n">
        <f aca="false">IF(($AA148-$Z148-$AB$3)/2&lt;$AB$3,$AB$3,($AA148-$Z148-$AB$3)/2)</f>
        <v>0.05</v>
      </c>
      <c r="AC148" s="47" t="n">
        <f aca="false">IF(AA148&gt;Z148,(AA148-Z148),0)</f>
        <v>0.0140874999999998</v>
      </c>
      <c r="AD148" s="48" t="n">
        <f aca="false">+AC148-AB148</f>
        <v>-0.0359125000000002</v>
      </c>
      <c r="AE148" s="6" t="n">
        <f aca="false">10000*AD148</f>
        <v>-359.125000000002</v>
      </c>
      <c r="AG148" s="6" t="n">
        <f aca="false">5000*(AC148)</f>
        <v>70.4374999999988</v>
      </c>
    </row>
    <row r="149" customFormat="false" ht="12.75" hidden="false" customHeight="false" outlineLevel="0" collapsed="false">
      <c r="A149" s="51" t="n">
        <f aca="false">DATE(YEAR(A148+31),MONTH(A148+31),1)</f>
        <v>41244</v>
      </c>
      <c r="B149" s="0" t="n">
        <f aca="false">IF(A149&gt;=$A$3,IF(A149&lt;=$A$4,1,0),0)*(A150-A149)</f>
        <v>0</v>
      </c>
      <c r="C149" s="77"/>
      <c r="D149" s="53" t="n">
        <f aca="false">Feeds!G143</f>
        <v>0</v>
      </c>
      <c r="E149" s="78"/>
      <c r="F149" s="5" t="n">
        <f aca="false">$G$3*B149</f>
        <v>0</v>
      </c>
      <c r="G149" s="55" t="n">
        <f aca="true">(1+W149/2)^(-2*($A149-TODAY())/365.25)</f>
        <v>2.12067243837236</v>
      </c>
      <c r="H149" s="76" t="n">
        <f aca="false">+H137</f>
        <v>0.45</v>
      </c>
      <c r="I149" s="0" t="n">
        <f aca="false">IF(E149=0,D149,E149)</f>
        <v>0</v>
      </c>
      <c r="J149" s="0" t="n">
        <f aca="false">IF($I$4=0,H149,(I149+H149))</f>
        <v>0.45</v>
      </c>
      <c r="K149" s="0" t="n">
        <f aca="false">IF($K$5="OK",((I149*$I$5)+(J149*$J$5)),"*******")</f>
        <v>0.45</v>
      </c>
      <c r="M149" s="6" t="n">
        <f aca="false">F149*G149*K149</f>
        <v>0</v>
      </c>
      <c r="N149" s="5" t="n">
        <f aca="false">F149*G149</f>
        <v>0</v>
      </c>
      <c r="W149" s="69" t="n">
        <v>0.0595121028141539</v>
      </c>
      <c r="AG149" s="3"/>
    </row>
    <row r="150" customFormat="false" ht="12.75" hidden="false" customHeight="false" outlineLevel="0" collapsed="false">
      <c r="A150" s="51" t="n">
        <f aca="false">DATE(YEAR(A149+31),MONTH(A149+31),1)</f>
        <v>41275</v>
      </c>
      <c r="B150" s="0" t="n">
        <f aca="false">IF(A150&gt;=$A$3,IF(A150&lt;=$A$4,1,0),0)*(A151-A150)</f>
        <v>0</v>
      </c>
      <c r="C150" s="77"/>
      <c r="D150" s="53" t="n">
        <f aca="false">Feeds!G144</f>
        <v>0</v>
      </c>
      <c r="E150" s="78"/>
      <c r="F150" s="5" t="n">
        <f aca="false">$G$3*B150</f>
        <v>0</v>
      </c>
      <c r="G150" s="55" t="n">
        <f aca="true">(1+W150/2)^(-2*($A150-TODAY())/365.25)</f>
        <v>2.11094450359794</v>
      </c>
      <c r="H150" s="76" t="n">
        <f aca="false">+H138</f>
        <v>0.45</v>
      </c>
      <c r="I150" s="0" t="n">
        <f aca="false">IF(E150=0,D150,E150)</f>
        <v>0</v>
      </c>
      <c r="J150" s="0" t="n">
        <f aca="false">IF($I$4=0,H150,(I150+H150))</f>
        <v>0.45</v>
      </c>
      <c r="K150" s="0" t="n">
        <f aca="false">IF($K$5="OK",((I150*$I$5)+(J150*$J$5)),"*******")</f>
        <v>0.45</v>
      </c>
      <c r="M150" s="6" t="n">
        <f aca="false">F150*G150*K150</f>
        <v>0</v>
      </c>
      <c r="N150" s="5" t="n">
        <f aca="false">F150*G150</f>
        <v>0</v>
      </c>
      <c r="W150" s="69" t="n">
        <v>0.0595427970458768</v>
      </c>
      <c r="AG150" s="3"/>
    </row>
    <row r="151" customFormat="false" ht="12.75" hidden="false" customHeight="false" outlineLevel="0" collapsed="false">
      <c r="A151" s="51" t="n">
        <f aca="false">DATE(YEAR(A150+31),MONTH(A150+31),1)</f>
        <v>41306</v>
      </c>
      <c r="B151" s="0" t="n">
        <f aca="false">IF(A151&gt;=$A$3,IF(A151&lt;=$A$4,1,0),0)*(A152-A151)</f>
        <v>0</v>
      </c>
      <c r="C151" s="77"/>
      <c r="D151" s="53" t="n">
        <f aca="false">Feeds!G145</f>
        <v>0</v>
      </c>
      <c r="E151" s="78"/>
      <c r="F151" s="5" t="n">
        <f aca="false">$G$3*B151</f>
        <v>0</v>
      </c>
      <c r="G151" s="55" t="n">
        <f aca="true">(1+W151/2)^(-2*($A151-TODAY())/365.25)</f>
        <v>2.10117388540098</v>
      </c>
      <c r="H151" s="76" t="n">
        <f aca="false">+H139</f>
        <v>0.45</v>
      </c>
      <c r="I151" s="0" t="n">
        <f aca="false">IF(E151=0,D151,E151)</f>
        <v>0</v>
      </c>
      <c r="J151" s="0" t="n">
        <f aca="false">IF($I$4=0,H151,(I151+H151))</f>
        <v>0.45</v>
      </c>
      <c r="K151" s="0" t="n">
        <f aca="false">IF($K$5="OK",((I151*$I$5)+(J151*$J$5)),"*******")</f>
        <v>0.45</v>
      </c>
      <c r="M151" s="6" t="n">
        <f aca="false">F151*G151*K151</f>
        <v>0</v>
      </c>
      <c r="N151" s="5" t="n">
        <f aca="false">F151*G151</f>
        <v>0</v>
      </c>
      <c r="W151" s="69" t="n">
        <v>0.0595705208683475</v>
      </c>
      <c r="AG151" s="3"/>
    </row>
    <row r="152" customFormat="false" ht="12.75" hidden="false" customHeight="false" outlineLevel="0" collapsed="false">
      <c r="A152" s="51" t="n">
        <f aca="false">DATE(YEAR(A151+31),MONTH(A151+31),1)</f>
        <v>41334</v>
      </c>
      <c r="B152" s="0" t="n">
        <f aca="false">IF(A152&gt;=$A$3,IF(A152&lt;=$A$4,1,0),0)*(A153-A152)</f>
        <v>0</v>
      </c>
      <c r="C152" s="77"/>
      <c r="D152" s="53" t="n">
        <f aca="false">Feeds!G146</f>
        <v>0</v>
      </c>
      <c r="E152" s="78"/>
      <c r="F152" s="5" t="n">
        <f aca="false">$G$3*B152</f>
        <v>0</v>
      </c>
      <c r="G152" s="55" t="n">
        <f aca="true">(1+W152/2)^(-2*($A152-TODAY())/365.25)</f>
        <v>2.09252387851416</v>
      </c>
      <c r="H152" s="76" t="n">
        <f aca="false">+H140</f>
        <v>0.45</v>
      </c>
      <c r="I152" s="0" t="n">
        <f aca="false">IF(E152=0,D152,E152)</f>
        <v>0</v>
      </c>
      <c r="J152" s="0" t="n">
        <f aca="false">IF($I$4=0,H152,(I152+H152))</f>
        <v>0.45</v>
      </c>
      <c r="K152" s="0" t="n">
        <f aca="false">IF($K$5="OK",((I152*$I$5)+(J152*$J$5)),"*******")</f>
        <v>0.45</v>
      </c>
      <c r="M152" s="6" t="n">
        <f aca="false">F152*G152*K152</f>
        <v>0</v>
      </c>
      <c r="N152" s="5" t="n">
        <f aca="false">F152*G152</f>
        <v>0</v>
      </c>
      <c r="W152" s="69" t="n">
        <v>0.0596012151006664</v>
      </c>
      <c r="AG152" s="3"/>
    </row>
    <row r="153" customFormat="false" ht="12.75" hidden="false" customHeight="false" outlineLevel="0" collapsed="false">
      <c r="A153" s="51" t="n">
        <f aca="false">DATE(YEAR(A152+31),MONTH(A152+31),1)</f>
        <v>41365</v>
      </c>
      <c r="B153" s="0" t="n">
        <f aca="false">IF(A153&gt;=$A$3,IF(A153&lt;=$A$4,1,0),0)*(A154-A153)</f>
        <v>0</v>
      </c>
      <c r="C153" s="77"/>
      <c r="D153" s="53" t="n">
        <f aca="false">Feeds!G147</f>
        <v>0</v>
      </c>
      <c r="E153" s="78"/>
      <c r="F153" s="5" t="n">
        <f aca="false">$G$3*B153</f>
        <v>0</v>
      </c>
      <c r="G153" s="55" t="n">
        <f aca="true">(1+W153/2)^(-2*($A153-TODAY())/365.25)</f>
        <v>2.082869429326</v>
      </c>
      <c r="H153" s="76" t="n">
        <f aca="false">+H141</f>
        <v>0.22</v>
      </c>
      <c r="I153" s="0" t="n">
        <f aca="false">IF(E153=0,D153,E153)</f>
        <v>0</v>
      </c>
      <c r="J153" s="0" t="n">
        <f aca="false">IF($I$4=0,H153,(I153+H153))</f>
        <v>0.22</v>
      </c>
      <c r="K153" s="0" t="n">
        <f aca="false">IF($K$5="OK",((I153*$I$5)+(J153*$J$5)),"*******")</f>
        <v>0.22</v>
      </c>
      <c r="M153" s="6" t="n">
        <f aca="false">F153*G153*K153</f>
        <v>0</v>
      </c>
      <c r="N153" s="5" t="n">
        <f aca="false">F153*G153</f>
        <v>0</v>
      </c>
      <c r="W153" s="69" t="n">
        <v>0.0596309191967563</v>
      </c>
      <c r="AG153" s="3"/>
    </row>
    <row r="154" customFormat="false" ht="12.75" hidden="false" customHeight="false" outlineLevel="0" collapsed="false">
      <c r="A154" s="51" t="n">
        <f aca="false">DATE(YEAR(A153+31),MONTH(A153+31),1)</f>
        <v>41395</v>
      </c>
      <c r="B154" s="0" t="n">
        <f aca="false">IF(A154&gt;=$A$3,IF(A154&lt;=$A$4,1,0),0)*(A155-A154)</f>
        <v>0</v>
      </c>
      <c r="C154" s="77"/>
      <c r="D154" s="53" t="n">
        <f aca="false">Feeds!G148</f>
        <v>0</v>
      </c>
      <c r="E154" s="78"/>
      <c r="F154" s="5" t="n">
        <f aca="false">$G$3*B154</f>
        <v>0</v>
      </c>
      <c r="G154" s="55" t="n">
        <f aca="true">(1+W154/2)^(-2*($A154-TODAY())/365.25)</f>
        <v>2.0736078163053</v>
      </c>
      <c r="H154" s="76" t="n">
        <f aca="false">+H142</f>
        <v>0.22</v>
      </c>
      <c r="I154" s="0" t="n">
        <f aca="false">IF(E154=0,D154,E154)</f>
        <v>0</v>
      </c>
      <c r="J154" s="0" t="n">
        <f aca="false">IF($I$4=0,H154,(I154+H154))</f>
        <v>0.22</v>
      </c>
      <c r="K154" s="0" t="n">
        <f aca="false">IF($K$5="OK",((I154*$I$5)+(J154*$J$5)),"*******")</f>
        <v>0.22</v>
      </c>
      <c r="M154" s="6" t="n">
        <f aca="false">F154*G154*K154</f>
        <v>0</v>
      </c>
      <c r="N154" s="5" t="n">
        <f aca="false">F154*G154</f>
        <v>0</v>
      </c>
      <c r="W154" s="69" t="n">
        <v>0.0596616134296917</v>
      </c>
    </row>
    <row r="155" customFormat="false" ht="12.75" hidden="false" customHeight="false" outlineLevel="0" collapsed="false">
      <c r="A155" s="51" t="n">
        <f aca="false">DATE(YEAR(A154+31),MONTH(A154+31),1)</f>
        <v>41426</v>
      </c>
      <c r="B155" s="0" t="n">
        <f aca="false">IF(A155&gt;=$A$3,IF(A155&lt;=$A$4,1,0),0)*(A156-A155)</f>
        <v>0</v>
      </c>
      <c r="C155" s="77"/>
      <c r="D155" s="53" t="n">
        <f aca="false">Feeds!G149</f>
        <v>0</v>
      </c>
      <c r="E155" s="78"/>
      <c r="F155" s="5" t="n">
        <f aca="false">$G$3*B155</f>
        <v>0</v>
      </c>
      <c r="G155" s="55" t="n">
        <f aca="true">(1+W155/2)^(-2*($A155-TODAY())/365.25)</f>
        <v>2.06402040293155</v>
      </c>
      <c r="H155" s="76" t="n">
        <f aca="false">+H143</f>
        <v>0.22</v>
      </c>
      <c r="I155" s="0" t="n">
        <f aca="false">IF(E155=0,D155,E155)</f>
        <v>0</v>
      </c>
      <c r="J155" s="0" t="n">
        <f aca="false">IF($I$4=0,H155,(I155+H155))</f>
        <v>0.22</v>
      </c>
      <c r="K155" s="0" t="n">
        <f aca="false">IF($K$5="OK",((I155*$I$5)+(J155*$J$5)),"*******")</f>
        <v>0.22</v>
      </c>
      <c r="M155" s="6" t="n">
        <f aca="false">F155*G155*K155</f>
        <v>0</v>
      </c>
      <c r="N155" s="5" t="n">
        <f aca="false">F155*G155</f>
        <v>0</v>
      </c>
      <c r="W155" s="69" t="n">
        <v>0.0596913175263785</v>
      </c>
    </row>
    <row r="156" customFormat="false" ht="12.75" hidden="false" customHeight="false" outlineLevel="0" collapsed="false">
      <c r="A156" s="51" t="n">
        <f aca="false">DATE(YEAR(A155+31),MONTH(A155+31),1)</f>
        <v>41456</v>
      </c>
      <c r="B156" s="0" t="n">
        <f aca="false">IF(A156&gt;=$A$3,IF(A156&lt;=$A$4,1,0),0)*(A157-A156)</f>
        <v>0</v>
      </c>
      <c r="C156" s="77"/>
      <c r="D156" s="53" t="n">
        <f aca="false">Feeds!G150</f>
        <v>0</v>
      </c>
      <c r="E156" s="78"/>
      <c r="F156" s="5" t="n">
        <f aca="false">$G$3*B156</f>
        <v>0</v>
      </c>
      <c r="G156" s="55" t="n">
        <f aca="true">(1+W156/2)^(-2*($A156-TODAY())/365.25)</f>
        <v>2.05482245446111</v>
      </c>
      <c r="H156" s="76" t="n">
        <f aca="false">+H144</f>
        <v>0.22</v>
      </c>
      <c r="I156" s="0" t="n">
        <f aca="false">IF(E156=0,D156,E156)</f>
        <v>0</v>
      </c>
      <c r="J156" s="0" t="n">
        <f aca="false">IF($I$4=0,H156,(I156+H156))</f>
        <v>0.22</v>
      </c>
      <c r="K156" s="0" t="n">
        <f aca="false">IF($K$5="OK",((I156*$I$5)+(J156*$J$5)),"*******")</f>
        <v>0.22</v>
      </c>
      <c r="M156" s="6" t="n">
        <f aca="false">F156*G156*K156</f>
        <v>0</v>
      </c>
      <c r="N156" s="5" t="n">
        <f aca="false">F156*G156</f>
        <v>0</v>
      </c>
      <c r="W156" s="69" t="n">
        <v>0.0597220117599298</v>
      </c>
    </row>
    <row r="157" customFormat="false" ht="12.75" hidden="false" customHeight="false" outlineLevel="0" collapsed="false">
      <c r="A157" s="51" t="n">
        <f aca="false">DATE(YEAR(A156+31),MONTH(A156+31),1)</f>
        <v>41487</v>
      </c>
      <c r="B157" s="0" t="n">
        <f aca="false">IF(A157&gt;=$A$3,IF(A157&lt;=$A$4,1,0),0)*(A158-A157)</f>
        <v>0</v>
      </c>
      <c r="C157" s="77"/>
      <c r="D157" s="53" t="n">
        <f aca="false">Feeds!G151</f>
        <v>0</v>
      </c>
      <c r="E157" s="78"/>
      <c r="F157" s="5" t="n">
        <f aca="false">$G$3*B157</f>
        <v>0</v>
      </c>
      <c r="G157" s="55" t="n">
        <f aca="true">(1+W157/2)^(-2*($A157-TODAY())/365.25)</f>
        <v>2.04532573983823</v>
      </c>
      <c r="H157" s="76" t="n">
        <f aca="false">+H145</f>
        <v>0.22</v>
      </c>
      <c r="I157" s="0" t="n">
        <f aca="false">IF(E157=0,D157,E157)</f>
        <v>0</v>
      </c>
      <c r="J157" s="0" t="n">
        <f aca="false">IF($I$4=0,H157,(I157+H157))</f>
        <v>0.22</v>
      </c>
      <c r="K157" s="0" t="n">
        <f aca="false">IF($K$5="OK",((I157*$I$5)+(J157*$J$5)),"*******")</f>
        <v>0.22</v>
      </c>
      <c r="M157" s="6" t="n">
        <f aca="false">F157*G157*K157</f>
        <v>0</v>
      </c>
      <c r="N157" s="5" t="n">
        <f aca="false">F157*G157</f>
        <v>0</v>
      </c>
      <c r="W157" s="69" t="n">
        <v>0.0597527059937932</v>
      </c>
    </row>
    <row r="158" customFormat="false" ht="12.75" hidden="false" customHeight="false" outlineLevel="0" collapsed="false">
      <c r="A158" s="51" t="n">
        <f aca="false">DATE(YEAR(A157+31),MONTH(A157+31),1)</f>
        <v>41518</v>
      </c>
      <c r="B158" s="0" t="n">
        <f aca="false">IF(A158&gt;=$A$3,IF(A158&lt;=$A$4,1,0),0)*(A159-A158)</f>
        <v>0</v>
      </c>
      <c r="C158" s="77"/>
      <c r="D158" s="53" t="n">
        <f aca="false">Feeds!G152</f>
        <v>0</v>
      </c>
      <c r="E158" s="78"/>
      <c r="F158" s="5" t="n">
        <f aca="false">$G$3*B158</f>
        <v>0</v>
      </c>
      <c r="G158" s="55" t="n">
        <f aca="true">(1+W158/2)^(-2*($A158-TODAY())/365.25)</f>
        <v>2.0358389841278</v>
      </c>
      <c r="H158" s="76" t="n">
        <f aca="false">+H146</f>
        <v>0.22</v>
      </c>
      <c r="I158" s="0" t="n">
        <f aca="false">IF(E158=0,D158,E158)</f>
        <v>0</v>
      </c>
      <c r="J158" s="0" t="n">
        <f aca="false">IF($I$4=0,H158,(I158+H158))</f>
        <v>0.22</v>
      </c>
      <c r="K158" s="0" t="n">
        <f aca="false">IF($K$5="OK",((I158*$I$5)+(J158*$J$5)),"*******")</f>
        <v>0.22</v>
      </c>
      <c r="M158" s="6" t="n">
        <f aca="false">F158*G158*K158</f>
        <v>0</v>
      </c>
      <c r="N158" s="5" t="n">
        <f aca="false">F158*G158</f>
        <v>0</v>
      </c>
      <c r="W158" s="69" t="n">
        <v>0.0597824100913793</v>
      </c>
    </row>
    <row r="159" customFormat="false" ht="12.75" hidden="false" customHeight="false" outlineLevel="0" collapsed="false">
      <c r="A159" s="51" t="n">
        <f aca="false">DATE(YEAR(A158+31),MONTH(A158+31),1)</f>
        <v>41548</v>
      </c>
      <c r="B159" s="0" t="n">
        <f aca="false">IF(A159&gt;=$A$3,IF(A159&lt;=$A$4,1,0),0)*(A160-A159)</f>
        <v>0</v>
      </c>
      <c r="C159" s="77"/>
      <c r="D159" s="53" t="n">
        <f aca="false">Feeds!G153</f>
        <v>0</v>
      </c>
      <c r="E159" s="78"/>
      <c r="F159" s="5" t="n">
        <f aca="false">$G$3*B159</f>
        <v>0</v>
      </c>
      <c r="G159" s="55" t="n">
        <f aca="true">(1+W159/2)^(-2*($A159-TODAY())/365.25)</f>
        <v>2.02673664975637</v>
      </c>
      <c r="H159" s="76" t="n">
        <f aca="false">+H147</f>
        <v>0.22</v>
      </c>
      <c r="I159" s="0" t="n">
        <f aca="false">IF(E159=0,D159,E159)</f>
        <v>0</v>
      </c>
      <c r="J159" s="0" t="n">
        <f aca="false">IF($I$4=0,H159,(I159+H159))</f>
        <v>0.22</v>
      </c>
      <c r="K159" s="0" t="n">
        <f aca="false">IF($K$5="OK",((I159*$I$5)+(J159*$J$5)),"*******")</f>
        <v>0.22</v>
      </c>
      <c r="M159" s="6" t="n">
        <f aca="false">F159*G159*K159</f>
        <v>0</v>
      </c>
      <c r="N159" s="5" t="n">
        <f aca="false">F159*G159</f>
        <v>0</v>
      </c>
      <c r="W159" s="69" t="n">
        <v>0.0598131043258596</v>
      </c>
    </row>
    <row r="160" customFormat="false" ht="12.75" hidden="false" customHeight="false" outlineLevel="0" collapsed="false">
      <c r="A160" s="51" t="n">
        <f aca="false">DATE(YEAR(A159+31),MONTH(A159+31),1)</f>
        <v>41579</v>
      </c>
      <c r="B160" s="0" t="n">
        <f aca="false">IF(A160&gt;=$A$3,IF(A160&lt;=$A$4,1,0),0)*(A161-A160)</f>
        <v>0</v>
      </c>
      <c r="C160" s="77"/>
      <c r="D160" s="53" t="n">
        <f aca="false">Feeds!G154</f>
        <v>0</v>
      </c>
      <c r="E160" s="78"/>
      <c r="F160" s="5" t="n">
        <f aca="false">$G$3*B160</f>
        <v>0</v>
      </c>
      <c r="G160" s="55" t="n">
        <f aca="true">(1+W160/2)^(-2*($A160-TODAY())/365.25)</f>
        <v>2.01731633645968</v>
      </c>
      <c r="H160" s="76" t="n">
        <f aca="false">+H148</f>
        <v>0.45</v>
      </c>
      <c r="I160" s="0" t="n">
        <f aca="false">IF(E160=0,D160,E160)</f>
        <v>0</v>
      </c>
      <c r="J160" s="0" t="n">
        <f aca="false">IF($I$4=0,H160,(I160+H160))</f>
        <v>0.45</v>
      </c>
      <c r="K160" s="0" t="n">
        <f aca="false">IF($K$5="OK",((I160*$I$5)+(J160*$J$5)),"*******")</f>
        <v>0.45</v>
      </c>
      <c r="M160" s="6" t="n">
        <f aca="false">F160*G160*K160</f>
        <v>0</v>
      </c>
      <c r="N160" s="5" t="n">
        <f aca="false">F160*G160</f>
        <v>0</v>
      </c>
      <c r="W160" s="69" t="n">
        <v>0.0598428084240417</v>
      </c>
    </row>
    <row r="161" customFormat="false" ht="12.75" hidden="false" customHeight="false" outlineLevel="0" collapsed="false">
      <c r="A161" s="51" t="n">
        <f aca="false">DATE(YEAR(A160+31),MONTH(A160+31),1)</f>
        <v>41609</v>
      </c>
      <c r="B161" s="0" t="n">
        <f aca="false">IF(A161&gt;=$A$3,IF(A161&lt;=$A$4,1,0),0)*(A162-A161)</f>
        <v>0</v>
      </c>
      <c r="C161" s="77"/>
      <c r="D161" s="53" t="n">
        <f aca="false">Feeds!G155</f>
        <v>0</v>
      </c>
      <c r="E161" s="78"/>
      <c r="F161" s="5" t="n">
        <f aca="false">$G$3*B161</f>
        <v>0</v>
      </c>
      <c r="G161" s="55" t="n">
        <f aca="true">(1+W161/2)^(-2*($A161-TODAY())/365.25)</f>
        <v>2.00827712747141</v>
      </c>
      <c r="H161" s="76" t="n">
        <f aca="false">+H149</f>
        <v>0.45</v>
      </c>
      <c r="I161" s="0" t="n">
        <f aca="false">IF(E161=0,D161,E161)</f>
        <v>0</v>
      </c>
      <c r="J161" s="0" t="n">
        <f aca="false">IF($I$4=0,H161,(I161+H161))</f>
        <v>0.45</v>
      </c>
      <c r="K161" s="0" t="n">
        <f aca="false">IF($K$5="OK",((I161*$I$5)+(J161*$J$5)),"*******")</f>
        <v>0.45</v>
      </c>
      <c r="M161" s="6" t="n">
        <f aca="false">F161*G161*K161</f>
        <v>0</v>
      </c>
      <c r="N161" s="5" t="n">
        <f aca="false">F161*G161</f>
        <v>0</v>
      </c>
      <c r="W161" s="69" t="n">
        <v>0.0598735026591379</v>
      </c>
    </row>
    <row r="162" customFormat="false" ht="12.75" hidden="false" customHeight="false" outlineLevel="0" collapsed="false">
      <c r="A162" s="51" t="n">
        <f aca="false">DATE(YEAR(A161+31),MONTH(A161+31),1)</f>
        <v>41640</v>
      </c>
      <c r="B162" s="0" t="n">
        <f aca="false">IF(A162&gt;=$A$3,IF(A162&lt;=$A$4,1,0),0)*(A163-A162)</f>
        <v>0</v>
      </c>
      <c r="C162" s="77"/>
      <c r="D162" s="53" t="n">
        <f aca="false">Feeds!G156</f>
        <v>0</v>
      </c>
      <c r="E162" s="78"/>
      <c r="F162" s="5" t="n">
        <f aca="false">$G$3*B162</f>
        <v>0</v>
      </c>
      <c r="G162" s="55" t="n">
        <f aca="true">(1+W162/2)^(-2*($A162-TODAY())/365.25)</f>
        <v>1.99894556654704</v>
      </c>
      <c r="H162" s="76" t="n">
        <f aca="false">+H150</f>
        <v>0.45</v>
      </c>
      <c r="I162" s="0" t="n">
        <f aca="false">IF(E162=0,D162,E162)</f>
        <v>0</v>
      </c>
      <c r="J162" s="0" t="n">
        <f aca="false">IF($I$4=0,H162,(I162+H162))</f>
        <v>0.45</v>
      </c>
      <c r="K162" s="0" t="n">
        <f aca="false">IF($K$5="OK",((I162*$I$5)+(J162*$J$5)),"*******")</f>
        <v>0.45</v>
      </c>
      <c r="M162" s="6" t="n">
        <f aca="false">F162*G162*K162</f>
        <v>0</v>
      </c>
      <c r="N162" s="5" t="n">
        <f aca="false">F162*G162</f>
        <v>0</v>
      </c>
      <c r="W162" s="69" t="n">
        <v>0.0599041968945473</v>
      </c>
    </row>
    <row r="163" customFormat="false" ht="12.75" hidden="false" customHeight="false" outlineLevel="0" collapsed="false">
      <c r="A163" s="51" t="n">
        <f aca="false">DATE(YEAR(A162+31),MONTH(A162+31),1)</f>
        <v>41671</v>
      </c>
      <c r="B163" s="0" t="n">
        <f aca="false">IF(A163&gt;=$A$3,IF(A163&lt;=$A$4,1,0),0)*(A164-A163)</f>
        <v>0</v>
      </c>
      <c r="C163" s="77"/>
      <c r="D163" s="53" t="n">
        <f aca="false">Feeds!G157</f>
        <v>0</v>
      </c>
      <c r="E163" s="78"/>
      <c r="F163" s="5" t="n">
        <f aca="false">$G$3*B163</f>
        <v>0</v>
      </c>
      <c r="G163" s="55" t="n">
        <f aca="true">(1+W163/2)^(-2*($A163-TODAY())/365.25)</f>
        <v>1.98958044435041</v>
      </c>
      <c r="H163" s="76" t="n">
        <f aca="false">+H151</f>
        <v>0.45</v>
      </c>
      <c r="I163" s="0" t="n">
        <f aca="false">IF(E163=0,D163,E163)</f>
        <v>0</v>
      </c>
      <c r="J163" s="0" t="n">
        <f aca="false">IF($I$4=0,H163,(I163+H163))</f>
        <v>0.45</v>
      </c>
      <c r="K163" s="0" t="n">
        <f aca="false">IF($K$5="OK",((I163*$I$5)+(J163*$J$5)),"*******")</f>
        <v>0.45</v>
      </c>
      <c r="M163" s="6" t="n">
        <f aca="false">F163*G163*K163</f>
        <v>0</v>
      </c>
      <c r="N163" s="5" t="n">
        <f aca="false">F163*G163</f>
        <v>0</v>
      </c>
      <c r="W163" s="69" t="n">
        <v>0.0599319207203468</v>
      </c>
    </row>
    <row r="164" customFormat="false" ht="12.75" hidden="false" customHeight="false" outlineLevel="0" collapsed="false">
      <c r="A164" s="51" t="n">
        <f aca="false">DATE(YEAR(A163+31),MONTH(A163+31),1)</f>
        <v>41699</v>
      </c>
      <c r="B164" s="0" t="n">
        <f aca="false">IF(A164&gt;=$A$3,IF(A164&lt;=$A$4,1,0),0)*(A165-A164)</f>
        <v>0</v>
      </c>
      <c r="C164" s="77"/>
      <c r="D164" s="53" t="n">
        <f aca="false">Feeds!G158</f>
        <v>0</v>
      </c>
      <c r="E164" s="78"/>
      <c r="F164" s="5" t="n">
        <f aca="false">$G$3*B164</f>
        <v>0</v>
      </c>
      <c r="G164" s="55" t="n">
        <f aca="true">(1+W164/2)^(-2*($A164-TODAY())/365.25)</f>
        <v>1.9812774040894</v>
      </c>
      <c r="H164" s="76" t="n">
        <f aca="false">+H152</f>
        <v>0.45</v>
      </c>
      <c r="I164" s="0" t="n">
        <f aca="false">IF(E164=0,D164,E164)</f>
        <v>0</v>
      </c>
      <c r="J164" s="0" t="n">
        <f aca="false">IF($I$4=0,H164,(I164+H164))</f>
        <v>0.45</v>
      </c>
      <c r="K164" s="0" t="n">
        <f aca="false">IF($K$5="OK",((I164*$I$5)+(J164*$J$5)),"*******")</f>
        <v>0.45</v>
      </c>
      <c r="M164" s="6" t="n">
        <f aca="false">F164*G164*K164</f>
        <v>0</v>
      </c>
      <c r="N164" s="5" t="n">
        <f aca="false">F164*G164</f>
        <v>0</v>
      </c>
      <c r="W164" s="69" t="n">
        <v>0.0599626149563521</v>
      </c>
    </row>
    <row r="165" customFormat="false" ht="12.75" hidden="false" customHeight="false" outlineLevel="0" collapsed="false">
      <c r="A165" s="51" t="n">
        <f aca="false">DATE(YEAR(A164+31),MONTH(A164+31),1)</f>
        <v>41730</v>
      </c>
      <c r="B165" s="0" t="n">
        <f aca="false">IF(A165&gt;=$A$3,IF(A165&lt;=$A$4,1,0),0)*(A166-A165)</f>
        <v>0</v>
      </c>
      <c r="C165" s="77"/>
      <c r="D165" s="53" t="n">
        <f aca="false">Feeds!G159</f>
        <v>0</v>
      </c>
      <c r="E165" s="78"/>
      <c r="F165" s="5" t="n">
        <f aca="false">$G$3*B165</f>
        <v>0</v>
      </c>
      <c r="G165" s="55" t="n">
        <f aca="true">(1+W165/2)^(-2*($A165-TODAY())/365.25)</f>
        <v>1.97202052865424</v>
      </c>
      <c r="H165" s="76" t="n">
        <f aca="false">+H153</f>
        <v>0.22</v>
      </c>
      <c r="I165" s="0" t="n">
        <f aca="false">IF(E165=0,D165,E165)</f>
        <v>0</v>
      </c>
      <c r="J165" s="0" t="n">
        <f aca="false">IF($I$4=0,H165,(I165+H165))</f>
        <v>0.22</v>
      </c>
      <c r="K165" s="0" t="n">
        <f aca="false">IF($K$5="OK",((I165*$I$5)+(J165*$J$5)),"*******")</f>
        <v>0.22</v>
      </c>
      <c r="M165" s="6" t="n">
        <f aca="false">F165*G165*K165</f>
        <v>0</v>
      </c>
      <c r="N165" s="5" t="n">
        <f aca="false">F165*G165</f>
        <v>0</v>
      </c>
      <c r="W165" s="69" t="n">
        <v>0.0599923190560099</v>
      </c>
    </row>
    <row r="166" customFormat="false" ht="12.75" hidden="false" customHeight="false" outlineLevel="0" collapsed="false">
      <c r="A166" s="51" t="n">
        <f aca="false">DATE(YEAR(A165+31),MONTH(A165+31),1)</f>
        <v>41760</v>
      </c>
      <c r="B166" s="0" t="n">
        <f aca="false">IF(A166&gt;=$A$3,IF(A166&lt;=$A$4,1,0),0)*(A167-A166)</f>
        <v>0</v>
      </c>
      <c r="C166" s="77"/>
      <c r="D166" s="53" t="n">
        <f aca="false">Feeds!G160</f>
        <v>0</v>
      </c>
      <c r="E166" s="78"/>
      <c r="F166" s="5" t="n">
        <f aca="false">$G$3*B166</f>
        <v>0</v>
      </c>
      <c r="G166" s="55" t="n">
        <f aca="true">(1+W166/2)^(-2*($A166-TODAY())/365.25)</f>
        <v>1.96313663892834</v>
      </c>
      <c r="H166" s="76" t="n">
        <f aca="false">+H154</f>
        <v>0.22</v>
      </c>
      <c r="I166" s="0" t="n">
        <f aca="false">IF(E166=0,D166,E166)</f>
        <v>0</v>
      </c>
      <c r="J166" s="0" t="n">
        <f aca="false">IF($I$4=0,H166,(I166+H166))</f>
        <v>0.22</v>
      </c>
      <c r="K166" s="0" t="n">
        <f aca="false">IF($K$5="OK",((I166*$I$5)+(J166*$J$5)),"*******")</f>
        <v>0.22</v>
      </c>
      <c r="M166" s="6" t="n">
        <f aca="false">F166*G166*K166</f>
        <v>0</v>
      </c>
      <c r="N166" s="5" t="n">
        <f aca="false">F166*G166</f>
        <v>0</v>
      </c>
      <c r="W166" s="69" t="n">
        <v>0.0600230132926312</v>
      </c>
    </row>
    <row r="167" customFormat="false" ht="12.75" hidden="false" customHeight="false" outlineLevel="0" collapsed="false">
      <c r="A167" s="51" t="n">
        <f aca="false">DATE(YEAR(A166+31),MONTH(A166+31),1)</f>
        <v>41791</v>
      </c>
      <c r="B167" s="0" t="n">
        <f aca="false">IF(A167&gt;=$A$3,IF(A167&lt;=$A$4,1,0),0)*(A168-A167)</f>
        <v>0</v>
      </c>
      <c r="C167" s="77"/>
      <c r="D167" s="53" t="n">
        <f aca="false">Feeds!G161</f>
        <v>0</v>
      </c>
      <c r="E167" s="78"/>
      <c r="F167" s="5" t="n">
        <f aca="false">$G$3*B167</f>
        <v>0</v>
      </c>
      <c r="G167" s="55" t="n">
        <f aca="true">(1+W167/2)^(-2*($A167-TODAY())/365.25)</f>
        <v>1.95394536590873</v>
      </c>
      <c r="H167" s="76" t="n">
        <f aca="false">+H155</f>
        <v>0.22</v>
      </c>
      <c r="I167" s="0" t="n">
        <f aca="false">IF(E167=0,D167,E167)</f>
        <v>0</v>
      </c>
      <c r="J167" s="0" t="n">
        <f aca="false">IF($I$4=0,H167,(I167+H167))</f>
        <v>0.22</v>
      </c>
      <c r="K167" s="0" t="n">
        <f aca="false">IF($K$5="OK",((I167*$I$5)+(J167*$J$5)),"*******")</f>
        <v>0.22</v>
      </c>
      <c r="M167" s="6" t="n">
        <f aca="false">F167*G167*K167</f>
        <v>0</v>
      </c>
      <c r="N167" s="5" t="n">
        <f aca="false">F167*G167</f>
        <v>0</v>
      </c>
      <c r="W167" s="69" t="n">
        <v>0.0600527173928849</v>
      </c>
    </row>
    <row r="168" customFormat="false" ht="12.75" hidden="false" customHeight="false" outlineLevel="0" collapsed="false">
      <c r="A168" s="51" t="n">
        <f aca="false">DATE(YEAR(A167+31),MONTH(A167+31),1)</f>
        <v>41821</v>
      </c>
      <c r="B168" s="0" t="n">
        <f aca="false">IF(A168&gt;=$A$3,IF(A168&lt;=$A$4,1,0),0)*(A169-A168)</f>
        <v>0</v>
      </c>
      <c r="C168" s="77"/>
      <c r="D168" s="53" t="n">
        <f aca="false">Feeds!G162</f>
        <v>0</v>
      </c>
      <c r="E168" s="78"/>
      <c r="F168" s="5" t="n">
        <f aca="false">$G$3*B168</f>
        <v>0</v>
      </c>
      <c r="G168" s="55" t="n">
        <f aca="true">(1+W168/2)^(-2*($A168-TODAY())/365.25)</f>
        <v>1.94512383606694</v>
      </c>
      <c r="H168" s="76" t="n">
        <f aca="false">+H156</f>
        <v>0.22</v>
      </c>
      <c r="I168" s="0" t="n">
        <f aca="false">IF(E168=0,D168,E168)</f>
        <v>0</v>
      </c>
      <c r="J168" s="0" t="n">
        <f aca="false">IF($I$4=0,H168,(I168+H168))</f>
        <v>0.22</v>
      </c>
      <c r="K168" s="0" t="n">
        <f aca="false">IF($K$5="OK",((I168*$I$5)+(J168*$J$5)),"*******")</f>
        <v>0.22</v>
      </c>
      <c r="M168" s="6" t="n">
        <f aca="false">F168*G168*K168</f>
        <v>0</v>
      </c>
      <c r="N168" s="5" t="n">
        <f aca="false">F168*G168</f>
        <v>0</v>
      </c>
      <c r="W168" s="69" t="n">
        <v>0.0600834116301216</v>
      </c>
    </row>
    <row r="169" customFormat="false" ht="12.75" hidden="false" customHeight="false" outlineLevel="0" collapsed="false">
      <c r="A169" s="51" t="n">
        <f aca="false">DATE(YEAR(A168+31),MONTH(A168+31),1)</f>
        <v>41852</v>
      </c>
      <c r="B169" s="0" t="n">
        <f aca="false">IF(A169&gt;=$A$3,IF(A169&lt;=$A$4,1,0),0)*(A170-A169)</f>
        <v>0</v>
      </c>
      <c r="C169" s="77"/>
      <c r="D169" s="53" t="n">
        <f aca="false">Feeds!G163</f>
        <v>0</v>
      </c>
      <c r="E169" s="78"/>
      <c r="F169" s="5" t="n">
        <f aca="false">$G$3*B169</f>
        <v>0</v>
      </c>
      <c r="G169" s="55" t="n">
        <f aca="true">(1+W169/2)^(-2*($A169-TODAY())/365.25)</f>
        <v>1.93601867747424</v>
      </c>
      <c r="H169" s="76" t="n">
        <f aca="false">+H157</f>
        <v>0.22</v>
      </c>
      <c r="I169" s="0" t="n">
        <f aca="false">IF(E169=0,D169,E169)</f>
        <v>0</v>
      </c>
      <c r="J169" s="0" t="n">
        <f aca="false">IF($I$4=0,H169,(I169+H169))</f>
        <v>0.22</v>
      </c>
      <c r="K169" s="0" t="n">
        <f aca="false">IF($K$5="OK",((I169*$I$5)+(J169*$J$5)),"*******")</f>
        <v>0.22</v>
      </c>
      <c r="M169" s="6" t="n">
        <f aca="false">F169*G169*K169</f>
        <v>0</v>
      </c>
      <c r="N169" s="5" t="n">
        <f aca="false">F169*G169</f>
        <v>0</v>
      </c>
      <c r="W169" s="69" t="n">
        <v>0.060114105867672</v>
      </c>
    </row>
    <row r="170" customFormat="false" ht="12.75" hidden="false" customHeight="false" outlineLevel="0" collapsed="false">
      <c r="A170" s="51" t="n">
        <f aca="false">DATE(YEAR(A169+31),MONTH(A169+31),1)</f>
        <v>41883</v>
      </c>
      <c r="B170" s="0" t="n">
        <f aca="false">IF(A170&gt;=$A$3,IF(A170&lt;=$A$4,1,0),0)*(A171-A170)</f>
        <v>0</v>
      </c>
      <c r="C170" s="77"/>
      <c r="D170" s="53" t="n">
        <f aca="false">Feeds!G164</f>
        <v>0</v>
      </c>
      <c r="E170" s="78"/>
      <c r="F170" s="5" t="n">
        <f aca="false">$G$3*B170</f>
        <v>0</v>
      </c>
      <c r="G170" s="55" t="n">
        <f aca="true">(1+W170/2)^(-2*($A170-TODAY())/365.25)</f>
        <v>1.92692588125111</v>
      </c>
      <c r="H170" s="76" t="n">
        <f aca="false">+H158</f>
        <v>0.22</v>
      </c>
      <c r="I170" s="0" t="n">
        <f aca="false">IF(E170=0,D170,E170)</f>
        <v>0</v>
      </c>
      <c r="J170" s="0" t="n">
        <f aca="false">IF($I$4=0,H170,(I170+H170))</f>
        <v>0.22</v>
      </c>
      <c r="K170" s="0" t="n">
        <f aca="false">IF($K$5="OK",((I170*$I$5)+(J170*$J$5)),"*******")</f>
        <v>0.22</v>
      </c>
      <c r="M170" s="6" t="n">
        <f aca="false">F170*G170*K170</f>
        <v>0</v>
      </c>
      <c r="N170" s="5" t="n">
        <f aca="false">F170*G170</f>
        <v>0</v>
      </c>
      <c r="W170" s="69" t="n">
        <v>0.0601438099688245</v>
      </c>
    </row>
    <row r="171" customFormat="false" ht="12.75" hidden="false" customHeight="false" outlineLevel="0" collapsed="false">
      <c r="A171" s="51" t="n">
        <f aca="false">DATE(YEAR(A170+31),MONTH(A170+31),1)</f>
        <v>41913</v>
      </c>
      <c r="B171" s="0" t="n">
        <f aca="false">IF(A171&gt;=$A$3,IF(A171&lt;=$A$4,1,0),0)*(A172-A171)</f>
        <v>0</v>
      </c>
      <c r="C171" s="77"/>
      <c r="D171" s="53" t="n">
        <f aca="false">Feeds!G165</f>
        <v>0</v>
      </c>
      <c r="E171" s="78"/>
      <c r="F171" s="5" t="n">
        <f aca="false">$G$3*B171</f>
        <v>0</v>
      </c>
      <c r="G171" s="55" t="n">
        <f aca="true">(1+W171/2)^(-2*($A171-TODAY())/365.25)</f>
        <v>1.91819797808424</v>
      </c>
      <c r="H171" s="76" t="n">
        <f aca="false">+H159</f>
        <v>0.22</v>
      </c>
      <c r="I171" s="0" t="n">
        <f aca="false">IF(E171=0,D171,E171)</f>
        <v>0</v>
      </c>
      <c r="J171" s="0" t="n">
        <f aca="false">IF($I$4=0,H171,(I171+H171))</f>
        <v>0.22</v>
      </c>
      <c r="K171" s="0" t="n">
        <f aca="false">IF($K$5="OK",((I171*$I$5)+(J171*$J$5)),"*******")</f>
        <v>0.22</v>
      </c>
      <c r="M171" s="6" t="n">
        <f aca="false">F171*G171*K171</f>
        <v>0</v>
      </c>
      <c r="N171" s="5" t="n">
        <f aca="false">F171*G171</f>
        <v>0</v>
      </c>
      <c r="W171" s="69" t="n">
        <v>0.0601745042069908</v>
      </c>
    </row>
    <row r="172" customFormat="false" ht="12.75" hidden="false" customHeight="false" outlineLevel="0" collapsed="false">
      <c r="A172" s="51" t="n">
        <f aca="false">DATE(YEAR(A171+31),MONTH(A171+31),1)</f>
        <v>41944</v>
      </c>
      <c r="B172" s="0" t="n">
        <f aca="false">IF(A172&gt;=$A$3,IF(A172&lt;=$A$4,1,0),0)*(A173-A172)</f>
        <v>0</v>
      </c>
      <c r="C172" s="77"/>
      <c r="D172" s="53" t="n">
        <f aca="false">Feeds!G166</f>
        <v>0</v>
      </c>
      <c r="E172" s="78"/>
      <c r="F172" s="5" t="n">
        <f aca="false">$G$3*B172</f>
        <v>0</v>
      </c>
      <c r="G172" s="55" t="n">
        <f aca="true">(1+W172/2)^(-2*($A172-TODAY())/365.25)</f>
        <v>1.90917016595561</v>
      </c>
      <c r="H172" s="76" t="n">
        <f aca="false">+H160</f>
        <v>0.45</v>
      </c>
      <c r="I172" s="0" t="n">
        <f aca="false">IF(E172=0,D172,E172)</f>
        <v>0</v>
      </c>
      <c r="J172" s="0" t="n">
        <f aca="false">IF($I$4=0,H172,(I172+H172))</f>
        <v>0.45</v>
      </c>
      <c r="K172" s="0" t="n">
        <f aca="false">IF($K$5="OK",((I172*$I$5)+(J172*$J$5)),"*******")</f>
        <v>0.45</v>
      </c>
      <c r="M172" s="6" t="n">
        <f aca="false">F172*G172*K172</f>
        <v>0</v>
      </c>
      <c r="N172" s="5" t="n">
        <f aca="false">F172*G172</f>
        <v>0</v>
      </c>
      <c r="W172" s="69" t="n">
        <v>0.0602042083087397</v>
      </c>
    </row>
    <row r="173" customFormat="false" ht="12.75" hidden="false" customHeight="false" outlineLevel="0" collapsed="false">
      <c r="A173" s="51" t="n">
        <f aca="false">DATE(YEAR(A172+31),MONTH(A172+31),1)</f>
        <v>41974</v>
      </c>
      <c r="B173" s="0" t="n">
        <f aca="false">IF(A173&gt;=$A$3,IF(A173&lt;=$A$4,1,0),0)*(A174-A173)</f>
        <v>0</v>
      </c>
      <c r="C173" s="77"/>
      <c r="D173" s="53" t="n">
        <f aca="false">Feeds!G167</f>
        <v>0</v>
      </c>
      <c r="E173" s="78"/>
      <c r="F173" s="5" t="n">
        <f aca="false">$G$3*B173</f>
        <v>0</v>
      </c>
      <c r="G173" s="55" t="n">
        <f aca="true">(1+W173/2)^(-2*($A173-TODAY())/365.25)</f>
        <v>1.9005040576361</v>
      </c>
      <c r="H173" s="76" t="n">
        <f aca="false">+H161</f>
        <v>0.45</v>
      </c>
      <c r="I173" s="0" t="n">
        <f aca="false">IF(E173=0,D173,E173)</f>
        <v>0</v>
      </c>
      <c r="J173" s="0" t="n">
        <f aca="false">IF($I$4=0,H173,(I173+H173))</f>
        <v>0.45</v>
      </c>
      <c r="K173" s="0" t="n">
        <f aca="false">IF($K$5="OK",((I173*$I$5)+(J173*$J$5)),"*******")</f>
        <v>0.45</v>
      </c>
      <c r="M173" s="6" t="n">
        <f aca="false">F173*G173*K173</f>
        <v>0</v>
      </c>
      <c r="N173" s="5" t="n">
        <f aca="false">F173*G173</f>
        <v>0</v>
      </c>
      <c r="W173" s="69" t="n">
        <v>0.0602349025475215</v>
      </c>
    </row>
    <row r="174" customFormat="false" ht="12.75" hidden="false" customHeight="false" outlineLevel="0" collapsed="false">
      <c r="A174" s="51" t="n">
        <f aca="false">DATE(YEAR(A173+31),MONTH(A173+31),1)</f>
        <v>42005</v>
      </c>
      <c r="D174" s="53" t="n">
        <f aca="false">Feeds!G168</f>
        <v>0</v>
      </c>
      <c r="G174" s="55" t="n">
        <f aca="true">(1+W174/2)^(-2*($A174-TODAY())/365.25)</f>
        <v>1.89156049800498</v>
      </c>
      <c r="H174" s="63"/>
      <c r="W174" s="69" t="n">
        <v>0.0602655967866164</v>
      </c>
    </row>
    <row r="175" customFormat="false" ht="12.75" hidden="false" customHeight="false" outlineLevel="0" collapsed="false">
      <c r="D175" s="53" t="n">
        <f aca="false">Feeds!G169</f>
        <v>0</v>
      </c>
      <c r="G175" s="55" t="n">
        <f aca="true">(1+W175/2)^(-2*($A175-TODAY())/365.25)</f>
        <v>1753.14382445769</v>
      </c>
      <c r="H175" s="63"/>
      <c r="W175" s="69" t="n">
        <v>0.0602933206157452</v>
      </c>
    </row>
    <row r="176" customFormat="false" ht="12.75" hidden="false" customHeight="false" outlineLevel="0" collapsed="false">
      <c r="D176" s="53" t="n">
        <f aca="false">Feeds!G170</f>
        <v>0</v>
      </c>
      <c r="G176" s="55" t="n">
        <f aca="true">(1+W176/2)^(-2*($A176-TODAY())/365.25)</f>
        <v>1759.7242551648</v>
      </c>
      <c r="H176" s="63"/>
      <c r="W176" s="69" t="n">
        <v>0.0603240148554356</v>
      </c>
    </row>
    <row r="177" customFormat="false" ht="12.75" hidden="false" customHeight="false" outlineLevel="0" collapsed="false">
      <c r="D177" s="53" t="n">
        <f aca="false">Feeds!G171</f>
        <v>0</v>
      </c>
      <c r="G177" s="55" t="n">
        <f aca="true">(1+W177/2)^(-2*($A177-TODAY())/365.25)</f>
        <v>1766.11583654719</v>
      </c>
      <c r="H177" s="63"/>
      <c r="W177" s="69" t="n">
        <v>0.0603537189586603</v>
      </c>
    </row>
    <row r="178" customFormat="false" ht="12.75" hidden="false" customHeight="false" outlineLevel="0" collapsed="false">
      <c r="D178" s="53" t="n">
        <f aca="false">Feeds!G172</f>
        <v>0</v>
      </c>
      <c r="G178" s="55" t="n">
        <f aca="true">(1+W178/2)^(-2*($A178-TODAY())/365.25)</f>
        <v>1772.74476318212</v>
      </c>
      <c r="H178" s="63"/>
      <c r="W178" s="69" t="n">
        <v>0.0603844131989666</v>
      </c>
    </row>
    <row r="179" customFormat="false" ht="12.75" hidden="false" customHeight="false" outlineLevel="0" collapsed="false">
      <c r="D179" s="53" t="n">
        <f aca="false">Feeds!G173</f>
        <v>0</v>
      </c>
      <c r="H179" s="63"/>
      <c r="W179" s="69" t="n">
        <v>0.0604141173027872</v>
      </c>
    </row>
    <row r="180" customFormat="false" ht="12.75" hidden="false" customHeight="false" outlineLevel="0" collapsed="false">
      <c r="D180" s="53" t="n">
        <f aca="false">Feeds!G174</f>
        <v>0</v>
      </c>
      <c r="H180" s="63"/>
      <c r="W180" s="69" t="n">
        <v>0.0604448115437091</v>
      </c>
    </row>
    <row r="181" customFormat="false" ht="12.75" hidden="false" customHeight="false" outlineLevel="0" collapsed="false">
      <c r="D181" s="53" t="n">
        <f aca="false">Feeds!G175</f>
        <v>0</v>
      </c>
      <c r="H181" s="63"/>
      <c r="W181" s="69" t="n">
        <v>0.0604755057849444</v>
      </c>
    </row>
    <row r="182" customFormat="false" ht="12.75" hidden="false" customHeight="false" outlineLevel="0" collapsed="false">
      <c r="D182" s="53" t="n">
        <f aca="false">Feeds!G176</f>
        <v>0</v>
      </c>
      <c r="H182" s="63"/>
      <c r="W182" s="69" t="n">
        <v>0.0605052098896639</v>
      </c>
    </row>
    <row r="183" customFormat="false" ht="12.75" hidden="false" customHeight="false" outlineLevel="0" collapsed="false">
      <c r="D183" s="53" t="n">
        <f aca="false">Feeds!G177</f>
        <v>0</v>
      </c>
      <c r="H183" s="63"/>
      <c r="W183" s="69" t="n">
        <v>0.0605359041315152</v>
      </c>
    </row>
    <row r="184" customFormat="false" ht="12.75" hidden="false" customHeight="false" outlineLevel="0" collapsed="false">
      <c r="D184" s="53" t="n">
        <f aca="false">Feeds!G178</f>
        <v>0</v>
      </c>
      <c r="H184" s="63"/>
      <c r="W184" s="69" t="n">
        <v>0.0605656082368302</v>
      </c>
    </row>
    <row r="185" customFormat="false" ht="12.75" hidden="false" customHeight="false" outlineLevel="0" collapsed="false">
      <c r="D185" s="53" t="n">
        <f aca="false">Feeds!G179</f>
        <v>0</v>
      </c>
      <c r="H185" s="63"/>
      <c r="W185" s="69" t="n">
        <v>0.060596302479297</v>
      </c>
    </row>
    <row r="186" customFormat="false" ht="12.75" hidden="false" customHeight="false" outlineLevel="0" collapsed="false">
      <c r="D186" s="53" t="n">
        <f aca="false">Feeds!G180</f>
        <v>0</v>
      </c>
      <c r="H186" s="63"/>
      <c r="W186" s="69" t="n">
        <v>0.0606269967220769</v>
      </c>
    </row>
    <row r="187" customFormat="false" ht="12.75" hidden="false" customHeight="false" outlineLevel="0" collapsed="false">
      <c r="D187" s="53" t="n">
        <f aca="false">Feeds!G181</f>
        <v>0</v>
      </c>
      <c r="H187" s="63"/>
      <c r="W187" s="69" t="n">
        <v>0.0606557106914121</v>
      </c>
    </row>
    <row r="188" customFormat="false" ht="12.75" hidden="false" customHeight="false" outlineLevel="0" collapsed="false">
      <c r="D188" s="53" t="n">
        <f aca="false">Feeds!G182</f>
        <v>0</v>
      </c>
      <c r="H188" s="63"/>
      <c r="W188" s="69" t="n">
        <v>0.0606864049347977</v>
      </c>
    </row>
    <row r="189" customFormat="false" ht="12.75" hidden="false" customHeight="false" outlineLevel="0" collapsed="false">
      <c r="H189" s="63"/>
      <c r="W189" s="69" t="n">
        <v>0.0607161090415982</v>
      </c>
    </row>
    <row r="190" customFormat="false" ht="12.75" hidden="false" customHeight="false" outlineLevel="0" collapsed="false">
      <c r="H190" s="63"/>
      <c r="W190" s="69" t="n">
        <v>0.0607468032855989</v>
      </c>
    </row>
    <row r="191" customFormat="false" ht="12.75" hidden="false" customHeight="false" outlineLevel="0" collapsed="false">
      <c r="H191" s="63"/>
      <c r="W191" s="69" t="n">
        <v>0.0607765073929953</v>
      </c>
    </row>
    <row r="192" customFormat="false" ht="12.75" hidden="false" customHeight="false" outlineLevel="0" collapsed="false">
      <c r="H192" s="63"/>
      <c r="W192" s="69" t="n">
        <v>0.0608072016376124</v>
      </c>
    </row>
    <row r="193" customFormat="false" ht="12.75" hidden="false" customHeight="false" outlineLevel="0" collapsed="false">
      <c r="H193" s="63"/>
      <c r="W193" s="69" t="n">
        <v>0.0608378958825426</v>
      </c>
    </row>
    <row r="194" customFormat="false" ht="12.75" hidden="false" customHeight="false" outlineLevel="0" collapsed="false">
      <c r="H194" s="63"/>
      <c r="W194" s="69" t="n">
        <v>0.060867599990837</v>
      </c>
    </row>
    <row r="195" customFormat="false" ht="12.75" hidden="false" customHeight="false" outlineLevel="0" collapsed="false">
      <c r="H195" s="63"/>
      <c r="W195" s="69" t="n">
        <v>0.0608982942363827</v>
      </c>
    </row>
    <row r="196" customFormat="false" ht="12.75" hidden="false" customHeight="false" outlineLevel="0" collapsed="false">
      <c r="H196" s="63"/>
      <c r="W196" s="69" t="n">
        <v>0.0609279983452735</v>
      </c>
    </row>
    <row r="197" customFormat="false" ht="12.75" hidden="false" customHeight="false" outlineLevel="0" collapsed="false">
      <c r="H197" s="63"/>
      <c r="W197" s="69" t="n">
        <v>0.0609586925914352</v>
      </c>
    </row>
    <row r="198" customFormat="false" ht="12.75" hidden="false" customHeight="false" outlineLevel="0" collapsed="false">
      <c r="H198" s="63"/>
      <c r="W198" s="69" t="n">
        <v>0.060989386837909</v>
      </c>
    </row>
    <row r="199" customFormat="false" ht="12.75" hidden="false" customHeight="false" outlineLevel="0" collapsed="false">
      <c r="H199" s="63"/>
      <c r="W199" s="69" t="n">
        <v>0.0610171106737032</v>
      </c>
    </row>
    <row r="200" customFormat="false" ht="12.75" hidden="false" customHeight="false" outlineLevel="0" collapsed="false">
      <c r="H200" s="63"/>
      <c r="W200" s="69" t="n">
        <v>0.061047804920773</v>
      </c>
    </row>
    <row r="201" customFormat="false" ht="12.75" hidden="false" customHeight="false" outlineLevel="0" collapsed="false">
      <c r="H201" s="63"/>
      <c r="W201" s="69" t="n">
        <v>0.0610775090311386</v>
      </c>
    </row>
    <row r="202" customFormat="false" ht="12.75" hidden="false" customHeight="false" outlineLevel="0" collapsed="false">
      <c r="H202" s="63"/>
      <c r="W202" s="69" t="n">
        <v>0.0611082032788239</v>
      </c>
    </row>
    <row r="203" customFormat="false" ht="12.75" hidden="false" customHeight="false" outlineLevel="0" collapsed="false">
      <c r="H203" s="63"/>
      <c r="W203" s="69" t="n">
        <v>0.0611379073897851</v>
      </c>
    </row>
    <row r="204" customFormat="false" ht="12.75" hidden="false" customHeight="false" outlineLevel="0" collapsed="false">
      <c r="H204" s="63"/>
      <c r="W204" s="69" t="n">
        <v>0.0611686016380859</v>
      </c>
    </row>
    <row r="205" customFormat="false" ht="12.75" hidden="false" customHeight="false" outlineLevel="0" collapsed="false">
      <c r="H205" s="63"/>
      <c r="W205" s="69" t="n">
        <v>0.0611992958867003</v>
      </c>
    </row>
    <row r="206" customFormat="false" ht="12.75" hidden="false" customHeight="false" outlineLevel="0" collapsed="false">
      <c r="H206" s="63"/>
      <c r="W206" s="69" t="n">
        <v>0.0612289999985602</v>
      </c>
    </row>
    <row r="207" customFormat="false" ht="12.75" hidden="false" customHeight="false" outlineLevel="0" collapsed="false">
      <c r="H207" s="63"/>
      <c r="W207" s="69" t="n">
        <v>0.0612596942477892</v>
      </c>
    </row>
    <row r="208" customFormat="false" ht="12.75" hidden="false" customHeight="false" outlineLevel="0" collapsed="false">
      <c r="H208" s="63"/>
      <c r="W208" s="69" t="n">
        <v>0.0612893983602452</v>
      </c>
    </row>
    <row r="209" customFormat="false" ht="12.75" hidden="false" customHeight="false" outlineLevel="0" collapsed="false">
      <c r="H209" s="63"/>
      <c r="W209" s="69" t="n">
        <v>0.0613200926100901</v>
      </c>
    </row>
    <row r="210" customFormat="false" ht="12.75" hidden="false" customHeight="false" outlineLevel="0" collapsed="false">
      <c r="H210" s="63"/>
      <c r="W210" s="69" t="n">
        <v>0.0613507868602485</v>
      </c>
    </row>
    <row r="211" customFormat="false" ht="12.75" hidden="false" customHeight="false" outlineLevel="0" collapsed="false">
      <c r="H211" s="63"/>
      <c r="W211" s="69" t="n">
        <v>0.0613785106993694</v>
      </c>
    </row>
    <row r="212" customFormat="false" ht="12.75" hidden="false" customHeight="false" outlineLevel="0" collapsed="false">
      <c r="H212" s="63"/>
      <c r="W212" s="69" t="n">
        <v>0.0614092049501229</v>
      </c>
    </row>
    <row r="213" customFormat="false" ht="12.75" hidden="false" customHeight="false" outlineLevel="0" collapsed="false">
      <c r="H213" s="63"/>
      <c r="W213" s="69" t="n">
        <v>0.0614389090640528</v>
      </c>
    </row>
    <row r="214" customFormat="false" ht="12.75" hidden="false" customHeight="false" outlineLevel="0" collapsed="false">
      <c r="H214" s="63"/>
      <c r="W214" s="69" t="n">
        <v>0.0614696033154218</v>
      </c>
    </row>
    <row r="215" customFormat="false" ht="12.75" hidden="false" customHeight="false" outlineLevel="0" collapsed="false">
      <c r="H215" s="63"/>
      <c r="W215" s="69" t="n">
        <v>0.0614993074299481</v>
      </c>
    </row>
    <row r="216" customFormat="false" ht="12.75" hidden="false" customHeight="false" outlineLevel="0" collapsed="false">
      <c r="H216" s="63"/>
      <c r="W216" s="69" t="n">
        <v>0.0615300016819327</v>
      </c>
    </row>
    <row r="217" customFormat="false" ht="12.75" hidden="false" customHeight="false" outlineLevel="0" collapsed="false">
      <c r="H217" s="63"/>
      <c r="W217" s="69" t="n">
        <v>0.0615606959342294</v>
      </c>
    </row>
    <row r="218" customFormat="false" ht="12.75" hidden="false" customHeight="false" outlineLevel="0" collapsed="false">
      <c r="H218" s="63"/>
      <c r="W218" s="69" t="n">
        <v>0.0615904000496537</v>
      </c>
    </row>
    <row r="219" customFormat="false" ht="12.75" hidden="false" customHeight="false" outlineLevel="0" collapsed="false">
      <c r="H219" s="63"/>
      <c r="W219" s="69" t="n">
        <v>0.0616210943025668</v>
      </c>
    </row>
    <row r="220" customFormat="false" ht="12.75" hidden="false" customHeight="false" outlineLevel="0" collapsed="false">
      <c r="H220" s="63"/>
      <c r="W220" s="69" t="n">
        <v>0.0616507984185866</v>
      </c>
    </row>
    <row r="221" customFormat="false" ht="12.75" hidden="false" customHeight="false" outlineLevel="0" collapsed="false">
      <c r="H221" s="63"/>
      <c r="W221" s="69" t="n">
        <v>0.0616814926721148</v>
      </c>
    </row>
    <row r="222" customFormat="false" ht="12.75" hidden="false" customHeight="false" outlineLevel="0" collapsed="false">
      <c r="H222" s="63"/>
      <c r="W222" s="69" t="n">
        <v>0.061712186925956</v>
      </c>
    </row>
    <row r="223" customFormat="false" ht="12.75" hidden="false" customHeight="false" outlineLevel="0" collapsed="false">
      <c r="H223" s="63"/>
      <c r="W223" s="69" t="n">
        <v>0.0617399107684036</v>
      </c>
    </row>
    <row r="224" customFormat="false" ht="12.75" hidden="false" customHeight="false" outlineLevel="0" collapsed="false">
      <c r="H224" s="63"/>
      <c r="W224" s="69" t="n">
        <v>0.0617706050228399</v>
      </c>
    </row>
    <row r="225" customFormat="false" ht="12.75" hidden="false" customHeight="false" outlineLevel="0" collapsed="false">
      <c r="H225" s="63"/>
      <c r="W225" s="69" t="n">
        <v>0.0618003091403345</v>
      </c>
    </row>
    <row r="226" customFormat="false" ht="12.75" hidden="false" customHeight="false" outlineLevel="0" collapsed="false">
      <c r="H226" s="63"/>
      <c r="W226" s="69" t="n">
        <v>0.0618310033953864</v>
      </c>
    </row>
    <row r="227" customFormat="false" ht="12.75" hidden="false" customHeight="false" outlineLevel="0" collapsed="false">
      <c r="H227" s="63"/>
      <c r="W227" s="69" t="n">
        <v>0.0618607075134761</v>
      </c>
    </row>
    <row r="228" customFormat="false" ht="12.75" hidden="false" customHeight="false" outlineLevel="0" collapsed="false">
      <c r="H228" s="63"/>
      <c r="W228" s="69" t="n">
        <v>0.0618914017691434</v>
      </c>
    </row>
    <row r="229" customFormat="false" ht="12.75" hidden="false" customHeight="false" outlineLevel="0" collapsed="false">
      <c r="H229" s="63"/>
      <c r="W229" s="69" t="n">
        <v>0.0619220960251234</v>
      </c>
    </row>
    <row r="230" customFormat="false" ht="12.75" hidden="false" customHeight="false" outlineLevel="0" collapsed="false">
      <c r="H230" s="63"/>
      <c r="W230" s="69" t="n">
        <v>0.0619518001441111</v>
      </c>
    </row>
    <row r="231" customFormat="false" ht="12.75" hidden="false" customHeight="false" outlineLevel="0" collapsed="false">
      <c r="H231" s="63"/>
      <c r="W231" s="69" t="n">
        <v>0.0619824944007066</v>
      </c>
    </row>
    <row r="232" customFormat="false" ht="12.75" hidden="false" customHeight="false" outlineLevel="0" collapsed="false">
      <c r="H232" s="63"/>
      <c r="W232" s="69" t="n">
        <v>0.0620121985202902</v>
      </c>
    </row>
    <row r="233" customFormat="false" ht="12.75" hidden="false" customHeight="false" outlineLevel="0" collapsed="false">
      <c r="H233" s="63"/>
      <c r="W233" s="69" t="n">
        <v>0.0620428927775012</v>
      </c>
    </row>
    <row r="234" customFormat="false" ht="12.75" hidden="false" customHeight="false" outlineLevel="0" collapsed="false">
      <c r="H234" s="63"/>
      <c r="W234" s="69" t="n">
        <v>0.0620735870350244</v>
      </c>
    </row>
    <row r="235" customFormat="false" ht="12.75" hidden="false" customHeight="false" outlineLevel="0" collapsed="false">
      <c r="H235" s="63"/>
      <c r="W235" s="69" t="n">
        <v>0.0621023010181521</v>
      </c>
    </row>
    <row r="236" customFormat="false" ht="12.75" hidden="false" customHeight="false" outlineLevel="0" collapsed="false">
      <c r="H236" s="63"/>
      <c r="W236" s="69" t="n">
        <v>0.062132995276281</v>
      </c>
    </row>
    <row r="237" customFormat="false" ht="12.75" hidden="false" customHeight="false" outlineLevel="0" collapsed="false">
      <c r="H237" s="63"/>
      <c r="W237" s="69" t="n">
        <v>0.0621626993973483</v>
      </c>
    </row>
    <row r="238" customFormat="false" ht="12.75" hidden="false" customHeight="false" outlineLevel="0" collapsed="false">
      <c r="H238" s="63"/>
      <c r="W238" s="69" t="n">
        <v>0.0621933936560923</v>
      </c>
    </row>
    <row r="239" customFormat="false" ht="12.75" hidden="false" customHeight="false" outlineLevel="0" collapsed="false">
      <c r="H239" s="63"/>
      <c r="W239" s="69" t="n">
        <v>0.0622230977777556</v>
      </c>
    </row>
    <row r="240" customFormat="false" ht="12.75" hidden="false" customHeight="false" outlineLevel="0" collapsed="false">
      <c r="H240" s="63"/>
      <c r="W240" s="69" t="n">
        <v>0.0622537920371151</v>
      </c>
    </row>
    <row r="241" customFormat="false" ht="12.75" hidden="false" customHeight="false" outlineLevel="0" collapsed="false">
      <c r="H241" s="63"/>
      <c r="W241" s="69" t="n">
        <v>0.0622844862967868</v>
      </c>
    </row>
    <row r="242" customFormat="false" ht="12.75" hidden="false" customHeight="false" outlineLevel="0" collapsed="false">
      <c r="H242" s="63"/>
      <c r="W242" s="69" t="n">
        <v>0.062314190419348</v>
      </c>
    </row>
    <row r="243" customFormat="false" ht="12.75" hidden="false" customHeight="false" outlineLevel="0" collapsed="false">
      <c r="H243" s="63"/>
      <c r="W243" s="69" t="n">
        <v>0.0623448846796353</v>
      </c>
    </row>
    <row r="244" customFormat="false" ht="12.75" hidden="false" customHeight="false" outlineLevel="0" collapsed="false">
      <c r="H244" s="63"/>
      <c r="W244" s="69" t="n">
        <v>0.0623745888027916</v>
      </c>
    </row>
    <row r="245" customFormat="false" ht="12.75" hidden="false" customHeight="false" outlineLevel="0" collapsed="false">
      <c r="H245" s="63"/>
      <c r="W245" s="69" t="n">
        <v>0.0624052830636943</v>
      </c>
    </row>
    <row r="246" customFormat="false" ht="12.75" hidden="false" customHeight="false" outlineLevel="0" collapsed="false">
      <c r="H246" s="63"/>
      <c r="W246" s="69" t="n">
        <v>0.0624359773249097</v>
      </c>
    </row>
    <row r="247" customFormat="false" ht="12.75" hidden="false" customHeight="false" outlineLevel="0" collapsed="false">
      <c r="H247" s="63"/>
      <c r="W247" s="69" t="n">
        <v>0.0624637011740181</v>
      </c>
    </row>
    <row r="248" customFormat="false" ht="12.75" hidden="false" customHeight="false" outlineLevel="0" collapsed="false">
      <c r="H248" s="63"/>
      <c r="W248" s="69" t="n">
        <v>0.0624738006450864</v>
      </c>
    </row>
    <row r="249" customFormat="false" ht="12.75" hidden="false" customHeight="false" outlineLevel="0" collapsed="false">
      <c r="H249" s="63"/>
      <c r="W249" s="69" t="n">
        <v>0.0624726125833597</v>
      </c>
    </row>
    <row r="250" customFormat="false" ht="12.75" hidden="false" customHeight="false" outlineLevel="0" collapsed="false">
      <c r="H250" s="63"/>
      <c r="W250" s="69" t="n">
        <v>0.0624713849195762</v>
      </c>
    </row>
    <row r="251" customFormat="false" ht="12.75" hidden="false" customHeight="false" outlineLevel="0" collapsed="false">
      <c r="H251" s="63"/>
      <c r="W251" s="69" t="n">
        <v>0.0624701968578507</v>
      </c>
    </row>
    <row r="252" customFormat="false" ht="12.75" hidden="false" customHeight="false" outlineLevel="0" collapsed="false">
      <c r="H252" s="63"/>
      <c r="W252" s="69" t="n">
        <v>0.0624689691940676</v>
      </c>
    </row>
    <row r="253" customFormat="false" ht="12.75" hidden="false" customHeight="false" outlineLevel="0" collapsed="false">
      <c r="H253" s="63"/>
      <c r="W253" s="69" t="n">
        <v>0.0624677415302854</v>
      </c>
    </row>
    <row r="254" customFormat="false" ht="12.75" hidden="false" customHeight="false" outlineLevel="0" collapsed="false">
      <c r="H254" s="63"/>
      <c r="W254" s="69" t="n">
        <v>0.0624665534685609</v>
      </c>
    </row>
    <row r="255" customFormat="false" ht="12.75" hidden="false" customHeight="false" outlineLevel="0" collapsed="false">
      <c r="H255" s="63"/>
      <c r="W255" s="69" t="n">
        <v>0.06246532580478</v>
      </c>
    </row>
    <row r="256" customFormat="false" ht="12.75" hidden="false" customHeight="false" outlineLevel="0" collapsed="false">
      <c r="H256" s="63"/>
      <c r="W256" s="69" t="n">
        <v>0.0624641377430564</v>
      </c>
    </row>
    <row r="257" customFormat="false" ht="12.75" hidden="false" customHeight="false" outlineLevel="0" collapsed="false">
      <c r="H257" s="63"/>
      <c r="W257" s="69" t="n">
        <v>0.0624629100792764</v>
      </c>
    </row>
    <row r="258" customFormat="false" ht="12.75" hidden="false" customHeight="false" outlineLevel="0" collapsed="false">
      <c r="H258" s="63"/>
      <c r="W258" s="69" t="n">
        <v>0.0624616824154969</v>
      </c>
    </row>
    <row r="259" customFormat="false" ht="12.75" hidden="false" customHeight="false" outlineLevel="0" collapsed="false">
      <c r="H259" s="63"/>
      <c r="W259" s="69" t="n">
        <v>0.0624605735578894</v>
      </c>
    </row>
    <row r="260" customFormat="false" ht="12.75" hidden="false" customHeight="false" outlineLevel="0" collapsed="false">
      <c r="H260" s="63"/>
      <c r="W260" s="69" t="n">
        <v>0.0624593458941107</v>
      </c>
    </row>
    <row r="261" customFormat="false" ht="12.75" hidden="false" customHeight="false" outlineLevel="0" collapsed="false">
      <c r="H261" s="63"/>
      <c r="W261" s="69" t="n">
        <v>0.0624581578323902</v>
      </c>
    </row>
    <row r="262" customFormat="false" ht="12.75" hidden="false" customHeight="false" outlineLevel="0" collapsed="false">
      <c r="H262" s="63"/>
      <c r="W262" s="69" t="n">
        <v>0.062456930168612</v>
      </c>
    </row>
    <row r="263" customFormat="false" ht="12.75" hidden="false" customHeight="false" outlineLevel="0" collapsed="false">
      <c r="H263" s="63"/>
      <c r="W263" s="69" t="n">
        <v>0.0624557421068923</v>
      </c>
    </row>
    <row r="264" customFormat="false" ht="12.75" hidden="false" customHeight="false" outlineLevel="0" collapsed="false">
      <c r="H264" s="63"/>
      <c r="W264" s="69" t="n">
        <v>0.062454514443115</v>
      </c>
    </row>
    <row r="265" customFormat="false" ht="12.75" hidden="false" customHeight="false" outlineLevel="0" collapsed="false">
      <c r="H265" s="63"/>
      <c r="W265" s="69" t="n">
        <v>0.062453286779339</v>
      </c>
    </row>
    <row r="266" customFormat="false" ht="12.75" hidden="false" customHeight="false" outlineLevel="0" collapsed="false">
      <c r="H266" s="63"/>
      <c r="W266" s="69" t="n">
        <v>0.0624520987176207</v>
      </c>
    </row>
    <row r="267" customFormat="false" ht="12.75" hidden="false" customHeight="false" outlineLevel="0" collapsed="false">
      <c r="H267" s="63"/>
      <c r="W267" s="69" t="n">
        <v>0.0624508710538452</v>
      </c>
    </row>
    <row r="268" customFormat="false" ht="12.75" hidden="false" customHeight="false" outlineLevel="0" collapsed="false">
      <c r="H268" s="63"/>
      <c r="W268" s="69" t="n">
        <v>0.0624496829921277</v>
      </c>
    </row>
    <row r="269" customFormat="false" ht="12.75" hidden="false" customHeight="false" outlineLevel="0" collapsed="false">
      <c r="H269" s="63"/>
      <c r="W269" s="69" t="n">
        <v>0.0624484553283531</v>
      </c>
    </row>
    <row r="270" customFormat="false" ht="12.75" hidden="false" customHeight="false" outlineLevel="0" collapsed="false">
      <c r="H270" s="63"/>
      <c r="W270" s="69" t="n">
        <v>0.0624472276645793</v>
      </c>
    </row>
    <row r="271" customFormat="false" ht="12.75" hidden="false" customHeight="false" outlineLevel="0" collapsed="false">
      <c r="H271" s="63"/>
      <c r="W271" s="69" t="n">
        <v>0.0624461188069776</v>
      </c>
    </row>
    <row r="272" customFormat="false" ht="12.75" hidden="false" customHeight="false" outlineLevel="0" collapsed="false">
      <c r="H272" s="63"/>
      <c r="W272" s="69" t="n">
        <v>0.0624448911432047</v>
      </c>
    </row>
    <row r="273" customFormat="false" ht="12.75" hidden="false" customHeight="false" outlineLevel="0" collapsed="false">
      <c r="H273" s="63"/>
      <c r="W273" s="69" t="n">
        <v>0.0624437030814895</v>
      </c>
    </row>
    <row r="274" customFormat="false" ht="12.75" hidden="false" customHeight="false" outlineLevel="0" collapsed="false">
      <c r="H274" s="63"/>
      <c r="W274" s="69" t="n">
        <v>0.0624424754177171</v>
      </c>
    </row>
    <row r="275" customFormat="false" ht="12.75" hidden="false" customHeight="false" outlineLevel="0" collapsed="false">
      <c r="H275" s="63"/>
      <c r="W275" s="69" t="n">
        <v>0.0624412873560032</v>
      </c>
    </row>
    <row r="276" customFormat="false" ht="12.75" hidden="false" customHeight="false" outlineLevel="0" collapsed="false">
      <c r="H276" s="63"/>
      <c r="W276" s="69" t="n">
        <v>0.0624400596922325</v>
      </c>
    </row>
    <row r="277" customFormat="false" ht="12.75" hidden="false" customHeight="false" outlineLevel="0" collapsed="false">
      <c r="H277" s="63"/>
      <c r="W277" s="69" t="n">
        <v>0.0624388320284619</v>
      </c>
    </row>
    <row r="278" customFormat="false" ht="12.75" hidden="false" customHeight="false" outlineLevel="0" collapsed="false">
      <c r="H278" s="63"/>
      <c r="W278" s="69" t="n">
        <v>0.0624376439667489</v>
      </c>
    </row>
    <row r="279" customFormat="false" ht="12.75" hidden="false" customHeight="false" outlineLevel="0" collapsed="false">
      <c r="H279" s="63"/>
      <c r="W279" s="69" t="n">
        <v>0.0624364163029796</v>
      </c>
    </row>
    <row r="280" customFormat="false" ht="12.75" hidden="false" customHeight="false" outlineLevel="0" collapsed="false">
      <c r="H280" s="63"/>
      <c r="W280" s="69" t="n">
        <v>0.0624352282412675</v>
      </c>
    </row>
    <row r="281" customFormat="false" ht="12.75" hidden="false" customHeight="false" outlineLevel="0" collapsed="false">
      <c r="H281" s="63"/>
      <c r="W281" s="69" t="n">
        <v>0.062434000577499</v>
      </c>
    </row>
    <row r="282" customFormat="false" ht="12.75" hidden="false" customHeight="false" outlineLevel="0" collapsed="false">
      <c r="H282" s="63"/>
      <c r="W282" s="69" t="n">
        <v>0.0624327729137311</v>
      </c>
    </row>
    <row r="283" customFormat="false" ht="12.75" hidden="false" customHeight="false" outlineLevel="0" collapsed="false">
      <c r="H283" s="63"/>
      <c r="W283" s="69" t="n">
        <v>0.0624316244540779</v>
      </c>
    </row>
    <row r="284" customFormat="false" ht="12.75" hidden="false" customHeight="false" outlineLevel="0" collapsed="false">
      <c r="H284" s="63"/>
      <c r="W284" s="69" t="n">
        <v>0.0624303967903108</v>
      </c>
    </row>
    <row r="285" customFormat="false" ht="12.75" hidden="false" customHeight="false" outlineLevel="0" collapsed="false">
      <c r="H285" s="63"/>
      <c r="W285" s="69" t="n">
        <v>0.0624292087286014</v>
      </c>
    </row>
    <row r="286" customFormat="false" ht="12.75" hidden="false" customHeight="false" outlineLevel="0" collapsed="false">
      <c r="H286" s="63"/>
      <c r="W286" s="69" t="n">
        <v>0.0624279810648352</v>
      </c>
    </row>
    <row r="287" customFormat="false" ht="12.75" hidden="false" customHeight="false" outlineLevel="0" collapsed="false">
      <c r="H287" s="63"/>
      <c r="W287" s="69" t="n">
        <v>0.0624267930031266</v>
      </c>
    </row>
    <row r="288" customFormat="false" ht="12.75" hidden="false" customHeight="false" outlineLevel="0" collapsed="false">
      <c r="H288" s="63"/>
      <c r="W288" s="69" t="n">
        <v>0.0624255653393617</v>
      </c>
    </row>
    <row r="289" customFormat="false" ht="12.75" hidden="false" customHeight="false" outlineLevel="0" collapsed="false">
      <c r="H289" s="63"/>
      <c r="W289" s="69" t="n">
        <v>0.0624243376755968</v>
      </c>
    </row>
    <row r="290" customFormat="false" ht="12.75" hidden="false" customHeight="false" outlineLevel="0" collapsed="false">
      <c r="H290" s="63"/>
      <c r="W290" s="69" t="n">
        <v>0.0624231496138901</v>
      </c>
    </row>
    <row r="291" customFormat="false" ht="12.75" hidden="false" customHeight="false" outlineLevel="0" collapsed="false">
      <c r="H291" s="63"/>
      <c r="W291" s="69" t="n">
        <v>0.0624219219501261</v>
      </c>
    </row>
    <row r="292" customFormat="false" ht="12.75" hidden="false" customHeight="false" outlineLevel="0" collapsed="false">
      <c r="H292" s="63"/>
      <c r="W292" s="69" t="n">
        <v>0.0624207338884202</v>
      </c>
    </row>
    <row r="293" customFormat="false" ht="12.75" hidden="false" customHeight="false" outlineLevel="0" collapsed="false">
      <c r="H293" s="63"/>
      <c r="W293" s="69" t="n">
        <v>0.062419506224658</v>
      </c>
    </row>
    <row r="294" customFormat="false" ht="12.75" hidden="false" customHeight="false" outlineLevel="0" collapsed="false">
      <c r="H294" s="63"/>
      <c r="W294" s="69" t="n">
        <v>0.0624182785608958</v>
      </c>
    </row>
    <row r="295" customFormat="false" ht="12.75" hidden="false" customHeight="false" outlineLevel="0" collapsed="false">
      <c r="H295" s="63"/>
      <c r="W295" s="69" t="n">
        <v>0.0624171697033047</v>
      </c>
    </row>
    <row r="296" customFormat="false" ht="12.75" hidden="false" customHeight="false" outlineLevel="0" collapsed="false">
      <c r="H296" s="63"/>
      <c r="W296" s="69" t="n">
        <v>0.0624159420395438</v>
      </c>
    </row>
    <row r="297" customFormat="false" ht="12.75" hidden="false" customHeight="false" outlineLevel="0" collapsed="false">
      <c r="H297" s="63"/>
      <c r="W297" s="69" t="n">
        <v>0.0624147539778397</v>
      </c>
    </row>
    <row r="298" customFormat="false" ht="12.75" hidden="false" customHeight="false" outlineLevel="0" collapsed="false">
      <c r="H298" s="63"/>
      <c r="W298" s="69" t="n">
        <v>0.0624135263140797</v>
      </c>
    </row>
    <row r="299" customFormat="false" ht="12.75" hidden="false" customHeight="false" outlineLevel="0" collapsed="false">
      <c r="H299" s="63"/>
      <c r="W299" s="69" t="n">
        <v>0.0624123382523765</v>
      </c>
    </row>
    <row r="300" customFormat="false" ht="12.75" hidden="false" customHeight="false" outlineLevel="0" collapsed="false">
      <c r="H300" s="63"/>
      <c r="W300" s="69" t="n">
        <v>0.0624111105886174</v>
      </c>
    </row>
    <row r="301" customFormat="false" ht="12.75" hidden="false" customHeight="false" outlineLevel="0" collapsed="false">
      <c r="H301" s="63"/>
      <c r="W301" s="69" t="n">
        <v>0.0624098829248587</v>
      </c>
    </row>
    <row r="302" customFormat="false" ht="12.75" hidden="false" customHeight="false" outlineLevel="0" collapsed="false">
      <c r="H302" s="63"/>
      <c r="W302" s="69" t="n">
        <v>0.0624086948631573</v>
      </c>
    </row>
    <row r="303" customFormat="false" ht="12.75" hidden="false" customHeight="false" outlineLevel="0" collapsed="false">
      <c r="H303" s="63"/>
      <c r="W303" s="69" t="n">
        <v>0.0624074671993999</v>
      </c>
    </row>
    <row r="304" customFormat="false" ht="12.75" hidden="false" customHeight="false" outlineLevel="0" collapsed="false">
      <c r="H304" s="63"/>
      <c r="W304" s="69" t="n">
        <v>0.0624062791376994</v>
      </c>
    </row>
    <row r="305" customFormat="false" ht="12.75" hidden="false" customHeight="false" outlineLevel="0" collapsed="false">
      <c r="H305" s="63"/>
      <c r="W305" s="69" t="n">
        <v>0.0624050514739425</v>
      </c>
    </row>
    <row r="306" customFormat="false" ht="12.75" hidden="false" customHeight="false" outlineLevel="0" collapsed="false">
      <c r="H306" s="63"/>
      <c r="W306" s="69" t="n">
        <v>0.0624038238101865</v>
      </c>
    </row>
    <row r="307" customFormat="false" ht="12.75" hidden="false" customHeight="false" outlineLevel="0" collapsed="false">
      <c r="H307" s="63"/>
      <c r="W307" s="69" t="n">
        <v>0.0624027149526007</v>
      </c>
    </row>
    <row r="308" customFormat="false" ht="12.75" hidden="false" customHeight="false" outlineLevel="0" collapsed="false">
      <c r="H308" s="63"/>
      <c r="W308" s="69" t="n">
        <v>0.0624014872888456</v>
      </c>
    </row>
    <row r="309" customFormat="false" ht="12.75" hidden="false" customHeight="false" outlineLevel="0" collapsed="false">
      <c r="H309" s="63"/>
      <c r="W309" s="69" t="n">
        <v>0.0624002992271473</v>
      </c>
    </row>
    <row r="310" customFormat="false" ht="12.75" hidden="false" customHeight="false" outlineLevel="0" collapsed="false">
      <c r="H310" s="63"/>
      <c r="W310" s="69" t="n">
        <v>0.0623990715633931</v>
      </c>
    </row>
    <row r="311" customFormat="false" ht="12.75" hidden="false" customHeight="false" outlineLevel="0" collapsed="false">
      <c r="H311" s="63"/>
      <c r="W311" s="69" t="n">
        <v>0.0623978835016961</v>
      </c>
    </row>
    <row r="312" customFormat="false" ht="12.75" hidden="false" customHeight="false" outlineLevel="0" collapsed="false">
      <c r="H312" s="63"/>
      <c r="W312" s="69" t="n">
        <v>0.0623966558379427</v>
      </c>
    </row>
    <row r="313" customFormat="false" ht="12.75" hidden="false" customHeight="false" outlineLevel="0" collapsed="false">
      <c r="H313" s="63"/>
      <c r="W313" s="69" t="n">
        <v>0.0623954281741899</v>
      </c>
    </row>
    <row r="314" customFormat="false" ht="12.75" hidden="false" customHeight="false" outlineLevel="0" collapsed="false">
      <c r="H314" s="63"/>
      <c r="W314" s="69" t="n">
        <v>0.0623942401124942</v>
      </c>
    </row>
    <row r="315" customFormat="false" ht="12.75" hidden="false" customHeight="false" outlineLevel="0" collapsed="false">
      <c r="H315" s="63"/>
      <c r="W315" s="69" t="n">
        <v>0.0623930124487426</v>
      </c>
    </row>
    <row r="316" customFormat="false" ht="12.75" hidden="false" customHeight="false" outlineLevel="0" collapsed="false">
      <c r="H316" s="63"/>
      <c r="W316" s="69" t="n">
        <v>0.0623918243870474</v>
      </c>
    </row>
    <row r="317" customFormat="false" ht="12.75" hidden="false" customHeight="false" outlineLevel="0" collapsed="false">
      <c r="H317" s="63"/>
      <c r="W317" s="69" t="n">
        <v>0.0623905967232967</v>
      </c>
    </row>
    <row r="318" customFormat="false" ht="12.75" hidden="false" customHeight="false" outlineLevel="0" collapsed="false">
      <c r="H318" s="63"/>
      <c r="W318" s="69" t="n">
        <v>0.062389369059547</v>
      </c>
    </row>
    <row r="319" customFormat="false" ht="12.75" hidden="false" customHeight="false" outlineLevel="0" collapsed="false">
      <c r="H319" s="63"/>
      <c r="W319" s="69" t="n">
        <v>0.0623882602019661</v>
      </c>
    </row>
    <row r="320" customFormat="false" ht="12.75" hidden="false" customHeight="false" outlineLevel="0" collapsed="false">
      <c r="H320" s="63"/>
      <c r="W320" s="69" t="n">
        <v>0.0623870325382168</v>
      </c>
    </row>
    <row r="321" customFormat="false" ht="12.75" hidden="false" customHeight="false" outlineLevel="0" collapsed="false">
      <c r="H321" s="63"/>
      <c r="W321" s="69" t="n">
        <v>0.0623858444765246</v>
      </c>
    </row>
    <row r="322" customFormat="false" ht="12.75" hidden="false" customHeight="false" outlineLevel="0" collapsed="false">
      <c r="H322" s="63"/>
      <c r="W322" s="69" t="n">
        <v>0.0623846168127757</v>
      </c>
    </row>
    <row r="323" customFormat="false" ht="12.75" hidden="false" customHeight="false" outlineLevel="0" collapsed="false">
      <c r="H323" s="63"/>
      <c r="W323" s="69" t="n">
        <v>0.0623834287510845</v>
      </c>
    </row>
    <row r="324" customFormat="false" ht="12.75" hidden="false" customHeight="false" outlineLevel="0" collapsed="false">
      <c r="H324" s="63"/>
      <c r="W324" s="69" t="n">
        <v>0.0623822010873369</v>
      </c>
    </row>
    <row r="325" customFormat="false" ht="12.75" hidden="false" customHeight="false" outlineLevel="0" collapsed="false">
      <c r="H325" s="63"/>
      <c r="W325" s="69" t="n">
        <v>0.0623809734235903</v>
      </c>
    </row>
    <row r="326" customFormat="false" ht="12.75" hidden="false" customHeight="false" outlineLevel="0" collapsed="false">
      <c r="H326" s="63"/>
      <c r="W326" s="69" t="n">
        <v>0.0623797853619004</v>
      </c>
    </row>
    <row r="327" customFormat="false" ht="12.75" hidden="false" customHeight="false" outlineLevel="0" collapsed="false">
      <c r="H327" s="63"/>
      <c r="W327" s="69" t="n">
        <v>0.0623785576981546</v>
      </c>
    </row>
    <row r="328" customFormat="false" ht="12.75" hidden="false" customHeight="false" outlineLevel="0" collapsed="false">
      <c r="H328" s="63"/>
      <c r="W328" s="69" t="n">
        <v>0.0623773696364656</v>
      </c>
    </row>
    <row r="329" customFormat="false" ht="12.75" hidden="false" customHeight="false" outlineLevel="0" collapsed="false">
      <c r="H329" s="63"/>
      <c r="W329" s="69" t="n">
        <v>0.0623761419727202</v>
      </c>
    </row>
    <row r="330" customFormat="false" ht="12.75" hidden="false" customHeight="false" outlineLevel="0" collapsed="false">
      <c r="H330" s="63"/>
      <c r="W330" s="69" t="n">
        <v>0.0623749143089762</v>
      </c>
    </row>
    <row r="331" customFormat="false" ht="12.75" hidden="false" customHeight="false" outlineLevel="0" collapsed="false">
      <c r="H331" s="63"/>
      <c r="W331" s="69" t="n">
        <v>0.0623737658493448</v>
      </c>
    </row>
    <row r="332" customFormat="false" ht="12.75" hidden="false" customHeight="false" outlineLevel="0" collapsed="false">
      <c r="H332" s="63"/>
      <c r="W332" s="69" t="n">
        <v>0.0623725381856013</v>
      </c>
    </row>
    <row r="333" customFormat="false" ht="12.75" hidden="false" customHeight="false" outlineLevel="0" collapsed="false">
      <c r="H333" s="63"/>
      <c r="W333" s="69" t="n">
        <v>0.0623713501239145</v>
      </c>
    </row>
    <row r="334" customFormat="false" ht="12.75" hidden="false" customHeight="false" outlineLevel="0" collapsed="false">
      <c r="H334" s="63"/>
      <c r="W334" s="69" t="n">
        <v>0.0623701224601718</v>
      </c>
    </row>
    <row r="335" customFormat="false" ht="12.75" hidden="false" customHeight="false" outlineLevel="0" collapsed="false">
      <c r="H335" s="63"/>
      <c r="W335" s="69" t="n">
        <v>0.0623689343984863</v>
      </c>
    </row>
    <row r="336" customFormat="false" ht="12.75" hidden="false" customHeight="false" outlineLevel="0" collapsed="false">
      <c r="H336" s="63"/>
      <c r="W336" s="69" t="n">
        <v>0.0623677067347446</v>
      </c>
    </row>
    <row r="337" customFormat="false" ht="12.75" hidden="false" customHeight="false" outlineLevel="0" collapsed="false">
      <c r="H337" s="63"/>
      <c r="W337" s="69" t="n">
        <v>0.0623664790710041</v>
      </c>
    </row>
    <row r="338" customFormat="false" ht="12.75" hidden="false" customHeight="false" outlineLevel="0" collapsed="false">
      <c r="H338" s="63"/>
      <c r="W338" s="69" t="n">
        <v>0.06236529100932</v>
      </c>
    </row>
    <row r="339" customFormat="false" ht="12.75" hidden="false" customHeight="false" outlineLevel="0" collapsed="false">
      <c r="H339" s="63"/>
      <c r="W339" s="69" t="n">
        <v>0.0623640633455795</v>
      </c>
    </row>
    <row r="340" customFormat="false" ht="12.75" hidden="false" customHeight="false" outlineLevel="0" collapsed="false">
      <c r="H340" s="63"/>
      <c r="W340" s="69" t="n">
        <v>0.0623628752838963</v>
      </c>
    </row>
    <row r="341" customFormat="false" ht="12.75" hidden="false" customHeight="false" outlineLevel="0" collapsed="false">
      <c r="H341" s="63"/>
      <c r="W341" s="69" t="n">
        <v>0.0623616476201572</v>
      </c>
    </row>
    <row r="342" customFormat="false" ht="12.75" hidden="false" customHeight="false" outlineLevel="0" collapsed="false">
      <c r="W342" s="69" t="n">
        <v>0.0623604199564189</v>
      </c>
    </row>
    <row r="343" customFormat="false" ht="12.75" hidden="false" customHeight="false" outlineLevel="0" collapsed="false">
      <c r="W343" s="69" t="n">
        <v>0.0623593110988492</v>
      </c>
    </row>
    <row r="344" customFormat="false" ht="12.75" hidden="false" customHeight="false" outlineLevel="0" collapsed="false">
      <c r="W344" s="69" t="n">
        <v>0.0623580834351114</v>
      </c>
    </row>
    <row r="345" customFormat="false" ht="12.75" hidden="false" customHeight="false" outlineLevel="0" collapsed="false">
      <c r="W345" s="69" t="n">
        <v>0.0623568953734304</v>
      </c>
    </row>
    <row r="346" customFormat="false" ht="12.75" hidden="false" customHeight="false" outlineLevel="0" collapsed="false">
      <c r="W346" s="69" t="n">
        <v>0.0623556677096939</v>
      </c>
    </row>
    <row r="347" customFormat="false" ht="12.75" hidden="false" customHeight="false" outlineLevel="0" collapsed="false">
      <c r="W347" s="69" t="n">
        <v>0.0623544796480138</v>
      </c>
    </row>
    <row r="348" customFormat="false" ht="12.75" hidden="false" customHeight="false" outlineLevel="0" collapsed="false">
      <c r="W348" s="69" t="n">
        <v>0.0623532519842787</v>
      </c>
    </row>
    <row r="349" customFormat="false" ht="12.75" hidden="false" customHeight="false" outlineLevel="0" collapsed="false">
      <c r="W349" s="69" t="n">
        <v>0.0623520243205431</v>
      </c>
    </row>
    <row r="350" customFormat="false" ht="12.75" hidden="false" customHeight="false" outlineLevel="0" collapsed="false">
      <c r="W350" s="69" t="n">
        <v>0.0623508362588647</v>
      </c>
    </row>
    <row r="351" customFormat="false" ht="12.75" hidden="false" customHeight="false" outlineLevel="0" collapsed="false">
      <c r="W351" s="69" t="n">
        <v>0.0623496085951305</v>
      </c>
    </row>
    <row r="352" customFormat="false" ht="12.75" hidden="false" customHeight="false" outlineLevel="0" collapsed="false">
      <c r="W352" s="69" t="n">
        <v>0.062348420533453</v>
      </c>
    </row>
    <row r="353" customFormat="false" ht="12.75" hidden="false" customHeight="false" outlineLevel="0" collapsed="false">
      <c r="W353" s="69" t="n">
        <v>0.0623471928697201</v>
      </c>
    </row>
    <row r="354" customFormat="false" ht="12.75" hidden="false" customHeight="false" outlineLevel="0" collapsed="false">
      <c r="W354" s="69" t="n">
        <v>0.0623459652059872</v>
      </c>
    </row>
    <row r="355" customFormat="false" ht="12.75" hidden="false" customHeight="false" outlineLevel="0" collapsed="false">
      <c r="W355" s="69" t="n">
        <v>0.0623448563484228</v>
      </c>
    </row>
    <row r="356" customFormat="false" ht="12.75" hidden="false" customHeight="false" outlineLevel="0" collapsed="false">
      <c r="W356" s="69" t="n">
        <v>0.0623436286846912</v>
      </c>
    </row>
    <row r="357" customFormat="false" ht="12.75" hidden="false" customHeight="false" outlineLevel="0" collapsed="false">
      <c r="W357" s="69" t="n">
        <v>0.0623424406230155</v>
      </c>
    </row>
    <row r="358" customFormat="false" ht="12.75" hidden="false" customHeight="false" outlineLevel="0" collapsed="false">
      <c r="W358" s="69" t="n">
        <v>0.0623412129592853</v>
      </c>
    </row>
    <row r="359" customFormat="false" ht="12.75" hidden="false" customHeight="false" outlineLevel="0" collapsed="false">
      <c r="W359" s="69" t="n">
        <v>0.0623400248976105</v>
      </c>
    </row>
    <row r="360" customFormat="false" ht="12.75" hidden="false" customHeight="false" outlineLevel="0" collapsed="false">
      <c r="W360" s="69" t="n">
        <v>0.0623387972338811</v>
      </c>
    </row>
    <row r="361" customFormat="false" ht="12.75" hidden="false" customHeight="false" outlineLevel="0" collapsed="false">
      <c r="W361" s="69" t="n">
        <v>0.0623375695701518</v>
      </c>
    </row>
    <row r="362" customFormat="false" ht="12.75" hidden="false" customHeight="false" outlineLevel="0" collapsed="false">
      <c r="W362" s="69" t="n">
        <v>0.0623363815084788</v>
      </c>
    </row>
    <row r="363" customFormat="false" ht="12.75" hidden="false" customHeight="false" outlineLevel="0" collapsed="false">
      <c r="W363" s="69" t="n">
        <v>0.0623351538447507</v>
      </c>
    </row>
    <row r="364" customFormat="false" ht="12.75" hidden="false" customHeight="false" outlineLevel="0" collapsed="false">
      <c r="W364" s="69" t="n">
        <v>0.0623339657830786</v>
      </c>
    </row>
    <row r="365" customFormat="false" ht="12.75" hidden="false" customHeight="false" outlineLevel="0" collapsed="false">
      <c r="W365" s="69" t="n">
        <v>0.0623327381193515</v>
      </c>
    </row>
    <row r="366" customFormat="false" ht="12.75" hidden="false" customHeight="false" outlineLevel="0" collapsed="false">
      <c r="W366" s="69" t="n">
        <v>0.0623315104556248</v>
      </c>
    </row>
    <row r="367" customFormat="false" ht="12.75" hidden="false" customHeight="false" outlineLevel="0" collapsed="false">
      <c r="W367" s="69" t="n">
        <v>0.0623304015980657</v>
      </c>
    </row>
  </sheetData>
  <mergeCells count="1">
    <mergeCell ref="D5:E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8" activeCellId="0" sqref="M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0.99"/>
    <col collapsed="false" customWidth="true" hidden="false" outlineLevel="0" max="10" min="10" style="0" width="9.82"/>
  </cols>
  <sheetData>
    <row r="1" customFormat="false" ht="12.75" hidden="false" customHeight="false" outlineLevel="0" collapsed="false">
      <c r="A1" s="79" t="s">
        <v>45</v>
      </c>
      <c r="J1" s="80" t="s">
        <v>46</v>
      </c>
    </row>
    <row r="2" customFormat="false" ht="12.75" hidden="false" customHeight="false" outlineLevel="0" collapsed="false">
      <c r="B2" s="37" t="s">
        <v>47</v>
      </c>
      <c r="C2" s="37"/>
      <c r="D2" s="0" t="s">
        <v>48</v>
      </c>
      <c r="E2" s="37" t="s">
        <v>49</v>
      </c>
      <c r="F2" s="37"/>
      <c r="G2" s="2" t="s">
        <v>34</v>
      </c>
    </row>
    <row r="3" customFormat="false" ht="12.75" hidden="false" customHeight="false" outlineLevel="0" collapsed="false">
      <c r="A3" s="20" t="s">
        <v>50</v>
      </c>
      <c r="B3" s="0" t="n">
        <f aca="false">DDE("TWINDDE","RSFRecord","NGc1 LAST")</f>
        <v>5.42</v>
      </c>
      <c r="C3" s="0" t="n">
        <f aca="false">IF(B3="    ",0,B3)</f>
        <v>5.42</v>
      </c>
      <c r="D3" s="0" t="n">
        <f aca="false" t="array" ref="D3:D3">DDE("TWINDDE","RSFRecord","NGc1 NET.CHNG")</f>
        <v>-0.096</v>
      </c>
      <c r="E3" s="0" t="n">
        <f aca="false" t="array" ref="E3:E3">DDE("TWINDDE","RSFRecord","NGc1 CLS")</f>
        <v>5.516</v>
      </c>
      <c r="F3" s="0" t="n">
        <f aca="false">IF(E3="    ",0,E3)</f>
        <v>5.516</v>
      </c>
      <c r="G3" s="81" t="n">
        <f aca="false">IF(C3&gt;0,IF(C3&lt;100,C3,F3),F3)</f>
        <v>5.42</v>
      </c>
      <c r="H3" s="0" t="str">
        <f aca="false" t="array" ref="H3:H3">DDE("TWINDDE","RSFRecord","NGK0 LAST")</f>
        <v>+NA+</v>
      </c>
      <c r="J3" s="20" t="n">
        <v>2001</v>
      </c>
      <c r="M3" s="82"/>
      <c r="N3" s="83"/>
    </row>
    <row r="4" customFormat="false" ht="12.75" hidden="false" customHeight="false" outlineLevel="0" collapsed="false">
      <c r="A4" s="20" t="s">
        <v>51</v>
      </c>
      <c r="B4" s="0" t="n">
        <f aca="false">DDE("TWINDDE","RSFRecord","NGc2 LAST")</f>
        <v>5.47</v>
      </c>
      <c r="C4" s="0" t="n">
        <f aca="false">IF(B4="    ",0,B4)</f>
        <v>5.47</v>
      </c>
      <c r="D4" s="0" t="n">
        <f aca="false">DDE("TWINDDE","RSFRecord","NGc2 NET.CHNG")</f>
        <v>-0.098</v>
      </c>
      <c r="E4" s="0" t="n">
        <f aca="false">DDE("TWINDDE","RSFRecord","NGc2 CLS")</f>
        <v>5.568</v>
      </c>
      <c r="F4" s="0" t="n">
        <f aca="false">IF(E4="    ",0,E4)</f>
        <v>5.568</v>
      </c>
      <c r="G4" s="81" t="n">
        <f aca="false">IF(C4&gt;0,IF(C4&lt;100,C4,F4),F4)</f>
        <v>5.47</v>
      </c>
      <c r="J4" s="20" t="n">
        <v>2002</v>
      </c>
      <c r="K4" s="0" t="n">
        <f aca="false">O43</f>
        <v>0.0169999999999999</v>
      </c>
      <c r="M4" s="82"/>
      <c r="N4" s="83"/>
    </row>
    <row r="5" customFormat="false" ht="12.75" hidden="false" customHeight="false" outlineLevel="0" collapsed="false">
      <c r="A5" s="20" t="s">
        <v>52</v>
      </c>
      <c r="B5" s="0" t="n">
        <f aca="false">DDE("TWINDDE","RSFRecord","NGc3 LAST")</f>
        <v>5.558</v>
      </c>
      <c r="C5" s="0" t="n">
        <f aca="false">IF(B5="    ",0,B5)</f>
        <v>5.558</v>
      </c>
      <c r="D5" s="0" t="n">
        <f aca="false">DDE("TWINDDE","RSFRecord","NGc3 NET.CHNG")</f>
        <v>-0.062</v>
      </c>
      <c r="E5" s="0" t="n">
        <f aca="false">DDE("TWINDDE","RSFRecord","NGc3 CLS")</f>
        <v>5.62</v>
      </c>
      <c r="F5" s="0" t="n">
        <f aca="false">IF(E5="    ",0,E5)</f>
        <v>5.62</v>
      </c>
      <c r="G5" s="81" t="n">
        <f aca="false">IF(C5&gt;0,IF(C5&lt;100,C5,F5),F5)</f>
        <v>5.558</v>
      </c>
      <c r="J5" s="20" t="n">
        <v>2003</v>
      </c>
      <c r="K5" s="0" t="n">
        <f aca="false">O55</f>
        <v>0.0425</v>
      </c>
      <c r="M5" s="82"/>
      <c r="N5" s="83"/>
    </row>
    <row r="6" customFormat="false" ht="12.75" hidden="false" customHeight="false" outlineLevel="0" collapsed="false">
      <c r="A6" s="20" t="s">
        <v>53</v>
      </c>
      <c r="B6" s="0" t="n">
        <f aca="false">DDE("TWINDDE","RSFRecord","NGc4 LAST")</f>
        <v>0</v>
      </c>
      <c r="C6" s="0" t="n">
        <f aca="false">IF(B6="    ",0,B6)</f>
        <v>0</v>
      </c>
      <c r="D6" s="0" t="n">
        <f aca="false">DDE("TWINDDE","RSFRecord","NGc4 NET.CHNG")</f>
        <v>0</v>
      </c>
      <c r="E6" s="0" t="n">
        <f aca="false">DDE("TWINDDE","RSFRecord","NGc4 CLS")</f>
        <v>5.655</v>
      </c>
      <c r="F6" s="0" t="n">
        <f aca="false">IF(E6="    ",0,E6)</f>
        <v>5.655</v>
      </c>
      <c r="G6" s="81" t="n">
        <f aca="false">IF(C6&gt;0,IF(C6&lt;100,C6,F6),F6)</f>
        <v>5.655</v>
      </c>
      <c r="J6" s="20" t="n">
        <v>2004</v>
      </c>
      <c r="K6" s="0" t="n">
        <f aca="false">O67</f>
        <v>0.0474999999999999</v>
      </c>
      <c r="M6" s="82"/>
      <c r="N6" s="83"/>
    </row>
    <row r="7" customFormat="false" ht="12.75" hidden="false" customHeight="false" outlineLevel="0" collapsed="false">
      <c r="A7" s="20" t="s">
        <v>54</v>
      </c>
      <c r="B7" s="0" t="n">
        <f aca="false">DDE("TWINDDE","RSFRecord","NGc5 LAST")</f>
        <v>0</v>
      </c>
      <c r="C7" s="0" t="n">
        <f aca="false">IF(B7="    ",0,B7)</f>
        <v>0</v>
      </c>
      <c r="D7" s="0" t="n">
        <f aca="false">DDE("TWINDDE","RSFRecord","NGc5 NET.CHNG")</f>
        <v>0</v>
      </c>
      <c r="E7" s="0" t="n">
        <f aca="false">DDE("TWINDDE","RSFRecord","NGc5 CLS")</f>
        <v>5.645</v>
      </c>
      <c r="F7" s="0" t="n">
        <f aca="false">IF(E7="    ",0,E7)</f>
        <v>5.645</v>
      </c>
      <c r="G7" s="81" t="n">
        <f aca="false">IF(C7&gt;0,IF(C7&lt;100,C7,F7),F7)</f>
        <v>5.645</v>
      </c>
      <c r="J7" s="20" t="n">
        <v>2005</v>
      </c>
      <c r="K7" s="0" t="n">
        <f aca="false">O79</f>
        <v>0.0550000000000002</v>
      </c>
      <c r="M7" s="82"/>
      <c r="N7" s="83"/>
    </row>
    <row r="8" customFormat="false" ht="12.75" hidden="false" customHeight="false" outlineLevel="0" collapsed="false">
      <c r="A8" s="20" t="s">
        <v>55</v>
      </c>
      <c r="B8" s="0" t="n">
        <f aca="false">DDE("TWINDDE","RSFRecord","NGc6 LAST")</f>
        <v>0</v>
      </c>
      <c r="C8" s="0" t="n">
        <f aca="false">IF(B8="    ",0,B8)</f>
        <v>0</v>
      </c>
      <c r="D8" s="0" t="n">
        <f aca="false">DDE("TWINDDE","RSFRecord","NGc6 NET.CHNG")</f>
        <v>0</v>
      </c>
      <c r="E8" s="0" t="n">
        <f aca="false">DDE("TWINDDE","RSFRecord","NGc6 CLS")</f>
        <v>5.658</v>
      </c>
      <c r="F8" s="0" t="n">
        <f aca="false">IF(E8="    ",0,E8)</f>
        <v>5.658</v>
      </c>
      <c r="G8" s="81" t="n">
        <f aca="false">IF(C8&gt;0,IF(C8&lt;100,C8,F8),F8)</f>
        <v>5.658</v>
      </c>
      <c r="J8" s="20" t="n">
        <v>2006</v>
      </c>
      <c r="K8" s="0" t="n">
        <f aca="false">O91</f>
        <v>0.0600000000000001</v>
      </c>
      <c r="M8" s="82" t="n">
        <v>36526</v>
      </c>
      <c r="N8" s="83" t="n">
        <v>2.861</v>
      </c>
    </row>
    <row r="9" customFormat="false" ht="12.75" hidden="false" customHeight="false" outlineLevel="0" collapsed="false">
      <c r="A9" s="20" t="s">
        <v>56</v>
      </c>
      <c r="B9" s="0" t="n">
        <f aca="false">DDE("TWINDDE","RSFRecord","NGc7 LAST")</f>
        <v>0</v>
      </c>
      <c r="C9" s="0" t="n">
        <f aca="false">IF(B9="    ",0,B9)</f>
        <v>0</v>
      </c>
      <c r="D9" s="0" t="n">
        <f aca="false">DDE("TWINDDE","RSFRecord","NGc7 NET.CHNG")</f>
        <v>0</v>
      </c>
      <c r="E9" s="0" t="n">
        <f aca="false">DDE("TWINDDE","RSFRecord","NGc7 CLS")</f>
        <v>5.79</v>
      </c>
      <c r="F9" s="0" t="n">
        <f aca="false">IF(E9="    ",0,E9)</f>
        <v>5.79</v>
      </c>
      <c r="G9" s="81" t="n">
        <f aca="false">IF(C9&gt;0,IF(C9&lt;100,C9,F9),F9)</f>
        <v>5.79</v>
      </c>
      <c r="J9" s="20" t="n">
        <v>2007</v>
      </c>
      <c r="K9" s="0" t="n">
        <f aca="false">O103</f>
        <v>0.065</v>
      </c>
      <c r="M9" s="82" t="n">
        <v>36557</v>
      </c>
      <c r="N9" s="83" t="n">
        <v>2.732</v>
      </c>
    </row>
    <row r="10" customFormat="false" ht="12.75" hidden="false" customHeight="false" outlineLevel="0" collapsed="false">
      <c r="A10" s="20" t="s">
        <v>57</v>
      </c>
      <c r="B10" s="0" t="n">
        <f aca="false">DDE("TWINDDE","RSFRecord","NGc8 LAST")</f>
        <v>5.84</v>
      </c>
      <c r="C10" s="0" t="n">
        <f aca="false">IF(B10="    ",0,B10)</f>
        <v>5.84</v>
      </c>
      <c r="D10" s="0" t="n">
        <f aca="false">DDE("TWINDDE","RSFRecord","NGc8 NET.CHNG")</f>
        <v>-0.067</v>
      </c>
      <c r="E10" s="0" t="n">
        <f aca="false">DDE("TWINDDE","RSFRecord","NGc8 CLS")</f>
        <v>5.907</v>
      </c>
      <c r="F10" s="0" t="n">
        <f aca="false">IF(E10="    ",0,E10)</f>
        <v>5.907</v>
      </c>
      <c r="G10" s="81" t="n">
        <f aca="false">IF(C10&gt;0,IF(C10&lt;100,C10,F10),F10)</f>
        <v>5.84</v>
      </c>
      <c r="J10" s="20" t="n">
        <v>2008</v>
      </c>
      <c r="K10" s="0" t="n">
        <f aca="false">O115</f>
        <v>0.0699999999999998</v>
      </c>
      <c r="M10" s="82" t="n">
        <v>36586</v>
      </c>
      <c r="N10" s="83" t="n">
        <v>2.609</v>
      </c>
    </row>
    <row r="11" customFormat="false" ht="12.75" hidden="false" customHeight="false" outlineLevel="0" collapsed="false">
      <c r="A11" s="20" t="s">
        <v>58</v>
      </c>
      <c r="B11" s="0" t="n">
        <f aca="false">DDE("TWINDDE","RSFRecord","NGc9 LAST")</f>
        <v>0</v>
      </c>
      <c r="C11" s="0" t="n">
        <f aca="false">IF(B11="    ",0,B11)</f>
        <v>0</v>
      </c>
      <c r="D11" s="0" t="n">
        <f aca="false">DDE("TWINDDE","RSFRecord","NGc9 NET.CHNG")</f>
        <v>0</v>
      </c>
      <c r="E11" s="0" t="n">
        <f aca="false">DDE("TWINDDE","RSFRecord","NGc9 CLS")</f>
        <v>5.947</v>
      </c>
      <c r="F11" s="0" t="n">
        <f aca="false">IF(E11="    ",0,E11)</f>
        <v>5.947</v>
      </c>
      <c r="G11" s="81" t="n">
        <f aca="false">IF(C11&gt;0,IF(C11&lt;100,C11,F11),F11)</f>
        <v>5.947</v>
      </c>
      <c r="J11" s="20" t="n">
        <v>2009</v>
      </c>
      <c r="K11" s="0" t="n">
        <f aca="false">O127</f>
        <v>0.0750000000000002</v>
      </c>
      <c r="M11" s="82" t="n">
        <v>36617</v>
      </c>
      <c r="N11" s="83" t="n">
        <v>2.502</v>
      </c>
    </row>
    <row r="12" customFormat="false" ht="12.75" hidden="false" customHeight="false" outlineLevel="0" collapsed="false">
      <c r="A12" s="20" t="s">
        <v>59</v>
      </c>
      <c r="B12" s="0" t="n">
        <f aca="false">DDE("TWINDDE","RSFRecord","NGc10 LAST")</f>
        <v>0</v>
      </c>
      <c r="C12" s="0" t="n">
        <f aca="false">IF(B12="    ",0,B12)</f>
        <v>0</v>
      </c>
      <c r="D12" s="0" t="n">
        <f aca="false">DDE("TWINDDE","RSFRecord","NGc10 NET.CHNG")</f>
        <v>0</v>
      </c>
      <c r="E12" s="0" t="n">
        <f aca="false">DDE("TWINDDE","RSFRecord","NGc10 CLS")</f>
        <v>5.757</v>
      </c>
      <c r="F12" s="0" t="n">
        <f aca="false">IF(E12="    ",0,E12)</f>
        <v>5.757</v>
      </c>
      <c r="G12" s="81" t="n">
        <f aca="false">IF(C12&gt;0,IF(C12&lt;100,C12,F12),F12)</f>
        <v>5.757</v>
      </c>
      <c r="J12" s="20" t="n">
        <v>2010</v>
      </c>
      <c r="K12" s="0" t="n">
        <f aca="false">O139</f>
        <v>0.0800000000000001</v>
      </c>
      <c r="M12" s="82" t="n">
        <v>36647</v>
      </c>
      <c r="N12" s="83" t="n">
        <v>2.482</v>
      </c>
    </row>
    <row r="13" customFormat="false" ht="12.75" hidden="false" customHeight="false" outlineLevel="0" collapsed="false">
      <c r="A13" s="20" t="s">
        <v>60</v>
      </c>
      <c r="B13" s="0" t="n">
        <f aca="false" t="array" ref="B13:B13">DDE("TWINDDE","RSFRecord","NGc11 LAST")</f>
        <v>0</v>
      </c>
      <c r="C13" s="0" t="n">
        <f aca="false">IF(B13="    ",0,B13)</f>
        <v>0</v>
      </c>
      <c r="D13" s="0" t="n">
        <f aca="false" t="array" ref="D13:D13">DDE("TWINDDE","RSFRecord","NGc11 NET.CHNG")</f>
        <v>0</v>
      </c>
      <c r="E13" s="0" t="n">
        <f aca="false" t="array" ref="E13:E13">DDE("TWINDDE","RSFRecord","NGc11 CLS")</f>
        <v>5.415</v>
      </c>
      <c r="F13" s="0" t="n">
        <f aca="false">IF(E13="    ",0,E13)</f>
        <v>5.415</v>
      </c>
      <c r="G13" s="81" t="n">
        <f aca="false">IF(C13&gt;0,IF(C13&lt;100,C13,F13),F13)</f>
        <v>5.415</v>
      </c>
      <c r="J13" s="20" t="n">
        <v>2011</v>
      </c>
      <c r="K13" s="0" t="n">
        <f aca="false">O151</f>
        <v>0.085</v>
      </c>
      <c r="M13" s="82" t="n">
        <v>36678</v>
      </c>
      <c r="N13" s="83" t="n">
        <v>2.5</v>
      </c>
    </row>
    <row r="14" customFormat="false" ht="12.75" hidden="false" customHeight="false" outlineLevel="0" collapsed="false">
      <c r="A14" s="20" t="s">
        <v>61</v>
      </c>
      <c r="B14" s="0" t="n">
        <f aca="false">DDE("TWINDDE","RSFRecord","NGc12 LAST")</f>
        <v>0</v>
      </c>
      <c r="C14" s="0" t="n">
        <f aca="false">IF(B14="    ",0,B14)</f>
        <v>0</v>
      </c>
      <c r="D14" s="0" t="n">
        <f aca="false">DDE("TWINDDE","RSFRecord","NGc12 NET.CHNG")</f>
        <v>0</v>
      </c>
      <c r="E14" s="0" t="n">
        <f aca="false">DDE("TWINDDE","RSFRecord","NGc12 CLS")</f>
        <v>4.845</v>
      </c>
      <c r="F14" s="0" t="n">
        <f aca="false">IF(E14="    ",0,E14)</f>
        <v>4.845</v>
      </c>
      <c r="G14" s="81" t="n">
        <f aca="false">IF(C14&gt;0,IF(C14&lt;100,C14,F14),F14)</f>
        <v>4.845</v>
      </c>
      <c r="J14" s="20" t="n">
        <v>2012</v>
      </c>
      <c r="K14" s="0" t="n">
        <f aca="false">O163</f>
        <v>0.0874999999999999</v>
      </c>
      <c r="M14" s="82" t="n">
        <v>36708</v>
      </c>
      <c r="N14" s="83" t="n">
        <v>2.518</v>
      </c>
    </row>
    <row r="15" customFormat="false" ht="12.75" hidden="false" customHeight="false" outlineLevel="0" collapsed="false">
      <c r="A15" s="20" t="s">
        <v>62</v>
      </c>
      <c r="B15" s="0" t="n">
        <f aca="false">DDE("TWINDDE","RSFRecord","NGc13 LAST")</f>
        <v>0</v>
      </c>
      <c r="C15" s="0" t="n">
        <f aca="false">IF(B15="    ",0,B15)</f>
        <v>0</v>
      </c>
      <c r="D15" s="0" t="n">
        <f aca="false">DDE("TWINDDE","RSFRecord","NGc13 NET.CHNG")</f>
        <v>0</v>
      </c>
      <c r="E15" s="0" t="n">
        <f aca="false">DDE("TWINDDE","RSFRecord","NGc13 CLS")</f>
        <v>4.695</v>
      </c>
      <c r="F15" s="0" t="n">
        <f aca="false">IF(E15="    ",0,E15)</f>
        <v>4.695</v>
      </c>
      <c r="G15" s="81" t="n">
        <f aca="false">IF(C15&gt;0,IF(C15&lt;100,C15,F15),F15)</f>
        <v>4.695</v>
      </c>
      <c r="J15" s="20" t="n">
        <v>2013</v>
      </c>
      <c r="K15" s="0" t="n">
        <f aca="false">O175</f>
        <v>0.0899999999999999</v>
      </c>
      <c r="M15" s="82" t="n">
        <v>36739</v>
      </c>
      <c r="N15" s="83" t="n">
        <v>2.535</v>
      </c>
    </row>
    <row r="16" customFormat="false" ht="12.75" hidden="false" customHeight="false" outlineLevel="0" collapsed="false">
      <c r="A16" s="20" t="s">
        <v>63</v>
      </c>
      <c r="B16" s="0" t="n">
        <f aca="false">DDE("TWINDDE","RSFRecord","NGc14 LAST")</f>
        <v>0</v>
      </c>
      <c r="C16" s="0" t="n">
        <f aca="false">IF(B16="    ",0,B16)</f>
        <v>0</v>
      </c>
      <c r="D16" s="0" t="n">
        <f aca="false">DDE("TWINDDE","RSFRecord","NGc14 NET.CHNG")</f>
        <v>0</v>
      </c>
      <c r="E16" s="0" t="n">
        <f aca="false">DDE("TWINDDE","RSFRecord","NGc14 CLS")</f>
        <v>4.706</v>
      </c>
      <c r="F16" s="0" t="n">
        <f aca="false">IF(E16="    ",0,E16)</f>
        <v>4.706</v>
      </c>
      <c r="G16" s="81" t="n">
        <f aca="false">IF(C16&gt;0,IF(C16&lt;100,C16,F16),F16)</f>
        <v>4.706</v>
      </c>
      <c r="J16" s="20" t="n">
        <v>2014</v>
      </c>
      <c r="K16" s="0" t="n">
        <f aca="false">O176</f>
        <v>0.0924999999999998</v>
      </c>
      <c r="M16" s="82" t="n">
        <v>36770</v>
      </c>
      <c r="N16" s="83" t="n">
        <v>2.555</v>
      </c>
    </row>
    <row r="17" customFormat="false" ht="12.75" hidden="false" customHeight="false" outlineLevel="0" collapsed="false">
      <c r="A17" s="20" t="s">
        <v>64</v>
      </c>
      <c r="B17" s="0" t="n">
        <f aca="false">DDE("TWINDDE","RSFRecord","NGc15 LAST")</f>
        <v>0</v>
      </c>
      <c r="C17" s="0" t="n">
        <f aca="false">IF(B17="    ",0,B17)</f>
        <v>0</v>
      </c>
      <c r="D17" s="0" t="n">
        <f aca="false">DDE("TWINDDE","RSFRecord","NGc15 NET.CHNG")</f>
        <v>0</v>
      </c>
      <c r="E17" s="0" t="n">
        <f aca="false">DDE("TWINDDE","RSFRecord","NGc15 CLS")</f>
        <v>4.74</v>
      </c>
      <c r="F17" s="0" t="n">
        <f aca="false">IF(E17="    ",0,E17)</f>
        <v>4.74</v>
      </c>
      <c r="G17" s="81" t="n">
        <f aca="false">IF(C17&gt;0,IF(C17&lt;100,C17,F17),F17)</f>
        <v>4.74</v>
      </c>
      <c r="M17" s="82" t="n">
        <v>36800</v>
      </c>
      <c r="N17" s="83" t="n">
        <v>2.587</v>
      </c>
    </row>
    <row r="18" customFormat="false" ht="12.75" hidden="false" customHeight="false" outlineLevel="0" collapsed="false">
      <c r="A18" s="20" t="s">
        <v>65</v>
      </c>
      <c r="B18" s="0" t="n">
        <f aca="false">DDE("TWINDDE","RSFRecord","NGc16 LAST")</f>
        <v>0</v>
      </c>
      <c r="C18" s="0" t="n">
        <f aca="false">IF(B18="    ",0,B18)</f>
        <v>0</v>
      </c>
      <c r="D18" s="0" t="n">
        <f aca="false">DDE("TWINDDE","RSFRecord","NGc16 NET.CHNG")</f>
        <v>0</v>
      </c>
      <c r="E18" s="0" t="n">
        <f aca="false">DDE("TWINDDE","RSFRecord","NGc16 cls")</f>
        <v>4.75</v>
      </c>
      <c r="F18" s="0" t="n">
        <f aca="false">IF(E18="    ",0,E18)</f>
        <v>4.75</v>
      </c>
      <c r="G18" s="81" t="n">
        <f aca="false">IF(C18&gt;0,IF(C18&lt;100,C18,F18),F18)</f>
        <v>4.75</v>
      </c>
      <c r="M18" s="82" t="n">
        <v>36831</v>
      </c>
      <c r="N18" s="83" t="n">
        <v>2.563</v>
      </c>
    </row>
    <row r="19" customFormat="false" ht="12.75" hidden="false" customHeight="false" outlineLevel="0" collapsed="false">
      <c r="A19" s="20" t="s">
        <v>66</v>
      </c>
      <c r="B19" s="0" t="n">
        <f aca="false">DDE("TWINDDE","RSFRecord","NGc17 LAST")</f>
        <v>0</v>
      </c>
      <c r="C19" s="0" t="n">
        <f aca="false">IF(B19="    ",0,B19)</f>
        <v>0</v>
      </c>
      <c r="D19" s="0" t="n">
        <f aca="false">DDE("TWINDDE","RSFRecord","NGc17 NET.CHNG")</f>
        <v>0</v>
      </c>
      <c r="E19" s="0" t="n">
        <f aca="false">DDE("TWINDDE","RSFRecord","NGc17 cls")</f>
        <v>4.729</v>
      </c>
      <c r="F19" s="0" t="n">
        <f aca="false">IF(E19="    ",0,E19)</f>
        <v>4.729</v>
      </c>
      <c r="G19" s="81" t="n">
        <f aca="false">IF(C19&gt;0,IF(C19&lt;100,C19,F19),F19)</f>
        <v>4.729</v>
      </c>
      <c r="M19" s="82" t="n">
        <v>36861</v>
      </c>
      <c r="N19" s="83" t="n">
        <v>2.693</v>
      </c>
    </row>
    <row r="20" customFormat="false" ht="12.75" hidden="false" customHeight="false" outlineLevel="0" collapsed="false">
      <c r="A20" s="20" t="s">
        <v>67</v>
      </c>
      <c r="B20" s="0" t="n">
        <f aca="false">DDE("TWINDDE","RSFRecord","NGc18 LAST")</f>
        <v>0</v>
      </c>
      <c r="C20" s="0" t="n">
        <f aca="false">IF(B20="    ",0,B20)</f>
        <v>0</v>
      </c>
      <c r="D20" s="0" t="n">
        <f aca="false">DDE("TWINDDE","RSFRecord","NGc18 NET.CHNG")</f>
        <v>0</v>
      </c>
      <c r="E20" s="0" t="n">
        <f aca="false">DDE("TWINDDE","RSFRecord","NGc18 cls")</f>
        <v>4.735</v>
      </c>
      <c r="F20" s="0" t="n">
        <f aca="false">IF(E20="    ",0,E20)</f>
        <v>4.735</v>
      </c>
      <c r="G20" s="81" t="n">
        <f aca="false">IF(C20&gt;0,IF(C20&lt;100,C20,F20),F20)</f>
        <v>4.735</v>
      </c>
      <c r="M20" s="82" t="n">
        <v>36892</v>
      </c>
      <c r="N20" s="83" t="n">
        <v>2.726</v>
      </c>
      <c r="O20" s="0" t="n">
        <f aca="false">N20-N8</f>
        <v>-0.135</v>
      </c>
    </row>
    <row r="21" customFormat="false" ht="12.75" hidden="false" customHeight="false" outlineLevel="0" collapsed="false">
      <c r="A21" s="20" t="s">
        <v>68</v>
      </c>
      <c r="B21" s="0" t="n">
        <f aca="false">DDE("TWINDDE","RSFRecord","NGc19 LAST")</f>
        <v>0</v>
      </c>
      <c r="C21" s="0" t="n">
        <f aca="false">IF(B21="    ",0,B21)</f>
        <v>0</v>
      </c>
      <c r="D21" s="0" t="n">
        <f aca="false">DDE("TWINDDE","RSFRecord","NGc19 NET.CHNG")</f>
        <v>0</v>
      </c>
      <c r="E21" s="0" t="n">
        <f aca="false">DDE("TWINDDE","RSFRecord","NGc19 cls")</f>
        <v>4.855</v>
      </c>
      <c r="F21" s="0" t="n">
        <f aca="false">IF(E21="    ",0,E21)</f>
        <v>4.855</v>
      </c>
      <c r="G21" s="81" t="n">
        <f aca="false">IF(C21&gt;0,IF(C21&lt;100,C21,F21),F21)</f>
        <v>4.855</v>
      </c>
      <c r="M21" s="82" t="n">
        <v>36923</v>
      </c>
      <c r="N21" s="83" t="n">
        <v>2.612</v>
      </c>
      <c r="O21" s="0" t="n">
        <f aca="false">N21-N9</f>
        <v>-0.12</v>
      </c>
    </row>
    <row r="22" customFormat="false" ht="12.75" hidden="false" customHeight="false" outlineLevel="0" collapsed="false">
      <c r="A22" s="20" t="s">
        <v>69</v>
      </c>
      <c r="B22" s="0" t="n">
        <f aca="false">DDE("TWINDDE","RSFRecord","NGc20 LAST")</f>
        <v>0</v>
      </c>
      <c r="C22" s="0" t="n">
        <f aca="false">IF(B22="    ",0,B22)</f>
        <v>0</v>
      </c>
      <c r="D22" s="0" t="n">
        <f aca="false">DDE("TWINDDE","RSFRecord","NGc20 NET.CHNG")</f>
        <v>0</v>
      </c>
      <c r="E22" s="0" t="n">
        <f aca="false">DDE("TWINDDE","RSFRecord","NGc20 cls")</f>
        <v>4.959</v>
      </c>
      <c r="F22" s="0" t="n">
        <f aca="false">IF(E22="    ",0,E22)</f>
        <v>4.959</v>
      </c>
      <c r="G22" s="81" t="n">
        <f aca="false">IF(C22&gt;0,IF(C22&lt;100,C22,F22),F22)</f>
        <v>4.959</v>
      </c>
      <c r="M22" s="82" t="n">
        <v>36951</v>
      </c>
      <c r="N22" s="83" t="n">
        <v>2.506</v>
      </c>
      <c r="O22" s="0" t="n">
        <f aca="false">N22-N10</f>
        <v>-0.103</v>
      </c>
    </row>
    <row r="23" customFormat="false" ht="12.75" hidden="false" customHeight="false" outlineLevel="0" collapsed="false">
      <c r="A23" s="20" t="s">
        <v>70</v>
      </c>
      <c r="B23" s="0" t="n">
        <f aca="false" t="array" ref="B23:B23">DDE("TWINDDE","RSFRecord","NGc22 LAST")</f>
        <v>0</v>
      </c>
      <c r="C23" s="0" t="n">
        <f aca="false">IF(B23="    ",0,B23)</f>
        <v>0</v>
      </c>
      <c r="D23" s="0" t="n">
        <f aca="false" t="array" ref="D23:D23">DDE("TWINDDE","RSFRecord","NGc22 NET.CHNG")</f>
        <v>0</v>
      </c>
      <c r="E23" s="0" t="n">
        <f aca="false" t="array" ref="E23:E23">DDE("TWINDDE","RSFRecord","NGc22 cls")</f>
        <v>4.814</v>
      </c>
      <c r="F23" s="0" t="n">
        <f aca="false">IF(E23="    ",0,E23)</f>
        <v>4.814</v>
      </c>
      <c r="G23" s="81" t="n">
        <f aca="false">IF(C23&gt;0,IF(C23&lt;100,C23,F23),F23)</f>
        <v>4.814</v>
      </c>
      <c r="M23" s="82" t="n">
        <v>36982</v>
      </c>
      <c r="N23" s="83" t="n">
        <v>2.405</v>
      </c>
      <c r="O23" s="0" t="n">
        <f aca="false">N23-N11</f>
        <v>-0.0970000000000004</v>
      </c>
    </row>
    <row r="24" customFormat="false" ht="12.75" hidden="false" customHeight="false" outlineLevel="0" collapsed="false">
      <c r="A24" s="20" t="s">
        <v>71</v>
      </c>
      <c r="B24" s="0" t="n">
        <f aca="false">DDE("TWINDDE","RSFRecord","NGc22 LAST")</f>
        <v>0</v>
      </c>
      <c r="C24" s="0" t="n">
        <f aca="false">IF(B24="    ",0,B24)</f>
        <v>0</v>
      </c>
      <c r="D24" s="0" t="n">
        <f aca="false">DDE("TWINDDE","RSFRecord","NGc22 NET.CHNG")</f>
        <v>0</v>
      </c>
      <c r="E24" s="0" t="n">
        <f aca="false">DDE("TWINDDE","RSFRecord","NGc22 cls")</f>
        <v>4.814</v>
      </c>
      <c r="F24" s="0" t="n">
        <f aca="false">IF(E24="    ",0,E24)</f>
        <v>4.814</v>
      </c>
      <c r="G24" s="81" t="n">
        <f aca="false">IF(C24&gt;0,IF(C24&lt;100,C24,F24),F24)</f>
        <v>4.814</v>
      </c>
      <c r="M24" s="82" t="n">
        <v>37012</v>
      </c>
      <c r="N24" s="83" t="n">
        <v>2.381</v>
      </c>
      <c r="O24" s="0" t="n">
        <f aca="false">N24-N12</f>
        <v>-0.101</v>
      </c>
    </row>
    <row r="25" customFormat="false" ht="12.75" hidden="false" customHeight="false" outlineLevel="0" collapsed="false">
      <c r="A25" s="20" t="s">
        <v>72</v>
      </c>
      <c r="B25" s="0" t="n">
        <f aca="false">DDE("TWINDDE","RSFRecord","NGc23 LAST")</f>
        <v>0</v>
      </c>
      <c r="C25" s="0" t="n">
        <f aca="false">IF(B25="    ",0,B25)</f>
        <v>0</v>
      </c>
      <c r="D25" s="0" t="n">
        <f aca="false">DDE("TWINDDE","RSFRecord","NGc23 NET.CHNG")</f>
        <v>0</v>
      </c>
      <c r="E25" s="0" t="n">
        <f aca="false">DDE("TWINDDE","RSFRecord","NGc23 cls")</f>
        <v>4.575</v>
      </c>
      <c r="F25" s="0" t="n">
        <f aca="false">IF(E25="    ",0,E25)</f>
        <v>4.575</v>
      </c>
      <c r="G25" s="81" t="n">
        <f aca="false">IF(C25&gt;0,IF(C25&lt;100,C25,F25),F25)</f>
        <v>4.575</v>
      </c>
      <c r="M25" s="82" t="n">
        <v>37043</v>
      </c>
      <c r="N25" s="83" t="n">
        <v>2.395</v>
      </c>
      <c r="O25" s="0" t="n">
        <f aca="false">N25-N13</f>
        <v>-0.105</v>
      </c>
    </row>
    <row r="26" customFormat="false" ht="12.75" hidden="false" customHeight="false" outlineLevel="0" collapsed="false">
      <c r="A26" s="20" t="s">
        <v>73</v>
      </c>
      <c r="B26" s="0" t="n">
        <f aca="false">DDE("TWINDDE","RSFRecord","NGc24 LAST")</f>
        <v>0</v>
      </c>
      <c r="C26" s="0" t="n">
        <f aca="false">IF(B26="    ",0,B26)</f>
        <v>0</v>
      </c>
      <c r="D26" s="0" t="n">
        <f aca="false">DDE("TWINDDE","RSFRecord","NGc24 NET.CHNG")</f>
        <v>0</v>
      </c>
      <c r="E26" s="0" t="n">
        <f aca="false">DDE("TWINDDE","RSFRecord","NGc24 cls")</f>
        <v>4.265</v>
      </c>
      <c r="F26" s="0" t="n">
        <f aca="false">IF(E26="    ",0,E26)</f>
        <v>4.265</v>
      </c>
      <c r="G26" s="81" t="n">
        <f aca="false">IF(C26&gt;0,IF(C26&lt;100,C26,F26),F26)</f>
        <v>4.265</v>
      </c>
      <c r="M26" s="82" t="n">
        <v>37073</v>
      </c>
      <c r="N26" s="83" t="n">
        <v>2.407</v>
      </c>
      <c r="O26" s="0" t="n">
        <f aca="false">N26-N14</f>
        <v>-0.111</v>
      </c>
    </row>
    <row r="27" customFormat="false" ht="12.75" hidden="false" customHeight="false" outlineLevel="0" collapsed="false">
      <c r="A27" s="20" t="s">
        <v>74</v>
      </c>
      <c r="B27" s="0" t="n">
        <f aca="false">DDE("TWINDDE","RSFRecord","NGc25 LAST")</f>
        <v>0</v>
      </c>
      <c r="C27" s="0" t="n">
        <f aca="false">IF(B27="    ",0,B27)</f>
        <v>0</v>
      </c>
      <c r="D27" s="0" t="n">
        <f aca="false">DDE("TWINDDE","RSFRecord","NGc25 NET.CHNG")</f>
        <v>0</v>
      </c>
      <c r="E27" s="0" t="n">
        <f aca="false">DDE("TWINDDE","RSFRecord","NGc25 cls")</f>
        <v>4.199</v>
      </c>
      <c r="F27" s="0" t="n">
        <f aca="false">IF(E27="    ",0,E27)</f>
        <v>4.199</v>
      </c>
      <c r="G27" s="81" t="n">
        <f aca="false">IF(C27&gt;0,IF(C27&lt;100,C27,F27),F27)</f>
        <v>4.199</v>
      </c>
      <c r="M27" s="82" t="n">
        <v>37104</v>
      </c>
      <c r="N27" s="83" t="n">
        <v>2.42</v>
      </c>
      <c r="O27" s="0" t="n">
        <f aca="false">N27-N15</f>
        <v>-0.115</v>
      </c>
    </row>
    <row r="28" customFormat="false" ht="12.75" hidden="false" customHeight="false" outlineLevel="0" collapsed="false">
      <c r="A28" s="20" t="s">
        <v>75</v>
      </c>
      <c r="B28" s="0" t="n">
        <f aca="false">DDE("TWINDDE","RSFRecord","NGc26 LAST")</f>
        <v>0</v>
      </c>
      <c r="C28" s="0" t="n">
        <f aca="false">IF(B28="    ",0,B28)</f>
        <v>0</v>
      </c>
      <c r="D28" s="0" t="n">
        <f aca="false">DDE("TWINDDE","RSFRecord","NGc26 NET.CHNG")</f>
        <v>0</v>
      </c>
      <c r="E28" s="0" t="n">
        <f aca="false">DDE("TWINDDE","RSFRecord","NGc26 cls")</f>
        <v>4.212</v>
      </c>
      <c r="F28" s="0" t="n">
        <f aca="false">IF(E28="    ",0,E28)</f>
        <v>4.212</v>
      </c>
      <c r="G28" s="81" t="n">
        <f aca="false">IF(C28&gt;0,IF(C28&lt;100,C28,F28),F28)</f>
        <v>4.212</v>
      </c>
      <c r="M28" s="82" t="n">
        <v>37135</v>
      </c>
      <c r="N28" s="83" t="n">
        <v>2.43</v>
      </c>
      <c r="O28" s="0" t="n">
        <f aca="false">N28-N16</f>
        <v>-0.125</v>
      </c>
    </row>
    <row r="29" customFormat="false" ht="12.75" hidden="false" customHeight="false" outlineLevel="0" collapsed="false">
      <c r="A29" s="20" t="s">
        <v>76</v>
      </c>
      <c r="B29" s="0" t="n">
        <f aca="false">DDE("TWINDDE","RSFRecord","NGc27 LAST")</f>
        <v>0</v>
      </c>
      <c r="C29" s="0" t="n">
        <f aca="false">IF(B29="    ",0,B29)</f>
        <v>0</v>
      </c>
      <c r="D29" s="0" t="n">
        <f aca="false">DDE("TWINDDE","RSFRecord","NGc27 NET.CHNG")</f>
        <v>0</v>
      </c>
      <c r="E29" s="0" t="n">
        <f aca="false">DDE("TWINDDE","RSFRecord","NGc27 cls")</f>
        <v>4.237</v>
      </c>
      <c r="F29" s="0" t="n">
        <f aca="false">IF(E29="    ",0,E29)</f>
        <v>4.237</v>
      </c>
      <c r="G29" s="81" t="n">
        <f aca="false">IF(C29&gt;0,IF(C29&lt;100,C29,F29),F29)</f>
        <v>4.237</v>
      </c>
      <c r="M29" s="82" t="n">
        <v>37165</v>
      </c>
      <c r="N29" s="83" t="n">
        <v>2.46</v>
      </c>
      <c r="O29" s="0" t="n">
        <f aca="false">N29-N17</f>
        <v>-0.127</v>
      </c>
    </row>
    <row r="30" customFormat="false" ht="12.75" hidden="false" customHeight="false" outlineLevel="0" collapsed="false">
      <c r="A30" s="20" t="s">
        <v>77</v>
      </c>
      <c r="B30" s="0" t="n">
        <f aca="false">DDE("TWINDDE","RSFRecord","NGc28 LAST")</f>
        <v>0</v>
      </c>
      <c r="C30" s="0" t="n">
        <f aca="false">IF(B30="    ",0,B30)</f>
        <v>0</v>
      </c>
      <c r="D30" s="0" t="n">
        <f aca="false">DDE("TWINDDE","RSFRecord","NGc28 NET.CHNG")</f>
        <v>0</v>
      </c>
      <c r="E30" s="0" t="n">
        <f aca="false">DDE("TWINDDE","RSFRecord","NGc28 cls")</f>
        <v>4.262</v>
      </c>
      <c r="F30" s="0" t="n">
        <f aca="false">IF(E30="    ",0,E30)</f>
        <v>4.262</v>
      </c>
      <c r="G30" s="81" t="n">
        <f aca="false">IF(C30&gt;0,IF(C30&lt;100,C30,F30),F30)</f>
        <v>4.262</v>
      </c>
      <c r="M30" s="82" t="n">
        <v>37196</v>
      </c>
      <c r="N30" s="83" t="n">
        <v>2.588</v>
      </c>
      <c r="O30" s="0" t="n">
        <f aca="false">N30-N18</f>
        <v>0.0249999999999999</v>
      </c>
    </row>
    <row r="31" customFormat="false" ht="12.75" hidden="false" customHeight="false" outlineLevel="0" collapsed="false">
      <c r="A31" s="20" t="s">
        <v>78</v>
      </c>
      <c r="B31" s="0" t="n">
        <f aca="false">DDE("TWINDDE","RSFRecord","NGc29 LAST")</f>
        <v>0</v>
      </c>
      <c r="C31" s="0" t="n">
        <f aca="false">IF(B31="    ",0,B31)</f>
        <v>0</v>
      </c>
      <c r="D31" s="0" t="n">
        <f aca="false">DDE("TWINDDE","RSFRecord","NGc29 NET.CHNG")</f>
        <v>0</v>
      </c>
      <c r="E31" s="0" t="n">
        <f aca="false">DDE("TWINDDE","RSFRecord","NGc29 cls")</f>
        <v>4.252</v>
      </c>
      <c r="F31" s="0" t="n">
        <f aca="false">IF(E31="    ",0,E31)</f>
        <v>4.252</v>
      </c>
      <c r="G31" s="81" t="n">
        <f aca="false">IF(C31&gt;0,IF(C31&lt;100,C31,F31),F31)</f>
        <v>4.252</v>
      </c>
      <c r="M31" s="82" t="n">
        <v>37226</v>
      </c>
      <c r="N31" s="83" t="n">
        <v>2.713</v>
      </c>
      <c r="O31" s="0" t="n">
        <f aca="false">N31-N19</f>
        <v>0.02</v>
      </c>
    </row>
    <row r="32" customFormat="false" ht="12.75" hidden="false" customHeight="false" outlineLevel="0" collapsed="false">
      <c r="A32" s="20" t="s">
        <v>79</v>
      </c>
      <c r="B32" s="0" t="n">
        <f aca="false">DDE("TWINDDE","RSFRecord","NGc30 LAST")</f>
        <v>0</v>
      </c>
      <c r="C32" s="0" t="n">
        <f aca="false">IF(B32="    ",0,B32)</f>
        <v>0</v>
      </c>
      <c r="D32" s="0" t="n">
        <f aca="false">DDE("TWINDDE","RSFRecord","NGc30 NET.CHNG")</f>
        <v>0</v>
      </c>
      <c r="E32" s="0" t="n">
        <f aca="false">DDE("TWINDDE","RSFRecord","NGc30 cls")</f>
        <v>4.252</v>
      </c>
      <c r="F32" s="0" t="n">
        <f aca="false">IF(E32="    ",0,E32)</f>
        <v>4.252</v>
      </c>
      <c r="G32" s="81" t="n">
        <f aca="false">IF(C32&gt;0,IF(C32&lt;100,C32,F32),F32)</f>
        <v>4.252</v>
      </c>
      <c r="M32" s="82" t="n">
        <v>37257</v>
      </c>
      <c r="N32" s="83" t="n">
        <v>2.74</v>
      </c>
      <c r="O32" s="0" t="n">
        <f aca="false">N32-N20</f>
        <v>0.0139999999999998</v>
      </c>
    </row>
    <row r="33" customFormat="false" ht="12.75" hidden="false" customHeight="false" outlineLevel="0" collapsed="false">
      <c r="A33" s="20" t="s">
        <v>80</v>
      </c>
      <c r="B33" s="0" t="n">
        <f aca="false" t="array" ref="B33:B33">DDE("TWINDDE","RSFRecord","NGc33 LAST")</f>
        <v>0</v>
      </c>
      <c r="C33" s="0" t="n">
        <f aca="false">IF(B33="    ",0,B33)</f>
        <v>0</v>
      </c>
      <c r="D33" s="0" t="n">
        <f aca="false" t="array" ref="D33:D33">DDE("TWINDDE","RSFRecord","NGc33 NET.CHNG")</f>
        <v>0</v>
      </c>
      <c r="E33" s="0" t="n">
        <f aca="false" t="array" ref="E33:E33">DDE("TWINDDE","RSFRecord","NGc33 cls")</f>
        <v>4.522</v>
      </c>
      <c r="F33" s="0" t="n">
        <f aca="false">IF(E33="    ",0,E33)</f>
        <v>4.522</v>
      </c>
      <c r="G33" s="81" t="n">
        <f aca="false">IF(C33&gt;0,IF(C33&lt;100,C33,F33),F33)</f>
        <v>4.522</v>
      </c>
      <c r="M33" s="82" t="n">
        <v>37288</v>
      </c>
      <c r="N33" s="83" t="n">
        <v>2.635</v>
      </c>
      <c r="O33" s="0" t="n">
        <f aca="false">N33-N21</f>
        <v>0.0229999999999997</v>
      </c>
    </row>
    <row r="34" customFormat="false" ht="12.75" hidden="false" customHeight="false" outlineLevel="0" collapsed="false">
      <c r="A34" s="20" t="s">
        <v>81</v>
      </c>
      <c r="B34" s="0" t="n">
        <f aca="false">DDE("TWINDDE","RSFRecord","NGc32 LAST")</f>
        <v>0</v>
      </c>
      <c r="C34" s="0" t="n">
        <f aca="false">IF(B34="    ",0,B34)</f>
        <v>0</v>
      </c>
      <c r="D34" s="0" t="n">
        <f aca="false">DDE("TWINDDE","RSFRecord","NGc32 NET.CHNG")</f>
        <v>0</v>
      </c>
      <c r="E34" s="0" t="n">
        <f aca="false">DDE("TWINDDE","RSFRecord","NGc32 cls")</f>
        <v>4.482</v>
      </c>
      <c r="F34" s="0" t="n">
        <f aca="false">IF(E34="    ",0,E34)</f>
        <v>4.482</v>
      </c>
      <c r="G34" s="81" t="n">
        <f aca="false">IF(C34&gt;0,IF(C34&lt;100,C34,F34),F34)</f>
        <v>4.482</v>
      </c>
      <c r="M34" s="82" t="n">
        <v>37316</v>
      </c>
      <c r="N34" s="83" t="n">
        <v>2.53</v>
      </c>
      <c r="O34" s="0" t="n">
        <f aca="false">N34-N22</f>
        <v>0.024</v>
      </c>
    </row>
    <row r="35" customFormat="false" ht="12.75" hidden="false" customHeight="false" outlineLevel="0" collapsed="false">
      <c r="A35" s="20" t="s">
        <v>82</v>
      </c>
      <c r="B35" s="0" t="n">
        <f aca="false">DDE("TWINDDE","RSFRecord","NGc33 LAST")</f>
        <v>0</v>
      </c>
      <c r="C35" s="0" t="n">
        <f aca="false">IF(B35="    ",0,B35)</f>
        <v>0</v>
      </c>
      <c r="D35" s="0" t="n">
        <f aca="false">DDE("TWINDDE","RSFRecord","NGc33 NET.CHNG")</f>
        <v>0</v>
      </c>
      <c r="E35" s="0" t="n">
        <f aca="false">DDE("TWINDDE","RSFRecord","NGc33 cls")</f>
        <v>4.522</v>
      </c>
      <c r="F35" s="0" t="n">
        <f aca="false">IF(E35="    ",0,E35)</f>
        <v>4.522</v>
      </c>
      <c r="G35" s="81" t="n">
        <f aca="false">IF(C35&gt;0,IF(C35&lt;100,C35,F35),F35)</f>
        <v>4.522</v>
      </c>
      <c r="M35" s="82" t="n">
        <v>37347</v>
      </c>
      <c r="N35" s="83" t="n">
        <v>2.434</v>
      </c>
      <c r="O35" s="0" t="n">
        <f aca="false">N35-N23</f>
        <v>0.0290000000000004</v>
      </c>
    </row>
    <row r="36" customFormat="false" ht="12.75" hidden="false" customHeight="false" outlineLevel="0" collapsed="false">
      <c r="A36" s="20" t="s">
        <v>83</v>
      </c>
      <c r="B36" s="0" t="n">
        <f aca="false">DDE("TWINDDE","RSFRecord","NGc34 LAST")</f>
        <v>0</v>
      </c>
      <c r="C36" s="0" t="n">
        <f aca="false">IF(B36="    ",0,B36)</f>
        <v>0</v>
      </c>
      <c r="D36" s="0" t="n">
        <f aca="false">DDE("TWINDDE","RSFRecord","NGc34 NET.CHNG")</f>
        <v>0</v>
      </c>
      <c r="E36" s="0" t="n">
        <f aca="false">DDE("TWINDDE","RSFRecord","NGc34 cls")</f>
        <v>4.402</v>
      </c>
      <c r="F36" s="0" t="n">
        <f aca="false">IF(E36="    ",0,E36)</f>
        <v>4.402</v>
      </c>
      <c r="G36" s="81" t="n">
        <f aca="false">IF(C36&gt;0,IF(C36&lt;100,C36,F36),F36)</f>
        <v>4.402</v>
      </c>
      <c r="M36" s="82" t="n">
        <v>37377</v>
      </c>
      <c r="N36" s="83" t="n">
        <v>2.413</v>
      </c>
      <c r="O36" s="0" t="n">
        <f aca="false">N36-N24</f>
        <v>0.0320000000000005</v>
      </c>
    </row>
    <row r="37" customFormat="false" ht="12.75" hidden="false" customHeight="false" outlineLevel="0" collapsed="false">
      <c r="A37" s="20" t="s">
        <v>84</v>
      </c>
      <c r="B37" s="0" t="n">
        <f aca="false">DDE("TWINDDE","RSFRecord","NGc35 LAST")</f>
        <v>0</v>
      </c>
      <c r="C37" s="0" t="n">
        <f aca="false">IF(B37="    ",0,B37)</f>
        <v>0</v>
      </c>
      <c r="D37" s="0" t="n">
        <f aca="false">DDE("TWINDDE","RSFRecord","NGc35 NET.CHNG")</f>
        <v>0</v>
      </c>
      <c r="E37" s="0" t="n">
        <f aca="false">DDE("TWINDDE","RSFRecord","NGc35 cls")</f>
        <v>4.262</v>
      </c>
      <c r="F37" s="0" t="n">
        <f aca="false">IF(E37="    ",0,E37)</f>
        <v>4.262</v>
      </c>
      <c r="G37" s="81" t="n">
        <f aca="false">IF(C37&gt;0,IF(C37&lt;100,C37,F37),F37)</f>
        <v>4.262</v>
      </c>
      <c r="M37" s="82" t="n">
        <v>37408</v>
      </c>
      <c r="N37" s="83" t="n">
        <v>2.42</v>
      </c>
      <c r="O37" s="0" t="n">
        <f aca="false">N37-N25</f>
        <v>0.0249999999999999</v>
      </c>
    </row>
    <row r="38" customFormat="false" ht="12.75" hidden="false" customHeight="false" outlineLevel="0" collapsed="false">
      <c r="A38" s="20" t="s">
        <v>85</v>
      </c>
      <c r="B38" s="0" t="n">
        <f aca="false">DDE("TWINDDE","RSFRecord","NGc36 LAST")</f>
        <v>0</v>
      </c>
      <c r="C38" s="0" t="n">
        <f aca="false">IF(B38="    ",0,B38)</f>
        <v>0</v>
      </c>
      <c r="D38" s="0" t="n">
        <f aca="false">DDE("TWINDDE","RSFRecord","NGc36 NET.CHNG")</f>
        <v>0</v>
      </c>
      <c r="E38" s="0" t="n">
        <f aca="false">DDE("TWINDDE","RSFRecord","NGc36 cls")</f>
        <v>4.12</v>
      </c>
      <c r="F38" s="0" t="n">
        <f aca="false">IF(E38="    ",0,E38)</f>
        <v>4.12</v>
      </c>
      <c r="G38" s="81" t="n">
        <f aca="false">IF(C38&gt;0,IF(C38&lt;100,C38,F38),F38)</f>
        <v>4.12</v>
      </c>
      <c r="M38" s="82" t="n">
        <v>37438</v>
      </c>
      <c r="N38" s="83" t="n">
        <v>2.426</v>
      </c>
      <c r="O38" s="0" t="n">
        <f aca="false">N38-N26</f>
        <v>0.0190000000000001</v>
      </c>
    </row>
    <row r="39" customFormat="false" ht="12.75" hidden="false" customHeight="false" outlineLevel="0" collapsed="false">
      <c r="M39" s="82" t="n">
        <v>37469</v>
      </c>
      <c r="N39" s="83" t="n">
        <v>2.434</v>
      </c>
      <c r="O39" s="0" t="n">
        <f aca="false">N39-N27</f>
        <v>0.0140000000000002</v>
      </c>
    </row>
    <row r="40" customFormat="false" ht="12.75" hidden="false" customHeight="false" outlineLevel="0" collapsed="false">
      <c r="M40" s="82" t="n">
        <v>37500</v>
      </c>
      <c r="N40" s="83" t="n">
        <v>2.437</v>
      </c>
      <c r="O40" s="0" t="n">
        <f aca="false">N40-N28</f>
        <v>0.00700000000000012</v>
      </c>
    </row>
    <row r="41" customFormat="false" ht="12.75" hidden="false" customHeight="false" outlineLevel="0" collapsed="false">
      <c r="M41" s="82" t="n">
        <v>37530</v>
      </c>
      <c r="N41" s="83" t="n">
        <v>2.47</v>
      </c>
      <c r="O41" s="0" t="n">
        <f aca="false">N41-N29</f>
        <v>0.0100000000000002</v>
      </c>
    </row>
    <row r="42" customFormat="false" ht="12.75" hidden="false" customHeight="false" outlineLevel="0" collapsed="false">
      <c r="M42" s="82" t="n">
        <v>37561</v>
      </c>
      <c r="N42" s="83" t="n">
        <v>2.607</v>
      </c>
      <c r="O42" s="0" t="n">
        <f aca="false">N42-N30</f>
        <v>0.0189999999999997</v>
      </c>
    </row>
    <row r="43" customFormat="false" ht="12.75" hidden="false" customHeight="false" outlineLevel="0" collapsed="false">
      <c r="M43" s="82" t="n">
        <v>37591</v>
      </c>
      <c r="N43" s="83" t="n">
        <v>2.73</v>
      </c>
      <c r="O43" s="0" t="n">
        <f aca="false">N43-N31</f>
        <v>0.0169999999999999</v>
      </c>
    </row>
    <row r="44" customFormat="false" ht="12.75" hidden="false" customHeight="false" outlineLevel="0" collapsed="false">
      <c r="M44" s="82" t="n">
        <v>37622</v>
      </c>
      <c r="N44" s="83" t="n">
        <v>2.76</v>
      </c>
      <c r="O44" s="0" t="n">
        <f aca="false">N44-N32</f>
        <v>0.0199999999999996</v>
      </c>
    </row>
    <row r="45" customFormat="false" ht="12.75" hidden="false" customHeight="false" outlineLevel="0" collapsed="false">
      <c r="M45" s="82" t="n">
        <v>37653</v>
      </c>
      <c r="N45" s="83" t="n">
        <v>2.6775</v>
      </c>
      <c r="O45" s="0" t="n">
        <f aca="false">N45-N33</f>
        <v>0.0425000000000004</v>
      </c>
    </row>
    <row r="46" customFormat="false" ht="12.75" hidden="false" customHeight="false" outlineLevel="0" collapsed="false">
      <c r="M46" s="82" t="n">
        <v>37681</v>
      </c>
      <c r="N46" s="83" t="n">
        <v>2.5725</v>
      </c>
      <c r="O46" s="0" t="n">
        <f aca="false">N46-N34</f>
        <v>0.0425</v>
      </c>
    </row>
    <row r="47" customFormat="false" ht="12.75" hidden="false" customHeight="false" outlineLevel="0" collapsed="false">
      <c r="M47" s="82" t="n">
        <v>37712</v>
      </c>
      <c r="N47" s="83" t="n">
        <v>2.4765</v>
      </c>
      <c r="O47" s="0" t="n">
        <f aca="false">N47-N35</f>
        <v>0.0425</v>
      </c>
    </row>
    <row r="48" customFormat="false" ht="12.75" hidden="false" customHeight="false" outlineLevel="0" collapsed="false">
      <c r="M48" s="82" t="n">
        <v>37742</v>
      </c>
      <c r="N48" s="83" t="n">
        <v>2.4555</v>
      </c>
      <c r="O48" s="0" t="n">
        <f aca="false">N48-N36</f>
        <v>0.0425</v>
      </c>
    </row>
    <row r="49" customFormat="false" ht="12.75" hidden="false" customHeight="false" outlineLevel="0" collapsed="false">
      <c r="M49" s="82" t="n">
        <v>37773</v>
      </c>
      <c r="N49" s="83" t="n">
        <v>2.4625</v>
      </c>
      <c r="O49" s="0" t="n">
        <f aca="false">N49-N37</f>
        <v>0.0425</v>
      </c>
    </row>
    <row r="50" customFormat="false" ht="12.75" hidden="false" customHeight="false" outlineLevel="0" collapsed="false">
      <c r="M50" s="82" t="n">
        <v>37803</v>
      </c>
      <c r="N50" s="83" t="n">
        <v>2.4685</v>
      </c>
      <c r="O50" s="0" t="n">
        <f aca="false">N50-N38</f>
        <v>0.0425</v>
      </c>
    </row>
    <row r="51" customFormat="false" ht="12.75" hidden="false" customHeight="false" outlineLevel="0" collapsed="false">
      <c r="M51" s="82" t="n">
        <v>37834</v>
      </c>
      <c r="N51" s="83" t="n">
        <v>2.4765</v>
      </c>
      <c r="O51" s="0" t="n">
        <f aca="false">N51-N39</f>
        <v>0.0425</v>
      </c>
    </row>
    <row r="52" customFormat="false" ht="12.75" hidden="false" customHeight="false" outlineLevel="0" collapsed="false">
      <c r="M52" s="82" t="n">
        <v>37865</v>
      </c>
      <c r="N52" s="83" t="n">
        <v>2.4795</v>
      </c>
      <c r="O52" s="0" t="n">
        <f aca="false">N52-N40</f>
        <v>0.0425</v>
      </c>
    </row>
    <row r="53" customFormat="false" ht="12.75" hidden="false" customHeight="false" outlineLevel="0" collapsed="false">
      <c r="M53" s="82" t="n">
        <v>37895</v>
      </c>
      <c r="N53" s="83" t="n">
        <v>2.5125</v>
      </c>
      <c r="O53" s="0" t="n">
        <f aca="false">N53-N41</f>
        <v>0.0425</v>
      </c>
    </row>
    <row r="54" customFormat="false" ht="12.75" hidden="false" customHeight="false" outlineLevel="0" collapsed="false">
      <c r="M54" s="82" t="n">
        <v>37926</v>
      </c>
      <c r="N54" s="83" t="n">
        <v>2.6495</v>
      </c>
      <c r="O54" s="0" t="n">
        <f aca="false">N54-N42</f>
        <v>0.0425</v>
      </c>
    </row>
    <row r="55" customFormat="false" ht="12.75" hidden="false" customHeight="false" outlineLevel="0" collapsed="false">
      <c r="M55" s="82" t="n">
        <v>37956</v>
      </c>
      <c r="N55" s="83" t="n">
        <v>2.7725</v>
      </c>
      <c r="O55" s="0" t="n">
        <f aca="false">N55-N43</f>
        <v>0.0425</v>
      </c>
    </row>
    <row r="56" customFormat="false" ht="12.75" hidden="false" customHeight="false" outlineLevel="0" collapsed="false">
      <c r="M56" s="82" t="n">
        <v>37987</v>
      </c>
      <c r="N56" s="83" t="n">
        <v>2.8075</v>
      </c>
      <c r="O56" s="0" t="n">
        <f aca="false">N56-N44</f>
        <v>0.0475000000000003</v>
      </c>
    </row>
    <row r="57" customFormat="false" ht="12.75" hidden="false" customHeight="false" outlineLevel="0" collapsed="false">
      <c r="M57" s="82" t="n">
        <v>38018</v>
      </c>
      <c r="N57" s="83" t="n">
        <v>2.725</v>
      </c>
      <c r="O57" s="0" t="n">
        <f aca="false">N57-N45</f>
        <v>0.0474999999999999</v>
      </c>
    </row>
    <row r="58" customFormat="false" ht="12.75" hidden="false" customHeight="false" outlineLevel="0" collapsed="false">
      <c r="M58" s="82" t="n">
        <v>38047</v>
      </c>
      <c r="N58" s="83" t="n">
        <v>2.62</v>
      </c>
      <c r="O58" s="0" t="n">
        <f aca="false">N58-N46</f>
        <v>0.0475000000000003</v>
      </c>
    </row>
    <row r="59" customFormat="false" ht="12.75" hidden="false" customHeight="false" outlineLevel="0" collapsed="false">
      <c r="M59" s="82" t="n">
        <v>38078</v>
      </c>
      <c r="N59" s="83" t="n">
        <v>2.524</v>
      </c>
      <c r="O59" s="0" t="n">
        <f aca="false">N59-N47</f>
        <v>0.0474999999999999</v>
      </c>
    </row>
    <row r="60" customFormat="false" ht="12.75" hidden="false" customHeight="false" outlineLevel="0" collapsed="false">
      <c r="M60" s="82" t="n">
        <v>38108</v>
      </c>
      <c r="N60" s="83" t="n">
        <v>2.503</v>
      </c>
      <c r="O60" s="0" t="n">
        <f aca="false">N60-N48</f>
        <v>0.0474999999999999</v>
      </c>
    </row>
    <row r="61" customFormat="false" ht="12.75" hidden="false" customHeight="false" outlineLevel="0" collapsed="false">
      <c r="M61" s="82" t="n">
        <v>38139</v>
      </c>
      <c r="N61" s="83" t="n">
        <v>2.51</v>
      </c>
      <c r="O61" s="0" t="n">
        <f aca="false">N61-N49</f>
        <v>0.0474999999999999</v>
      </c>
    </row>
    <row r="62" customFormat="false" ht="12.75" hidden="false" customHeight="false" outlineLevel="0" collapsed="false">
      <c r="M62" s="82" t="n">
        <v>38169</v>
      </c>
      <c r="N62" s="83" t="n">
        <v>2.516</v>
      </c>
      <c r="O62" s="0" t="n">
        <f aca="false">N62-N50</f>
        <v>0.0474999999999999</v>
      </c>
    </row>
    <row r="63" customFormat="false" ht="12.75" hidden="false" customHeight="false" outlineLevel="0" collapsed="false">
      <c r="M63" s="82" t="n">
        <v>38200</v>
      </c>
      <c r="N63" s="83" t="n">
        <v>2.524</v>
      </c>
      <c r="O63" s="0" t="n">
        <f aca="false">N63-N51</f>
        <v>0.0474999999999999</v>
      </c>
    </row>
    <row r="64" customFormat="false" ht="12.75" hidden="false" customHeight="false" outlineLevel="0" collapsed="false">
      <c r="M64" s="82" t="n">
        <v>38231</v>
      </c>
      <c r="N64" s="83" t="n">
        <v>2.527</v>
      </c>
      <c r="O64" s="0" t="n">
        <f aca="false">N64-N52</f>
        <v>0.0474999999999999</v>
      </c>
    </row>
    <row r="65" customFormat="false" ht="12.75" hidden="false" customHeight="false" outlineLevel="0" collapsed="false">
      <c r="M65" s="82" t="n">
        <v>38261</v>
      </c>
      <c r="N65" s="83" t="n">
        <v>2.56</v>
      </c>
      <c r="O65" s="0" t="n">
        <f aca="false">N65-N53</f>
        <v>0.0474999999999999</v>
      </c>
    </row>
    <row r="66" customFormat="false" ht="12.75" hidden="false" customHeight="false" outlineLevel="0" collapsed="false">
      <c r="M66" s="82" t="n">
        <v>38292</v>
      </c>
      <c r="N66" s="83" t="n">
        <v>2.697</v>
      </c>
      <c r="O66" s="0" t="n">
        <f aca="false">N66-N54</f>
        <v>0.0475000000000003</v>
      </c>
    </row>
    <row r="67" customFormat="false" ht="12.75" hidden="false" customHeight="false" outlineLevel="0" collapsed="false">
      <c r="M67" s="82" t="n">
        <v>38322</v>
      </c>
      <c r="N67" s="83" t="n">
        <v>2.82</v>
      </c>
      <c r="O67" s="0" t="n">
        <f aca="false">N67-N55</f>
        <v>0.0474999999999999</v>
      </c>
    </row>
    <row r="68" customFormat="false" ht="12.75" hidden="false" customHeight="false" outlineLevel="0" collapsed="false">
      <c r="M68" s="82" t="n">
        <v>38353</v>
      </c>
      <c r="N68" s="83" t="n">
        <v>2.8625</v>
      </c>
      <c r="O68" s="0" t="n">
        <f aca="false">N68-N56</f>
        <v>0.0549999999999997</v>
      </c>
    </row>
    <row r="69" customFormat="false" ht="12.75" hidden="false" customHeight="false" outlineLevel="0" collapsed="false">
      <c r="M69" s="82" t="n">
        <v>38384</v>
      </c>
      <c r="N69" s="83" t="n">
        <v>2.78</v>
      </c>
      <c r="O69" s="0" t="n">
        <f aca="false">N69-N57</f>
        <v>0.0549999999999997</v>
      </c>
    </row>
    <row r="70" customFormat="false" ht="12.75" hidden="false" customHeight="false" outlineLevel="0" collapsed="false">
      <c r="M70" s="82" t="n">
        <v>38412</v>
      </c>
      <c r="N70" s="83" t="n">
        <v>2.675</v>
      </c>
      <c r="O70" s="0" t="n">
        <f aca="false">N70-N58</f>
        <v>0.0549999999999997</v>
      </c>
    </row>
    <row r="71" customFormat="false" ht="12.75" hidden="false" customHeight="false" outlineLevel="0" collapsed="false">
      <c r="M71" s="82" t="n">
        <v>38443</v>
      </c>
      <c r="N71" s="83" t="n">
        <v>2.579</v>
      </c>
      <c r="O71" s="0" t="n">
        <f aca="false">N71-N59</f>
        <v>0.0549999999999997</v>
      </c>
    </row>
    <row r="72" customFormat="false" ht="12.75" hidden="false" customHeight="false" outlineLevel="0" collapsed="false">
      <c r="M72" s="82" t="n">
        <v>38473</v>
      </c>
      <c r="N72" s="83" t="n">
        <v>2.558</v>
      </c>
      <c r="O72" s="0" t="n">
        <f aca="false">N72-N60</f>
        <v>0.0550000000000002</v>
      </c>
    </row>
    <row r="73" customFormat="false" ht="12.75" hidden="false" customHeight="false" outlineLevel="0" collapsed="false">
      <c r="M73" s="82" t="n">
        <v>38504</v>
      </c>
      <c r="N73" s="83" t="n">
        <v>2.565</v>
      </c>
      <c r="O73" s="0" t="n">
        <f aca="false">N73-N61</f>
        <v>0.0550000000000002</v>
      </c>
    </row>
    <row r="74" customFormat="false" ht="12.75" hidden="false" customHeight="false" outlineLevel="0" collapsed="false">
      <c r="M74" s="82" t="n">
        <v>38534</v>
      </c>
      <c r="N74" s="83" t="n">
        <v>2.571</v>
      </c>
      <c r="O74" s="0" t="n">
        <f aca="false">N74-N62</f>
        <v>0.0550000000000002</v>
      </c>
    </row>
    <row r="75" customFormat="false" ht="12.75" hidden="false" customHeight="false" outlineLevel="0" collapsed="false">
      <c r="M75" s="82" t="n">
        <v>38565</v>
      </c>
      <c r="N75" s="83" t="n">
        <v>2.579</v>
      </c>
      <c r="O75" s="0" t="n">
        <f aca="false">N75-N63</f>
        <v>0.0549999999999997</v>
      </c>
    </row>
    <row r="76" customFormat="false" ht="12.75" hidden="false" customHeight="false" outlineLevel="0" collapsed="false">
      <c r="M76" s="82" t="n">
        <v>38596</v>
      </c>
      <c r="N76" s="83" t="n">
        <v>2.582</v>
      </c>
      <c r="O76" s="0" t="n">
        <f aca="false">N76-N64</f>
        <v>0.0549999999999997</v>
      </c>
    </row>
    <row r="77" customFormat="false" ht="12.75" hidden="false" customHeight="false" outlineLevel="0" collapsed="false">
      <c r="M77" s="82" t="n">
        <v>38626</v>
      </c>
      <c r="N77" s="83" t="n">
        <v>2.615</v>
      </c>
      <c r="O77" s="0" t="n">
        <f aca="false">N77-N65</f>
        <v>0.0550000000000002</v>
      </c>
    </row>
    <row r="78" customFormat="false" ht="12.75" hidden="false" customHeight="false" outlineLevel="0" collapsed="false">
      <c r="M78" s="82" t="n">
        <v>38657</v>
      </c>
      <c r="N78" s="83" t="n">
        <v>2.752</v>
      </c>
      <c r="O78" s="0" t="n">
        <f aca="false">N78-N66</f>
        <v>0.0549999999999997</v>
      </c>
    </row>
    <row r="79" customFormat="false" ht="12.75" hidden="false" customHeight="false" outlineLevel="0" collapsed="false">
      <c r="M79" s="82" t="n">
        <v>38687</v>
      </c>
      <c r="N79" s="83" t="n">
        <v>2.875</v>
      </c>
      <c r="O79" s="0" t="n">
        <f aca="false">N79-N67</f>
        <v>0.0550000000000002</v>
      </c>
    </row>
    <row r="80" customFormat="false" ht="12.75" hidden="false" customHeight="false" outlineLevel="0" collapsed="false">
      <c r="M80" s="82" t="n">
        <v>38718</v>
      </c>
      <c r="N80" s="83" t="n">
        <v>2.9225</v>
      </c>
      <c r="O80" s="0" t="n">
        <f aca="false">N80-N68</f>
        <v>0.0600000000000001</v>
      </c>
    </row>
    <row r="81" customFormat="false" ht="12.75" hidden="false" customHeight="false" outlineLevel="0" collapsed="false">
      <c r="M81" s="82" t="n">
        <v>38749</v>
      </c>
      <c r="N81" s="83" t="n">
        <v>2.84</v>
      </c>
      <c r="O81" s="0" t="n">
        <f aca="false">N81-N69</f>
        <v>0.0600000000000001</v>
      </c>
    </row>
    <row r="82" customFormat="false" ht="12.75" hidden="false" customHeight="false" outlineLevel="0" collapsed="false">
      <c r="M82" s="82" t="n">
        <v>38777</v>
      </c>
      <c r="N82" s="83" t="n">
        <v>2.735</v>
      </c>
      <c r="O82" s="0" t="n">
        <f aca="false">N82-N70</f>
        <v>0.0600000000000001</v>
      </c>
    </row>
    <row r="83" customFormat="false" ht="12.75" hidden="false" customHeight="false" outlineLevel="0" collapsed="false">
      <c r="M83" s="82" t="n">
        <v>38808</v>
      </c>
      <c r="N83" s="83" t="n">
        <v>2.639</v>
      </c>
      <c r="O83" s="0" t="n">
        <f aca="false">N83-N71</f>
        <v>0.0600000000000001</v>
      </c>
    </row>
    <row r="84" customFormat="false" ht="12.75" hidden="false" customHeight="false" outlineLevel="0" collapsed="false">
      <c r="M84" s="82" t="n">
        <v>38838</v>
      </c>
      <c r="N84" s="83" t="n">
        <v>2.618</v>
      </c>
      <c r="O84" s="0" t="n">
        <f aca="false">N84-N72</f>
        <v>0.0600000000000001</v>
      </c>
    </row>
    <row r="85" customFormat="false" ht="12.75" hidden="false" customHeight="false" outlineLevel="0" collapsed="false">
      <c r="M85" s="82" t="n">
        <v>38869</v>
      </c>
      <c r="N85" s="83" t="n">
        <v>2.625</v>
      </c>
      <c r="O85" s="0" t="n">
        <f aca="false">N85-N73</f>
        <v>0.0600000000000001</v>
      </c>
    </row>
    <row r="86" customFormat="false" ht="12.75" hidden="false" customHeight="false" outlineLevel="0" collapsed="false">
      <c r="M86" s="82" t="n">
        <v>38899</v>
      </c>
      <c r="N86" s="83" t="n">
        <v>2.631</v>
      </c>
      <c r="O86" s="0" t="n">
        <f aca="false">N86-N74</f>
        <v>0.0600000000000001</v>
      </c>
    </row>
    <row r="87" customFormat="false" ht="12.75" hidden="false" customHeight="false" outlineLevel="0" collapsed="false">
      <c r="M87" s="82" t="n">
        <v>38930</v>
      </c>
      <c r="N87" s="83" t="n">
        <v>2.639</v>
      </c>
      <c r="O87" s="0" t="n">
        <f aca="false">N87-N75</f>
        <v>0.0600000000000001</v>
      </c>
    </row>
    <row r="88" customFormat="false" ht="12.75" hidden="false" customHeight="false" outlineLevel="0" collapsed="false">
      <c r="M88" s="82" t="n">
        <v>38961</v>
      </c>
      <c r="N88" s="83" t="n">
        <v>2.642</v>
      </c>
      <c r="O88" s="0" t="n">
        <f aca="false">N88-N76</f>
        <v>0.0600000000000001</v>
      </c>
    </row>
    <row r="89" customFormat="false" ht="12.75" hidden="false" customHeight="false" outlineLevel="0" collapsed="false">
      <c r="M89" s="82" t="n">
        <v>38991</v>
      </c>
      <c r="N89" s="83" t="n">
        <v>2.675</v>
      </c>
      <c r="O89" s="0" t="n">
        <f aca="false">N89-N77</f>
        <v>0.0599999999999996</v>
      </c>
    </row>
    <row r="90" customFormat="false" ht="12.75" hidden="false" customHeight="false" outlineLevel="0" collapsed="false">
      <c r="M90" s="82" t="n">
        <v>39022</v>
      </c>
      <c r="N90" s="83" t="n">
        <v>2.812</v>
      </c>
      <c r="O90" s="0" t="n">
        <f aca="false">N90-N78</f>
        <v>0.0600000000000001</v>
      </c>
    </row>
    <row r="91" customFormat="false" ht="12.75" hidden="false" customHeight="false" outlineLevel="0" collapsed="false">
      <c r="M91" s="82" t="n">
        <v>39052</v>
      </c>
      <c r="N91" s="83" t="n">
        <v>2.935</v>
      </c>
      <c r="O91" s="0" t="n">
        <f aca="false">N91-N79</f>
        <v>0.0600000000000001</v>
      </c>
    </row>
    <row r="92" customFormat="false" ht="12.75" hidden="false" customHeight="false" outlineLevel="0" collapsed="false">
      <c r="M92" s="82" t="n">
        <v>39083</v>
      </c>
      <c r="N92" s="83" t="n">
        <v>2.9875</v>
      </c>
      <c r="O92" s="0" t="n">
        <f aca="false">N92-N80</f>
        <v>0.065</v>
      </c>
    </row>
    <row r="93" customFormat="false" ht="12.75" hidden="false" customHeight="false" outlineLevel="0" collapsed="false">
      <c r="M93" s="82" t="n">
        <v>39114</v>
      </c>
      <c r="N93" s="83" t="n">
        <v>2.905</v>
      </c>
      <c r="O93" s="0" t="n">
        <f aca="false">N93-N81</f>
        <v>0.065</v>
      </c>
    </row>
    <row r="94" customFormat="false" ht="12.75" hidden="false" customHeight="false" outlineLevel="0" collapsed="false">
      <c r="M94" s="82" t="n">
        <v>39142</v>
      </c>
      <c r="N94" s="83" t="n">
        <v>2.8</v>
      </c>
      <c r="O94" s="0" t="n">
        <f aca="false">N94-N82</f>
        <v>0.065</v>
      </c>
    </row>
    <row r="95" customFormat="false" ht="12.75" hidden="false" customHeight="false" outlineLevel="0" collapsed="false">
      <c r="M95" s="82" t="n">
        <v>39173</v>
      </c>
      <c r="N95" s="83" t="n">
        <v>2.704</v>
      </c>
      <c r="O95" s="0" t="n">
        <f aca="false">N95-N83</f>
        <v>0.065</v>
      </c>
    </row>
    <row r="96" customFormat="false" ht="12.75" hidden="false" customHeight="false" outlineLevel="0" collapsed="false">
      <c r="M96" s="82" t="n">
        <v>39203</v>
      </c>
      <c r="N96" s="83" t="n">
        <v>2.683</v>
      </c>
      <c r="O96" s="0" t="n">
        <f aca="false">N96-N84</f>
        <v>0.065</v>
      </c>
    </row>
    <row r="97" customFormat="false" ht="12.75" hidden="false" customHeight="false" outlineLevel="0" collapsed="false">
      <c r="M97" s="82" t="n">
        <v>39234</v>
      </c>
      <c r="N97" s="83" t="n">
        <v>2.69</v>
      </c>
      <c r="O97" s="0" t="n">
        <f aca="false">N97-N85</f>
        <v>0.065</v>
      </c>
    </row>
    <row r="98" customFormat="false" ht="12.75" hidden="false" customHeight="false" outlineLevel="0" collapsed="false">
      <c r="M98" s="82" t="n">
        <v>39264</v>
      </c>
      <c r="N98" s="83" t="n">
        <v>2.696</v>
      </c>
      <c r="O98" s="0" t="n">
        <f aca="false">N98-N86</f>
        <v>0.065</v>
      </c>
    </row>
    <row r="99" customFormat="false" ht="12.75" hidden="false" customHeight="false" outlineLevel="0" collapsed="false">
      <c r="M99" s="82" t="n">
        <v>39295</v>
      </c>
      <c r="N99" s="83" t="n">
        <v>2.704</v>
      </c>
      <c r="O99" s="0" t="n">
        <f aca="false">N99-N87</f>
        <v>0.065</v>
      </c>
    </row>
    <row r="100" customFormat="false" ht="12.75" hidden="false" customHeight="false" outlineLevel="0" collapsed="false">
      <c r="M100" s="82" t="n">
        <v>39326</v>
      </c>
      <c r="N100" s="83" t="n">
        <v>2.707</v>
      </c>
      <c r="O100" s="0" t="n">
        <f aca="false">N100-N88</f>
        <v>0.065</v>
      </c>
    </row>
    <row r="101" customFormat="false" ht="12.75" hidden="false" customHeight="false" outlineLevel="0" collapsed="false">
      <c r="M101" s="82" t="n">
        <v>39356</v>
      </c>
      <c r="N101" s="83" t="n">
        <v>2.74</v>
      </c>
      <c r="O101" s="0" t="n">
        <f aca="false">N101-N89</f>
        <v>0.0650000000000004</v>
      </c>
    </row>
    <row r="102" customFormat="false" ht="12.75" hidden="false" customHeight="false" outlineLevel="0" collapsed="false">
      <c r="M102" s="82" t="n">
        <v>39387</v>
      </c>
      <c r="N102" s="83" t="n">
        <v>2.877</v>
      </c>
      <c r="O102" s="0" t="n">
        <f aca="false">N102-N90</f>
        <v>0.065</v>
      </c>
    </row>
    <row r="103" customFormat="false" ht="12.75" hidden="false" customHeight="false" outlineLevel="0" collapsed="false">
      <c r="M103" s="82" t="n">
        <v>39417</v>
      </c>
      <c r="N103" s="83" t="n">
        <v>3</v>
      </c>
      <c r="O103" s="0" t="n">
        <f aca="false">N103-N91</f>
        <v>0.065</v>
      </c>
    </row>
    <row r="104" customFormat="false" ht="12.75" hidden="false" customHeight="false" outlineLevel="0" collapsed="false">
      <c r="M104" s="82" t="n">
        <v>39448</v>
      </c>
      <c r="N104" s="83" t="n">
        <v>3.0575</v>
      </c>
      <c r="O104" s="0" t="n">
        <f aca="false">N104-N92</f>
        <v>0.0700000000000003</v>
      </c>
    </row>
    <row r="105" customFormat="false" ht="12.75" hidden="false" customHeight="false" outlineLevel="0" collapsed="false">
      <c r="M105" s="82" t="n">
        <v>39479</v>
      </c>
      <c r="N105" s="83" t="n">
        <v>2.975</v>
      </c>
      <c r="O105" s="0" t="n">
        <f aca="false">N105-N93</f>
        <v>0.0700000000000003</v>
      </c>
    </row>
    <row r="106" customFormat="false" ht="12.75" hidden="false" customHeight="false" outlineLevel="0" collapsed="false">
      <c r="M106" s="82" t="n">
        <v>39508</v>
      </c>
      <c r="N106" s="83" t="n">
        <v>2.87</v>
      </c>
      <c r="O106" s="0" t="n">
        <f aca="false">N106-N94</f>
        <v>0.0700000000000003</v>
      </c>
    </row>
    <row r="107" customFormat="false" ht="12.75" hidden="false" customHeight="false" outlineLevel="0" collapsed="false">
      <c r="M107" s="82" t="n">
        <v>39539</v>
      </c>
      <c r="N107" s="83" t="n">
        <v>2.774</v>
      </c>
      <c r="O107" s="0" t="n">
        <f aca="false">N107-N95</f>
        <v>0.0700000000000007</v>
      </c>
    </row>
    <row r="108" customFormat="false" ht="12.75" hidden="false" customHeight="false" outlineLevel="0" collapsed="false">
      <c r="M108" s="82" t="n">
        <v>39569</v>
      </c>
      <c r="N108" s="83" t="n">
        <v>2.753</v>
      </c>
      <c r="O108" s="0" t="n">
        <f aca="false">N108-N96</f>
        <v>0.0699999999999998</v>
      </c>
    </row>
    <row r="109" customFormat="false" ht="12.75" hidden="false" customHeight="false" outlineLevel="0" collapsed="false">
      <c r="M109" s="82" t="n">
        <v>39600</v>
      </c>
      <c r="N109" s="83" t="n">
        <v>2.76</v>
      </c>
      <c r="O109" s="0" t="n">
        <f aca="false">N109-N97</f>
        <v>0.0699999999999998</v>
      </c>
    </row>
    <row r="110" customFormat="false" ht="12.75" hidden="false" customHeight="false" outlineLevel="0" collapsed="false">
      <c r="M110" s="82" t="n">
        <v>39630</v>
      </c>
      <c r="N110" s="83" t="n">
        <v>2.766</v>
      </c>
      <c r="O110" s="0" t="n">
        <f aca="false">N110-N98</f>
        <v>0.0700000000000003</v>
      </c>
    </row>
    <row r="111" customFormat="false" ht="12.75" hidden="false" customHeight="false" outlineLevel="0" collapsed="false">
      <c r="M111" s="82" t="n">
        <v>39661</v>
      </c>
      <c r="N111" s="83" t="n">
        <v>2.774</v>
      </c>
      <c r="O111" s="0" t="n">
        <f aca="false">N111-N99</f>
        <v>0.0700000000000007</v>
      </c>
    </row>
    <row r="112" customFormat="false" ht="12.75" hidden="false" customHeight="false" outlineLevel="0" collapsed="false">
      <c r="M112" s="82" t="n">
        <v>39692</v>
      </c>
      <c r="N112" s="83" t="n">
        <v>2.777</v>
      </c>
      <c r="O112" s="0" t="n">
        <f aca="false">N112-N100</f>
        <v>0.0700000000000003</v>
      </c>
    </row>
    <row r="113" customFormat="false" ht="12.75" hidden="false" customHeight="false" outlineLevel="0" collapsed="false">
      <c r="M113" s="82" t="n">
        <v>39722</v>
      </c>
      <c r="N113" s="83" t="n">
        <v>2.81</v>
      </c>
      <c r="O113" s="0" t="n">
        <f aca="false">N113-N101</f>
        <v>0.0699999999999998</v>
      </c>
    </row>
    <row r="114" customFormat="false" ht="12.75" hidden="false" customHeight="false" outlineLevel="0" collapsed="false">
      <c r="M114" s="82" t="n">
        <v>39753</v>
      </c>
      <c r="N114" s="83" t="n">
        <v>2.947</v>
      </c>
      <c r="O114" s="0" t="n">
        <f aca="false">N114-N102</f>
        <v>0.0700000000000003</v>
      </c>
    </row>
    <row r="115" customFormat="false" ht="12.75" hidden="false" customHeight="false" outlineLevel="0" collapsed="false">
      <c r="M115" s="82" t="n">
        <v>39783</v>
      </c>
      <c r="N115" s="83" t="n">
        <v>3.07</v>
      </c>
      <c r="O115" s="0" t="n">
        <f aca="false">N115-N103</f>
        <v>0.0699999999999998</v>
      </c>
    </row>
    <row r="116" customFormat="false" ht="12.75" hidden="false" customHeight="false" outlineLevel="0" collapsed="false">
      <c r="M116" s="82" t="n">
        <v>39814</v>
      </c>
      <c r="N116" s="83" t="n">
        <v>3.1325</v>
      </c>
      <c r="O116" s="0" t="n">
        <f aca="false">N116-N104</f>
        <v>0.0749999999999997</v>
      </c>
    </row>
    <row r="117" customFormat="false" ht="12.75" hidden="false" customHeight="false" outlineLevel="0" collapsed="false">
      <c r="M117" s="82" t="n">
        <v>39845</v>
      </c>
      <c r="N117" s="83" t="n">
        <v>3.05</v>
      </c>
      <c r="O117" s="0" t="n">
        <f aca="false">N117-N105</f>
        <v>0.0749999999999997</v>
      </c>
    </row>
    <row r="118" customFormat="false" ht="12.75" hidden="false" customHeight="false" outlineLevel="0" collapsed="false">
      <c r="M118" s="82" t="n">
        <v>39873</v>
      </c>
      <c r="N118" s="83" t="n">
        <v>2.945</v>
      </c>
      <c r="O118" s="0" t="n">
        <f aca="false">N118-N106</f>
        <v>0.0749999999999997</v>
      </c>
    </row>
    <row r="119" customFormat="false" ht="12.75" hidden="false" customHeight="false" outlineLevel="0" collapsed="false">
      <c r="M119" s="82" t="n">
        <v>39904</v>
      </c>
      <c r="N119" s="83" t="n">
        <v>2.849</v>
      </c>
      <c r="O119" s="0" t="n">
        <f aca="false">N119-N107</f>
        <v>0.0749999999999997</v>
      </c>
    </row>
    <row r="120" customFormat="false" ht="12.75" hidden="false" customHeight="false" outlineLevel="0" collapsed="false">
      <c r="M120" s="82" t="n">
        <v>39934</v>
      </c>
      <c r="N120" s="83" t="n">
        <v>2.828</v>
      </c>
      <c r="O120" s="0" t="n">
        <f aca="false">N120-N108</f>
        <v>0.0750000000000002</v>
      </c>
    </row>
    <row r="121" customFormat="false" ht="12.75" hidden="false" customHeight="false" outlineLevel="0" collapsed="false">
      <c r="M121" s="82" t="n">
        <v>39965</v>
      </c>
      <c r="N121" s="83" t="n">
        <v>2.835</v>
      </c>
      <c r="O121" s="0" t="n">
        <f aca="false">N121-N109</f>
        <v>0.0750000000000002</v>
      </c>
    </row>
    <row r="122" customFormat="false" ht="12.75" hidden="false" customHeight="false" outlineLevel="0" collapsed="false">
      <c r="M122" s="82" t="n">
        <v>39995</v>
      </c>
      <c r="N122" s="83" t="n">
        <v>2.841</v>
      </c>
      <c r="O122" s="0" t="n">
        <f aca="false">N122-N110</f>
        <v>0.0749999999999997</v>
      </c>
    </row>
    <row r="123" customFormat="false" ht="12.75" hidden="false" customHeight="false" outlineLevel="0" collapsed="false">
      <c r="M123" s="82" t="n">
        <v>40026</v>
      </c>
      <c r="N123" s="83" t="n">
        <v>2.849</v>
      </c>
      <c r="O123" s="0" t="n">
        <f aca="false">N123-N111</f>
        <v>0.0749999999999997</v>
      </c>
    </row>
    <row r="124" customFormat="false" ht="12.75" hidden="false" customHeight="false" outlineLevel="0" collapsed="false">
      <c r="M124" s="82" t="n">
        <v>40057</v>
      </c>
      <c r="N124" s="83" t="n">
        <v>2.852</v>
      </c>
      <c r="O124" s="0" t="n">
        <f aca="false">N124-N112</f>
        <v>0.0749999999999997</v>
      </c>
    </row>
    <row r="125" customFormat="false" ht="12.75" hidden="false" customHeight="false" outlineLevel="0" collapsed="false">
      <c r="M125" s="82" t="n">
        <v>40087</v>
      </c>
      <c r="N125" s="83" t="n">
        <v>2.885</v>
      </c>
      <c r="O125" s="0" t="n">
        <f aca="false">N125-N113</f>
        <v>0.0749999999999997</v>
      </c>
    </row>
    <row r="126" customFormat="false" ht="12.75" hidden="false" customHeight="false" outlineLevel="0" collapsed="false">
      <c r="M126" s="82" t="n">
        <v>40118</v>
      </c>
      <c r="N126" s="83" t="n">
        <v>3.022</v>
      </c>
      <c r="O126" s="0" t="n">
        <f aca="false">N126-N114</f>
        <v>0.0749999999999997</v>
      </c>
    </row>
    <row r="127" customFormat="false" ht="12.75" hidden="false" customHeight="false" outlineLevel="0" collapsed="false">
      <c r="M127" s="82" t="n">
        <v>40148</v>
      </c>
      <c r="N127" s="83" t="n">
        <v>3.145</v>
      </c>
      <c r="O127" s="0" t="n">
        <f aca="false">N127-N115</f>
        <v>0.0750000000000002</v>
      </c>
    </row>
    <row r="128" customFormat="false" ht="12.75" hidden="false" customHeight="false" outlineLevel="0" collapsed="false">
      <c r="M128" s="82" t="n">
        <v>40179</v>
      </c>
      <c r="N128" s="83" t="n">
        <v>3.2125</v>
      </c>
      <c r="O128" s="0" t="n">
        <f aca="false">N128-N116</f>
        <v>0.0800000000000001</v>
      </c>
    </row>
    <row r="129" customFormat="false" ht="12.75" hidden="false" customHeight="false" outlineLevel="0" collapsed="false">
      <c r="M129" s="82" t="n">
        <v>40210</v>
      </c>
      <c r="N129" s="83" t="n">
        <v>3.13</v>
      </c>
      <c r="O129" s="0" t="n">
        <f aca="false">N129-N117</f>
        <v>0.0800000000000001</v>
      </c>
    </row>
    <row r="130" customFormat="false" ht="12.75" hidden="false" customHeight="false" outlineLevel="0" collapsed="false">
      <c r="M130" s="82" t="n">
        <v>40238</v>
      </c>
      <c r="N130" s="83" t="n">
        <v>3.025</v>
      </c>
      <c r="O130" s="0" t="n">
        <f aca="false">N130-N118</f>
        <v>0.0800000000000001</v>
      </c>
    </row>
    <row r="131" customFormat="false" ht="12.75" hidden="false" customHeight="false" outlineLevel="0" collapsed="false">
      <c r="M131" s="82" t="n">
        <v>40269</v>
      </c>
      <c r="N131" s="83" t="n">
        <v>2.929</v>
      </c>
      <c r="O131" s="0" t="n">
        <f aca="false">N131-N119</f>
        <v>0.0800000000000001</v>
      </c>
    </row>
    <row r="132" customFormat="false" ht="12.75" hidden="false" customHeight="false" outlineLevel="0" collapsed="false">
      <c r="M132" s="82" t="n">
        <v>40299</v>
      </c>
      <c r="N132" s="83" t="n">
        <v>2.908</v>
      </c>
      <c r="O132" s="0" t="n">
        <f aca="false">N132-N120</f>
        <v>0.0800000000000001</v>
      </c>
    </row>
    <row r="133" customFormat="false" ht="12.75" hidden="false" customHeight="false" outlineLevel="0" collapsed="false">
      <c r="M133" s="82" t="n">
        <v>40330</v>
      </c>
      <c r="N133" s="83" t="n">
        <v>2.915</v>
      </c>
      <c r="O133" s="0" t="n">
        <f aca="false">N133-N121</f>
        <v>0.0800000000000001</v>
      </c>
    </row>
    <row r="134" customFormat="false" ht="12.75" hidden="false" customHeight="false" outlineLevel="0" collapsed="false">
      <c r="M134" s="82" t="n">
        <v>40360</v>
      </c>
      <c r="N134" s="83" t="n">
        <v>2.921</v>
      </c>
      <c r="O134" s="0" t="n">
        <f aca="false">N134-N122</f>
        <v>0.0800000000000001</v>
      </c>
    </row>
    <row r="135" customFormat="false" ht="12.75" hidden="false" customHeight="false" outlineLevel="0" collapsed="false">
      <c r="M135" s="82" t="n">
        <v>40391</v>
      </c>
      <c r="N135" s="83" t="n">
        <v>2.929</v>
      </c>
      <c r="O135" s="0" t="n">
        <f aca="false">N135-N123</f>
        <v>0.0800000000000001</v>
      </c>
    </row>
    <row r="136" customFormat="false" ht="12.75" hidden="false" customHeight="false" outlineLevel="0" collapsed="false">
      <c r="M136" s="82" t="n">
        <v>40422</v>
      </c>
      <c r="N136" s="83" t="n">
        <v>2.932</v>
      </c>
      <c r="O136" s="0" t="n">
        <f aca="false">N136-N124</f>
        <v>0.0800000000000001</v>
      </c>
    </row>
    <row r="137" customFormat="false" ht="12.75" hidden="false" customHeight="false" outlineLevel="0" collapsed="false">
      <c r="M137" s="82" t="n">
        <v>40452</v>
      </c>
      <c r="N137" s="83" t="n">
        <v>2.965</v>
      </c>
      <c r="O137" s="0" t="n">
        <f aca="false">N137-N125</f>
        <v>0.0800000000000001</v>
      </c>
    </row>
    <row r="138" customFormat="false" ht="12.75" hidden="false" customHeight="false" outlineLevel="0" collapsed="false">
      <c r="M138" s="82" t="n">
        <v>40483</v>
      </c>
      <c r="N138" s="83" t="n">
        <v>3.102</v>
      </c>
      <c r="O138" s="0" t="n">
        <f aca="false">N138-N126</f>
        <v>0.0800000000000001</v>
      </c>
    </row>
    <row r="139" customFormat="false" ht="12.75" hidden="false" customHeight="false" outlineLevel="0" collapsed="false">
      <c r="M139" s="82" t="n">
        <v>40513</v>
      </c>
      <c r="N139" s="83" t="n">
        <v>3.225</v>
      </c>
      <c r="O139" s="0" t="n">
        <f aca="false">N139-N127</f>
        <v>0.0800000000000001</v>
      </c>
    </row>
    <row r="140" customFormat="false" ht="12.75" hidden="false" customHeight="false" outlineLevel="0" collapsed="false">
      <c r="M140" s="82" t="n">
        <v>40544</v>
      </c>
      <c r="N140" s="83" t="n">
        <v>3.2975</v>
      </c>
      <c r="O140" s="0" t="n">
        <f aca="false">N140-N128</f>
        <v>0.085</v>
      </c>
    </row>
    <row r="141" customFormat="false" ht="12.75" hidden="false" customHeight="false" outlineLevel="0" collapsed="false">
      <c r="M141" s="82" t="n">
        <v>40575</v>
      </c>
      <c r="N141" s="83" t="n">
        <v>3.215</v>
      </c>
      <c r="O141" s="0" t="n">
        <f aca="false">N141-N129</f>
        <v>0.085</v>
      </c>
    </row>
    <row r="142" customFormat="false" ht="12.75" hidden="false" customHeight="false" outlineLevel="0" collapsed="false">
      <c r="M142" s="82" t="n">
        <v>40603</v>
      </c>
      <c r="N142" s="83" t="n">
        <v>3.11</v>
      </c>
      <c r="O142" s="0" t="n">
        <f aca="false">N142-N130</f>
        <v>0.085</v>
      </c>
    </row>
    <row r="143" customFormat="false" ht="12.75" hidden="false" customHeight="false" outlineLevel="0" collapsed="false">
      <c r="M143" s="82" t="n">
        <v>40634</v>
      </c>
      <c r="N143" s="83" t="n">
        <v>3.014</v>
      </c>
      <c r="O143" s="0" t="n">
        <f aca="false">N143-N131</f>
        <v>0.085</v>
      </c>
    </row>
    <row r="144" customFormat="false" ht="12.75" hidden="false" customHeight="false" outlineLevel="0" collapsed="false">
      <c r="M144" s="82" t="n">
        <v>40664</v>
      </c>
      <c r="N144" s="83" t="n">
        <v>2.993</v>
      </c>
      <c r="O144" s="0" t="n">
        <f aca="false">N144-N132</f>
        <v>0.085</v>
      </c>
    </row>
    <row r="145" customFormat="false" ht="12.75" hidden="false" customHeight="false" outlineLevel="0" collapsed="false">
      <c r="M145" s="82" t="n">
        <v>40695</v>
      </c>
      <c r="N145" s="83" t="n">
        <v>3</v>
      </c>
      <c r="O145" s="0" t="n">
        <f aca="false">N145-N133</f>
        <v>0.085</v>
      </c>
    </row>
    <row r="146" customFormat="false" ht="12.75" hidden="false" customHeight="false" outlineLevel="0" collapsed="false">
      <c r="M146" s="82" t="n">
        <v>40725</v>
      </c>
      <c r="N146" s="83" t="n">
        <v>3.006</v>
      </c>
      <c r="O146" s="0" t="n">
        <f aca="false">N146-N134</f>
        <v>0.085</v>
      </c>
    </row>
    <row r="147" customFormat="false" ht="12.75" hidden="false" customHeight="false" outlineLevel="0" collapsed="false">
      <c r="M147" s="82" t="n">
        <v>40756</v>
      </c>
      <c r="N147" s="83" t="n">
        <v>3.014</v>
      </c>
      <c r="O147" s="0" t="n">
        <f aca="false">N147-N135</f>
        <v>0.085</v>
      </c>
    </row>
    <row r="148" customFormat="false" ht="12.75" hidden="false" customHeight="false" outlineLevel="0" collapsed="false">
      <c r="M148" s="82" t="n">
        <v>40787</v>
      </c>
      <c r="N148" s="83" t="n">
        <v>3.017</v>
      </c>
      <c r="O148" s="0" t="n">
        <f aca="false">N148-N136</f>
        <v>0.085</v>
      </c>
    </row>
    <row r="149" customFormat="false" ht="12.75" hidden="false" customHeight="false" outlineLevel="0" collapsed="false">
      <c r="M149" s="82" t="n">
        <v>40817</v>
      </c>
      <c r="N149" s="83" t="n">
        <v>3.05</v>
      </c>
      <c r="O149" s="0" t="n">
        <f aca="false">N149-N137</f>
        <v>0.085</v>
      </c>
    </row>
    <row r="150" customFormat="false" ht="12.75" hidden="false" customHeight="false" outlineLevel="0" collapsed="false">
      <c r="M150" s="82" t="n">
        <v>40848</v>
      </c>
      <c r="N150" s="83" t="n">
        <v>3.187</v>
      </c>
      <c r="O150" s="0" t="n">
        <f aca="false">N150-N138</f>
        <v>0.085</v>
      </c>
    </row>
    <row r="151" customFormat="false" ht="12.75" hidden="false" customHeight="false" outlineLevel="0" collapsed="false">
      <c r="M151" s="82" t="n">
        <v>40878</v>
      </c>
      <c r="N151" s="83" t="n">
        <v>3.31</v>
      </c>
      <c r="O151" s="0" t="n">
        <f aca="false">N151-N139</f>
        <v>0.085</v>
      </c>
    </row>
    <row r="152" customFormat="false" ht="12.75" hidden="false" customHeight="false" outlineLevel="0" collapsed="false">
      <c r="M152" s="82" t="n">
        <v>40909</v>
      </c>
      <c r="N152" s="83" t="n">
        <v>3.385</v>
      </c>
      <c r="O152" s="0" t="n">
        <f aca="false">N152-N140</f>
        <v>0.0874999999999999</v>
      </c>
    </row>
    <row r="153" customFormat="false" ht="12.75" hidden="false" customHeight="false" outlineLevel="0" collapsed="false">
      <c r="M153" s="82" t="n">
        <v>40940</v>
      </c>
      <c r="N153" s="83" t="n">
        <v>3.3025</v>
      </c>
      <c r="O153" s="0" t="n">
        <f aca="false">N153-N141</f>
        <v>0.0875000000000004</v>
      </c>
    </row>
    <row r="154" customFormat="false" ht="12.75" hidden="false" customHeight="false" outlineLevel="0" collapsed="false">
      <c r="M154" s="82" t="n">
        <v>40969</v>
      </c>
      <c r="N154" s="83" t="n">
        <v>3.1975</v>
      </c>
      <c r="O154" s="0" t="n">
        <f aca="false">N154-N142</f>
        <v>0.0874999999999999</v>
      </c>
    </row>
    <row r="155" customFormat="false" ht="12.75" hidden="false" customHeight="false" outlineLevel="0" collapsed="false">
      <c r="M155" s="82" t="n">
        <v>41000</v>
      </c>
      <c r="N155" s="83" t="n">
        <v>3.1015</v>
      </c>
      <c r="O155" s="0" t="n">
        <f aca="false">N155-N143</f>
        <v>0.0875000000000004</v>
      </c>
    </row>
    <row r="156" customFormat="false" ht="12.75" hidden="false" customHeight="false" outlineLevel="0" collapsed="false">
      <c r="M156" s="82" t="n">
        <v>41030</v>
      </c>
      <c r="N156" s="83" t="n">
        <v>3.0805</v>
      </c>
      <c r="O156" s="0" t="n">
        <f aca="false">N156-N144</f>
        <v>0.0874999999999999</v>
      </c>
    </row>
    <row r="157" customFormat="false" ht="12.75" hidden="false" customHeight="false" outlineLevel="0" collapsed="false">
      <c r="M157" s="82" t="n">
        <v>41061</v>
      </c>
      <c r="N157" s="83" t="n">
        <v>3.0875</v>
      </c>
      <c r="O157" s="0" t="n">
        <f aca="false">N157-N145</f>
        <v>0.0874999999999999</v>
      </c>
    </row>
    <row r="158" customFormat="false" ht="12.75" hidden="false" customHeight="false" outlineLevel="0" collapsed="false">
      <c r="M158" s="82" t="n">
        <v>41091</v>
      </c>
      <c r="N158" s="83" t="n">
        <v>3.0935</v>
      </c>
      <c r="O158" s="0" t="n">
        <f aca="false">N158-N146</f>
        <v>0.0874999999999999</v>
      </c>
    </row>
    <row r="159" customFormat="false" ht="12.75" hidden="false" customHeight="false" outlineLevel="0" collapsed="false">
      <c r="M159" s="82" t="n">
        <v>41122</v>
      </c>
      <c r="N159" s="83" t="n">
        <v>3.1015</v>
      </c>
      <c r="O159" s="0" t="n">
        <f aca="false">N159-N147</f>
        <v>0.0875000000000004</v>
      </c>
    </row>
    <row r="160" customFormat="false" ht="12.75" hidden="false" customHeight="false" outlineLevel="0" collapsed="false">
      <c r="M160" s="82" t="n">
        <v>41153</v>
      </c>
      <c r="N160" s="83" t="n">
        <v>3.1045</v>
      </c>
      <c r="O160" s="0" t="n">
        <f aca="false">N160-N148</f>
        <v>0.0874999999999999</v>
      </c>
    </row>
    <row r="161" customFormat="false" ht="12.75" hidden="false" customHeight="false" outlineLevel="0" collapsed="false">
      <c r="M161" s="82" t="n">
        <v>41183</v>
      </c>
      <c r="N161" s="83" t="n">
        <v>3.1375</v>
      </c>
      <c r="O161" s="0" t="n">
        <f aca="false">N161-N149</f>
        <v>0.0875000000000004</v>
      </c>
    </row>
    <row r="162" customFormat="false" ht="12.75" hidden="false" customHeight="false" outlineLevel="0" collapsed="false">
      <c r="M162" s="82" t="n">
        <v>41214</v>
      </c>
      <c r="N162" s="83" t="n">
        <v>3.2745</v>
      </c>
      <c r="O162" s="0" t="n">
        <f aca="false">N162-N150</f>
        <v>0.0874999999999999</v>
      </c>
    </row>
    <row r="163" customFormat="false" ht="12.75" hidden="false" customHeight="false" outlineLevel="0" collapsed="false">
      <c r="M163" s="82" t="n">
        <v>41244</v>
      </c>
      <c r="N163" s="83" t="n">
        <v>3.3975</v>
      </c>
      <c r="O163" s="0" t="n">
        <f aca="false">N163-N151</f>
        <v>0.0874999999999999</v>
      </c>
    </row>
    <row r="164" customFormat="false" ht="12.75" hidden="false" customHeight="false" outlineLevel="0" collapsed="false">
      <c r="M164" s="82" t="n">
        <v>41275</v>
      </c>
      <c r="N164" s="83" t="n">
        <v>3.475</v>
      </c>
      <c r="O164" s="0" t="n">
        <f aca="false">N164-N152</f>
        <v>0.0900000000000003</v>
      </c>
    </row>
    <row r="165" customFormat="false" ht="12.75" hidden="false" customHeight="false" outlineLevel="0" collapsed="false">
      <c r="M165" s="82" t="n">
        <v>41306</v>
      </c>
      <c r="N165" s="83" t="n">
        <v>3.3925</v>
      </c>
      <c r="O165" s="0" t="n">
        <f aca="false">N165-N153</f>
        <v>0.0899999999999999</v>
      </c>
    </row>
    <row r="166" customFormat="false" ht="12.75" hidden="false" customHeight="false" outlineLevel="0" collapsed="false">
      <c r="M166" s="82" t="n">
        <v>41334</v>
      </c>
      <c r="N166" s="83" t="n">
        <v>3.2875</v>
      </c>
      <c r="O166" s="0" t="n">
        <f aca="false">N166-N154</f>
        <v>0.0900000000000003</v>
      </c>
    </row>
    <row r="167" customFormat="false" ht="12.75" hidden="false" customHeight="false" outlineLevel="0" collapsed="false">
      <c r="M167" s="82" t="n">
        <v>41365</v>
      </c>
      <c r="N167" s="83" t="n">
        <v>3.1915</v>
      </c>
      <c r="O167" s="0" t="n">
        <f aca="false">N167-N155</f>
        <v>0.0899999999999999</v>
      </c>
    </row>
    <row r="168" customFormat="false" ht="12.75" hidden="false" customHeight="false" outlineLevel="0" collapsed="false">
      <c r="M168" s="82" t="n">
        <v>41395</v>
      </c>
      <c r="N168" s="83" t="n">
        <v>3.1705</v>
      </c>
      <c r="O168" s="0" t="n">
        <f aca="false">N168-N156</f>
        <v>0.0899999999999999</v>
      </c>
    </row>
    <row r="169" customFormat="false" ht="12.75" hidden="false" customHeight="false" outlineLevel="0" collapsed="false">
      <c r="M169" s="82" t="n">
        <v>41426</v>
      </c>
      <c r="N169" s="83" t="n">
        <v>3.1775</v>
      </c>
      <c r="O169" s="0" t="n">
        <f aca="false">N169-N157</f>
        <v>0.0900000000000003</v>
      </c>
    </row>
    <row r="170" customFormat="false" ht="12.75" hidden="false" customHeight="false" outlineLevel="0" collapsed="false">
      <c r="M170" s="82" t="n">
        <v>41456</v>
      </c>
      <c r="N170" s="83" t="n">
        <v>3.1835</v>
      </c>
      <c r="O170" s="0" t="n">
        <f aca="false">N170-N158</f>
        <v>0.0900000000000003</v>
      </c>
    </row>
    <row r="171" customFormat="false" ht="12.75" hidden="false" customHeight="false" outlineLevel="0" collapsed="false">
      <c r="M171" s="82" t="n">
        <v>41487</v>
      </c>
      <c r="N171" s="83" t="n">
        <v>3.1915</v>
      </c>
      <c r="O171" s="0" t="n">
        <f aca="false">N171-N159</f>
        <v>0.0899999999999999</v>
      </c>
    </row>
    <row r="172" customFormat="false" ht="12.75" hidden="false" customHeight="false" outlineLevel="0" collapsed="false">
      <c r="M172" s="82" t="n">
        <v>41518</v>
      </c>
      <c r="N172" s="83" t="n">
        <v>3.1945</v>
      </c>
      <c r="O172" s="0" t="n">
        <f aca="false">N172-N160</f>
        <v>0.0900000000000003</v>
      </c>
    </row>
    <row r="173" customFormat="false" ht="12.75" hidden="false" customHeight="false" outlineLevel="0" collapsed="false">
      <c r="M173" s="82" t="n">
        <v>41548</v>
      </c>
      <c r="N173" s="83" t="n">
        <v>3.2275</v>
      </c>
      <c r="O173" s="0" t="n">
        <f aca="false">N173-N161</f>
        <v>0.0899999999999999</v>
      </c>
    </row>
    <row r="174" customFormat="false" ht="12.75" hidden="false" customHeight="false" outlineLevel="0" collapsed="false">
      <c r="M174" s="82" t="n">
        <v>41579</v>
      </c>
      <c r="N174" s="83" t="n">
        <v>3.3645</v>
      </c>
      <c r="O174" s="0" t="n">
        <f aca="false">N174-N162</f>
        <v>0.0900000000000003</v>
      </c>
    </row>
    <row r="175" customFormat="false" ht="12.75" hidden="false" customHeight="false" outlineLevel="0" collapsed="false">
      <c r="M175" s="82" t="n">
        <v>41609</v>
      </c>
      <c r="N175" s="83" t="n">
        <v>3.4875</v>
      </c>
      <c r="O175" s="0" t="n">
        <f aca="false">N175-N163</f>
        <v>0.0899999999999999</v>
      </c>
    </row>
    <row r="176" customFormat="false" ht="12.75" hidden="false" customHeight="false" outlineLevel="0" collapsed="false">
      <c r="M176" s="82" t="n">
        <v>41640</v>
      </c>
      <c r="N176" s="83" t="n">
        <v>3.5675</v>
      </c>
      <c r="O176" s="0" t="n">
        <f aca="false">N176-N164</f>
        <v>0.0924999999999998</v>
      </c>
    </row>
    <row r="177" customFormat="false" ht="12.75" hidden="false" customHeight="false" outlineLevel="0" collapsed="false">
      <c r="N177" s="0" t="n">
        <v>3.485</v>
      </c>
    </row>
    <row r="178" customFormat="false" ht="12.75" hidden="false" customHeight="false" outlineLevel="0" collapsed="false">
      <c r="N178" s="0" t="n">
        <v>3.38</v>
      </c>
    </row>
    <row r="179" customFormat="false" ht="12.75" hidden="false" customHeight="false" outlineLevel="0" collapsed="false">
      <c r="N179" s="0" t="n">
        <v>3.284</v>
      </c>
    </row>
    <row r="180" customFormat="false" ht="12.75" hidden="false" customHeight="false" outlineLevel="0" collapsed="false">
      <c r="N180" s="0" t="n">
        <v>3.263</v>
      </c>
    </row>
    <row r="181" customFormat="false" ht="12.75" hidden="false" customHeight="false" outlineLevel="0" collapsed="false">
      <c r="N181" s="0" t="n">
        <v>3.27</v>
      </c>
    </row>
    <row r="182" customFormat="false" ht="12.75" hidden="false" customHeight="false" outlineLevel="0" collapsed="false">
      <c r="N182" s="0" t="n">
        <v>3.276</v>
      </c>
    </row>
    <row r="183" customFormat="false" ht="12.75" hidden="false" customHeight="false" outlineLevel="0" collapsed="false">
      <c r="N183" s="0" t="n">
        <v>3.284</v>
      </c>
    </row>
    <row r="184" customFormat="false" ht="12.75" hidden="false" customHeight="false" outlineLevel="0" collapsed="false">
      <c r="N184" s="0" t="n">
        <v>3.287</v>
      </c>
    </row>
    <row r="185" customFormat="false" ht="12.75" hidden="false" customHeight="false" outlineLevel="0" collapsed="false">
      <c r="N185" s="0" t="n">
        <v>3.32</v>
      </c>
    </row>
    <row r="186" customFormat="false" ht="12.75" hidden="false" customHeight="false" outlineLevel="0" collapsed="false">
      <c r="N186" s="0" t="n">
        <v>3.457</v>
      </c>
    </row>
    <row r="187" customFormat="false" ht="12.75" hidden="false" customHeight="false" outlineLevel="0" collapsed="false">
      <c r="N187" s="0" t="n">
        <v>3.58</v>
      </c>
    </row>
    <row r="188" customFormat="false" ht="12.75" hidden="false" customHeight="false" outlineLevel="0" collapsed="false">
      <c r="N188" s="0" t="n">
        <v>3.6625</v>
      </c>
    </row>
    <row r="189" customFormat="false" ht="12.75" hidden="false" customHeight="false" outlineLevel="0" collapsed="false">
      <c r="N189" s="0" t="n">
        <v>3.58</v>
      </c>
    </row>
    <row r="190" customFormat="false" ht="12.75" hidden="false" customHeight="false" outlineLevel="0" collapsed="false">
      <c r="N190" s="0" t="n">
        <v>3.475</v>
      </c>
    </row>
    <row r="191" customFormat="false" ht="12.75" hidden="false" customHeight="false" outlineLevel="0" collapsed="false">
      <c r="N191" s="0" t="n">
        <v>3.4315</v>
      </c>
    </row>
    <row r="192" customFormat="false" ht="12.75" hidden="false" customHeight="false" outlineLevel="0" collapsed="false">
      <c r="N192" s="0" t="n">
        <v>3.5705</v>
      </c>
    </row>
    <row r="193" customFormat="false" ht="12.75" hidden="false" customHeight="false" outlineLevel="0" collapsed="false">
      <c r="N193" s="0" t="n">
        <v>3.7105</v>
      </c>
    </row>
    <row r="194" customFormat="false" ht="12.75" hidden="false" customHeight="false" outlineLevel="0" collapsed="false">
      <c r="N194" s="0" t="n">
        <v>3.8515</v>
      </c>
    </row>
    <row r="195" customFormat="false" ht="12.75" hidden="false" customHeight="false" outlineLevel="0" collapsed="false">
      <c r="N195" s="0" t="n">
        <v>3.7505</v>
      </c>
    </row>
    <row r="196" customFormat="false" ht="12.75" hidden="false" customHeight="false" outlineLevel="0" collapsed="false">
      <c r="N196" s="0" t="n">
        <v>3.6435</v>
      </c>
    </row>
  </sheetData>
  <mergeCells count="2">
    <mergeCell ref="B2:C2"/>
    <mergeCell ref="E2:F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U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8" activeCellId="0" sqref="G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5"/>
    <col collapsed="false" customWidth="true" hidden="true" outlineLevel="0" max="2" min="2" style="0" width="12.65"/>
    <col collapsed="false" customWidth="true" hidden="true" outlineLevel="0" max="3" min="3" style="0" width="9.32"/>
    <col collapsed="false" customWidth="true" hidden="false" outlineLevel="0" max="5" min="5" style="0" width="10.99"/>
    <col collapsed="false" customWidth="true" hidden="false" outlineLevel="0" max="6" min="6" style="0" width="11.32"/>
    <col collapsed="false" customWidth="true" hidden="false" outlineLevel="0" max="7" min="7" style="0" width="11.49"/>
    <col collapsed="false" customWidth="true" hidden="false" outlineLevel="0" max="8" min="8" style="0" width="9.99"/>
    <col collapsed="false" customWidth="true" hidden="true" outlineLevel="0" max="10" min="9" style="0" width="9.32"/>
    <col collapsed="false" customWidth="true" hidden="false" outlineLevel="0" max="11" min="11" style="0" width="10.65"/>
    <col collapsed="false" customWidth="true" hidden="false" outlineLevel="0" max="12" min="12" style="0" width="11.49"/>
    <col collapsed="false" customWidth="true" hidden="false" outlineLevel="0" max="13" min="13" style="0" width="9.65"/>
    <col collapsed="false" customWidth="true" hidden="false" outlineLevel="0" max="14" min="14" style="0" width="11.65"/>
    <col collapsed="false" customWidth="true" hidden="false" outlineLevel="0" max="15" min="15" style="0" width="10.15"/>
    <col collapsed="false" customWidth="true" hidden="false" outlineLevel="0" max="18" min="18" style="0" width="13.32"/>
    <col collapsed="false" customWidth="true" hidden="false" outlineLevel="0" max="20" min="20" style="0" width="13.99"/>
  </cols>
  <sheetData>
    <row r="2" customFormat="false" ht="12.75" hidden="false" customHeight="false" outlineLevel="0" collapsed="false">
      <c r="A2" s="84" t="n">
        <f aca="true">TODAY()</f>
        <v>45926</v>
      </c>
      <c r="K2" s="0" t="n">
        <f aca="false">L2-L3</f>
        <v>0.26</v>
      </c>
      <c r="L2" s="0" t="n">
        <v>0.82</v>
      </c>
      <c r="M2" s="85" t="e">
        <f aca="false">AVERAGE(M6:M13)</f>
        <v>#VALUE!</v>
      </c>
      <c r="Q2" s="85" t="e">
        <f aca="false">AVERAGE(Q6:Q13)</f>
        <v>#VALUE!</v>
      </c>
    </row>
    <row r="3" customFormat="false" ht="13.5" hidden="false" customHeight="false" outlineLevel="0" collapsed="false">
      <c r="A3" s="40" t="n">
        <v>1</v>
      </c>
      <c r="L3" s="0" t="n">
        <v>0.56</v>
      </c>
    </row>
    <row r="4" customFormat="false" ht="14.25" hidden="false" customHeight="true" outlineLevel="0" collapsed="false">
      <c r="A4" s="86"/>
      <c r="B4" s="87" t="s">
        <v>86</v>
      </c>
      <c r="C4" s="87"/>
      <c r="D4" s="87" t="s">
        <v>87</v>
      </c>
      <c r="E4" s="86" t="s">
        <v>88</v>
      </c>
      <c r="F4" s="88"/>
      <c r="G4" s="89" t="s">
        <v>87</v>
      </c>
      <c r="H4" s="90" t="s">
        <v>87</v>
      </c>
      <c r="I4" s="86" t="s">
        <v>87</v>
      </c>
      <c r="J4" s="86" t="s">
        <v>87</v>
      </c>
      <c r="K4" s="91" t="s">
        <v>89</v>
      </c>
      <c r="L4" s="91"/>
      <c r="M4" s="91"/>
      <c r="N4" s="91"/>
      <c r="O4" s="92" t="s">
        <v>90</v>
      </c>
      <c r="P4" s="92"/>
      <c r="Q4" s="92"/>
      <c r="R4" s="92"/>
      <c r="S4" s="93"/>
    </row>
    <row r="5" customFormat="false" ht="16.5" hidden="false" customHeight="false" outlineLevel="0" collapsed="false">
      <c r="A5" s="86" t="s">
        <v>91</v>
      </c>
      <c r="B5" s="87" t="s">
        <v>20</v>
      </c>
      <c r="C5" s="87" t="s">
        <v>92</v>
      </c>
      <c r="D5" s="86" t="s">
        <v>93</v>
      </c>
      <c r="E5" s="87" t="s">
        <v>39</v>
      </c>
      <c r="F5" s="86" t="s">
        <v>94</v>
      </c>
      <c r="G5" s="89" t="s">
        <v>95</v>
      </c>
      <c r="H5" s="90" t="s">
        <v>96</v>
      </c>
      <c r="I5" s="86" t="s">
        <v>97</v>
      </c>
      <c r="J5" s="86" t="s">
        <v>98</v>
      </c>
      <c r="K5" s="86" t="s">
        <v>99</v>
      </c>
      <c r="L5" s="86" t="s">
        <v>100</v>
      </c>
      <c r="M5" s="86" t="s">
        <v>101</v>
      </c>
      <c r="N5" s="86" t="s">
        <v>102</v>
      </c>
      <c r="O5" s="86" t="s">
        <v>103</v>
      </c>
      <c r="P5" s="86" t="s">
        <v>104</v>
      </c>
      <c r="Q5" s="86" t="s">
        <v>101</v>
      </c>
      <c r="R5" s="94" t="s">
        <v>102</v>
      </c>
      <c r="S5" s="95"/>
    </row>
    <row r="6" customFormat="false" ht="15.75" hidden="false" customHeight="false" outlineLevel="0" collapsed="false">
      <c r="A6" s="96" t="n">
        <v>36946</v>
      </c>
      <c r="B6" s="97" t="n">
        <v>150007</v>
      </c>
      <c r="C6" s="97" t="str">
        <f aca="false">IF($A$3=1,"Call","Put")</f>
        <v>Call</v>
      </c>
      <c r="D6" s="98" t="n">
        <v>5.25</v>
      </c>
      <c r="E6" s="99" t="n">
        <f aca="false">Feeds!B3</f>
        <v>5.42</v>
      </c>
      <c r="F6" s="100" t="n">
        <v>0.95</v>
      </c>
      <c r="G6" s="89" t="n">
        <f aca="false">(A6-$A$2)/365.25</f>
        <v>-24.5859000684463</v>
      </c>
      <c r="H6" s="101" t="n">
        <v>0.055</v>
      </c>
      <c r="I6" s="102" t="e">
        <f aca="false">IF(B6=0,0,(LN(E6/D6)+(F6^2/2)*G6))/(F6*SQRT(G6))</f>
        <v>#VALUE!</v>
      </c>
      <c r="J6" s="103" t="e">
        <f aca="false">IF(I6=0,0,I6-F6*SQRT(G6))</f>
        <v>#VALUE!</v>
      </c>
      <c r="K6" s="103" t="e">
        <f aca="false">NORMSDIST(I6)</f>
        <v>#VALUE!</v>
      </c>
      <c r="L6" s="103" t="e">
        <f aca="false">NORMSDIST(J6)</f>
        <v>#VALUE!</v>
      </c>
      <c r="M6" s="104" t="e">
        <f aca="false">(EXP(-H6*G6))*((E6*K6)-(D6*L6))</f>
        <v>#VALUE!</v>
      </c>
      <c r="N6" s="97" t="e">
        <f aca="false">M6*B6</f>
        <v>#VALUE!</v>
      </c>
      <c r="O6" s="103" t="e">
        <f aca="false">NORMSDIST(-I6)</f>
        <v>#VALUE!</v>
      </c>
      <c r="P6" s="103" t="e">
        <f aca="false">NORMSDIST(-J6)</f>
        <v>#VALUE!</v>
      </c>
      <c r="Q6" s="104" t="e">
        <f aca="false">(EXP(-H6*G6))*((D6*P6)-(E6*O6))</f>
        <v>#VALUE!</v>
      </c>
      <c r="R6" s="105" t="e">
        <f aca="false">Q6*B6</f>
        <v>#VALUE!</v>
      </c>
      <c r="S6" s="106" t="e">
        <f aca="false">Q6+M6</f>
        <v>#VALUE!</v>
      </c>
      <c r="U6" s="0" t="n">
        <v>0.53</v>
      </c>
    </row>
    <row r="7" customFormat="false" ht="15.75" hidden="false" customHeight="false" outlineLevel="0" collapsed="false">
      <c r="A7" s="96" t="n">
        <v>36975</v>
      </c>
      <c r="B7" s="97" t="n">
        <v>150011</v>
      </c>
      <c r="C7" s="97" t="str">
        <f aca="false">IF($A$3=1,"Call","Put")</f>
        <v>Call</v>
      </c>
      <c r="D7" s="98" t="n">
        <v>7.2</v>
      </c>
      <c r="E7" s="99" t="n">
        <f aca="false">Feeds!B7</f>
        <v>0</v>
      </c>
      <c r="F7" s="100" t="n">
        <v>0.44</v>
      </c>
      <c r="G7" s="89" t="n">
        <f aca="false">(A7-$A$2)/365.25</f>
        <v>-24.5065023956194</v>
      </c>
      <c r="H7" s="101" t="n">
        <v>0.055</v>
      </c>
      <c r="I7" s="102" t="e">
        <f aca="false">IF(B7=0,0,(LN(E7/D7)+(F7^2/2)*G7))/(F7*SQRT(G7))</f>
        <v>#VALUE!</v>
      </c>
      <c r="J7" s="103" t="e">
        <f aca="false">IF(I7=0,0,I7-F7*SQRT(G7))</f>
        <v>#VALUE!</v>
      </c>
      <c r="K7" s="103" t="e">
        <f aca="false">NORMSDIST(I7)</f>
        <v>#VALUE!</v>
      </c>
      <c r="L7" s="103" t="e">
        <f aca="false">NORMSDIST(J7)</f>
        <v>#VALUE!</v>
      </c>
      <c r="M7" s="104" t="e">
        <f aca="false">(EXP(-H7*G7))*((E7*K7)-(D7*L7))</f>
        <v>#VALUE!</v>
      </c>
      <c r="N7" s="97" t="e">
        <f aca="false">M7*B7</f>
        <v>#VALUE!</v>
      </c>
      <c r="O7" s="103" t="e">
        <f aca="false">NORMSDIST(-I7)</f>
        <v>#VALUE!</v>
      </c>
      <c r="P7" s="103" t="e">
        <f aca="false">NORMSDIST(-J7)</f>
        <v>#VALUE!</v>
      </c>
      <c r="Q7" s="104" t="e">
        <f aca="false">(EXP(-H7*G7))*((D7*P7)-(E7*O7))</f>
        <v>#VALUE!</v>
      </c>
      <c r="R7" s="105" t="e">
        <f aca="false">Q7*B7</f>
        <v>#VALUE!</v>
      </c>
      <c r="S7" s="106" t="e">
        <f aca="false">Q7+M7</f>
        <v>#VALUE!</v>
      </c>
      <c r="U7" s="0" t="n">
        <v>0.2</v>
      </c>
    </row>
    <row r="8" customFormat="false" ht="15.75" hidden="false" customHeight="false" outlineLevel="0" collapsed="false">
      <c r="A8" s="96" t="n">
        <v>37006</v>
      </c>
      <c r="B8" s="97" t="n">
        <v>150011</v>
      </c>
      <c r="C8" s="97" t="str">
        <f aca="false">IF($A$3=1,"Call","Put")</f>
        <v>Call</v>
      </c>
      <c r="D8" s="98" t="n">
        <v>7.2</v>
      </c>
      <c r="E8" s="99" t="n">
        <f aca="false">Feeds!B8</f>
        <v>0</v>
      </c>
      <c r="F8" s="100" t="n">
        <v>0.3975</v>
      </c>
      <c r="G8" s="89" t="n">
        <f aca="false">(A8-$A$2)/365.25</f>
        <v>-24.4216290212183</v>
      </c>
      <c r="H8" s="101" t="n">
        <v>0.055</v>
      </c>
      <c r="I8" s="102" t="e">
        <f aca="false">IF(B8=0,0,(LN(E8/D8)+(F8^2/2)*G8))/(F8*SQRT(G8))</f>
        <v>#VALUE!</v>
      </c>
      <c r="J8" s="103" t="e">
        <f aca="false">IF(I8=0,0,I8-F8*SQRT(G8))</f>
        <v>#VALUE!</v>
      </c>
      <c r="K8" s="103" t="e">
        <f aca="false">NORMSDIST(I8)</f>
        <v>#VALUE!</v>
      </c>
      <c r="L8" s="103" t="e">
        <f aca="false">NORMSDIST(J8)</f>
        <v>#VALUE!</v>
      </c>
      <c r="M8" s="104" t="e">
        <f aca="false">(EXP(-H8*G8))*((E8*K8)-(D8*L8))</f>
        <v>#VALUE!</v>
      </c>
      <c r="N8" s="97" t="e">
        <f aca="false">M8*B8</f>
        <v>#VALUE!</v>
      </c>
      <c r="O8" s="103" t="e">
        <f aca="false">NORMSDIST(-I8)</f>
        <v>#VALUE!</v>
      </c>
      <c r="P8" s="103" t="e">
        <f aca="false">NORMSDIST(-J8)</f>
        <v>#VALUE!</v>
      </c>
      <c r="Q8" s="104" t="e">
        <f aca="false">(EXP(-H8*G8))*((D8*P8)-(E8*O8))</f>
        <v>#VALUE!</v>
      </c>
      <c r="R8" s="105" t="e">
        <f aca="false">Q8*B8</f>
        <v>#VALUE!</v>
      </c>
      <c r="S8" s="106" t="e">
        <f aca="false">Q8+M8</f>
        <v>#VALUE!</v>
      </c>
      <c r="U8" s="0" t="n">
        <v>0.2</v>
      </c>
    </row>
    <row r="9" customFormat="false" ht="15.75" hidden="false" customHeight="false" outlineLevel="0" collapsed="false">
      <c r="A9" s="96" t="n">
        <v>37036</v>
      </c>
      <c r="B9" s="97" t="n">
        <v>150011</v>
      </c>
      <c r="C9" s="97" t="str">
        <f aca="false">IF($A$3=1,"Call","Put")</f>
        <v>Call</v>
      </c>
      <c r="D9" s="98" t="n">
        <v>7.2</v>
      </c>
      <c r="E9" s="99" t="n">
        <f aca="false">Feeds!B9</f>
        <v>0</v>
      </c>
      <c r="F9" s="100" t="n">
        <v>0.3925</v>
      </c>
      <c r="G9" s="89" t="n">
        <f aca="false">(A9-$A$2)/365.25</f>
        <v>-24.3394934976044</v>
      </c>
      <c r="H9" s="101" t="n">
        <v>0.055</v>
      </c>
      <c r="I9" s="102" t="e">
        <f aca="false">IF(B9=0,0,(LN(E9/D9)+(F9^2/2)*G9))/(F9*SQRT(G9))</f>
        <v>#VALUE!</v>
      </c>
      <c r="J9" s="103" t="e">
        <f aca="false">IF(I9=0,0,I9-F9*SQRT(G9))</f>
        <v>#VALUE!</v>
      </c>
      <c r="K9" s="103" t="e">
        <f aca="false">NORMSDIST(I9)</f>
        <v>#VALUE!</v>
      </c>
      <c r="L9" s="103" t="e">
        <f aca="false">NORMSDIST(J9)</f>
        <v>#VALUE!</v>
      </c>
      <c r="M9" s="104" t="e">
        <f aca="false">(EXP(-H9*G9))*((E9*K9)-(D9*L9))</f>
        <v>#VALUE!</v>
      </c>
      <c r="N9" s="97" t="e">
        <f aca="false">M9*B9</f>
        <v>#VALUE!</v>
      </c>
      <c r="O9" s="103" t="e">
        <f aca="false">NORMSDIST(-I9)</f>
        <v>#VALUE!</v>
      </c>
      <c r="P9" s="103" t="e">
        <f aca="false">NORMSDIST(-J9)</f>
        <v>#VALUE!</v>
      </c>
      <c r="Q9" s="104" t="e">
        <f aca="false">(EXP(-H9*G9))*((D9*P9)-(E9*O9))</f>
        <v>#VALUE!</v>
      </c>
      <c r="R9" s="105" t="e">
        <f aca="false">Q9*B9</f>
        <v>#VALUE!</v>
      </c>
      <c r="S9" s="106" t="e">
        <f aca="false">Q9+M9</f>
        <v>#VALUE!</v>
      </c>
      <c r="U9" s="0" t="n">
        <v>0.2</v>
      </c>
    </row>
    <row r="10" customFormat="false" ht="15.75" hidden="false" customHeight="false" outlineLevel="0" collapsed="false">
      <c r="A10" s="96" t="n">
        <v>37067</v>
      </c>
      <c r="B10" s="97" t="n">
        <v>150011</v>
      </c>
      <c r="C10" s="97" t="str">
        <f aca="false">IF($A$3=1,"Call","Put")</f>
        <v>Call</v>
      </c>
      <c r="D10" s="98" t="n">
        <v>7.2</v>
      </c>
      <c r="E10" s="99" t="n">
        <f aca="false">Feeds!B10</f>
        <v>5.84</v>
      </c>
      <c r="F10" s="100" t="n">
        <v>0.3925</v>
      </c>
      <c r="G10" s="89" t="n">
        <f aca="false">(A10-$A$2)/365.25</f>
        <v>-24.2546201232033</v>
      </c>
      <c r="H10" s="101" t="n">
        <v>0.055</v>
      </c>
      <c r="I10" s="102" t="e">
        <f aca="false">IF(B10=0,0,(LN(E10/D10)+(F10^2/2)*G10))/(F10*SQRT(G10))</f>
        <v>#VALUE!</v>
      </c>
      <c r="J10" s="103" t="e">
        <f aca="false">IF(I10=0,0,I10-F10*SQRT(G10))</f>
        <v>#VALUE!</v>
      </c>
      <c r="K10" s="103" t="e">
        <f aca="false">NORMSDIST(I10)</f>
        <v>#VALUE!</v>
      </c>
      <c r="L10" s="103" t="e">
        <f aca="false">NORMSDIST(J10)</f>
        <v>#VALUE!</v>
      </c>
      <c r="M10" s="104" t="e">
        <f aca="false">(EXP(-H10*G10))*((E10*K10)-(D10*L10))</f>
        <v>#VALUE!</v>
      </c>
      <c r="N10" s="97" t="e">
        <f aca="false">M10*B10</f>
        <v>#VALUE!</v>
      </c>
      <c r="O10" s="103" t="e">
        <f aca="false">NORMSDIST(-I10)</f>
        <v>#VALUE!</v>
      </c>
      <c r="P10" s="103" t="e">
        <f aca="false">NORMSDIST(-J10)</f>
        <v>#VALUE!</v>
      </c>
      <c r="Q10" s="104" t="e">
        <f aca="false">(EXP(-H10*G10))*((D10*P10)-(E10*O10))</f>
        <v>#VALUE!</v>
      </c>
      <c r="R10" s="105" t="e">
        <f aca="false">Q10*B10</f>
        <v>#VALUE!</v>
      </c>
      <c r="S10" s="106" t="e">
        <f aca="false">Q10+M10</f>
        <v>#VALUE!</v>
      </c>
      <c r="U10" s="0" t="n">
        <v>0.2</v>
      </c>
    </row>
    <row r="11" customFormat="false" ht="15.75" hidden="false" customHeight="false" outlineLevel="0" collapsed="false">
      <c r="A11" s="96" t="n">
        <v>37097</v>
      </c>
      <c r="B11" s="97" t="n">
        <v>150011</v>
      </c>
      <c r="C11" s="97" t="str">
        <f aca="false">IF($A$3=1,"Call","Put")</f>
        <v>Call</v>
      </c>
      <c r="D11" s="98" t="n">
        <v>7.2</v>
      </c>
      <c r="E11" s="99" t="n">
        <f aca="false">Feeds!B11</f>
        <v>0</v>
      </c>
      <c r="F11" s="100" t="n">
        <v>0.3925</v>
      </c>
      <c r="G11" s="89" t="n">
        <f aca="false">(A11-$A$2)/365.25</f>
        <v>-24.1724845995893</v>
      </c>
      <c r="H11" s="101" t="n">
        <v>0.055</v>
      </c>
      <c r="I11" s="102" t="e">
        <f aca="false">IF(B11=0,0,(LN(E11/D11)+(F11^2/2)*G11))/(F11*SQRT(G11))</f>
        <v>#VALUE!</v>
      </c>
      <c r="J11" s="103" t="e">
        <f aca="false">IF(I11=0,0,I11-F11*SQRT(G11))</f>
        <v>#VALUE!</v>
      </c>
      <c r="K11" s="103" t="e">
        <f aca="false">NORMSDIST(I11)</f>
        <v>#VALUE!</v>
      </c>
      <c r="L11" s="103" t="e">
        <f aca="false">NORMSDIST(J11)</f>
        <v>#VALUE!</v>
      </c>
      <c r="M11" s="104" t="e">
        <f aca="false">(EXP(-H11*G11))*((E11*K11)-(D11*L11))</f>
        <v>#VALUE!</v>
      </c>
      <c r="N11" s="97" t="e">
        <f aca="false">M11*B11</f>
        <v>#VALUE!</v>
      </c>
      <c r="O11" s="103" t="e">
        <f aca="false">NORMSDIST(-I11)</f>
        <v>#VALUE!</v>
      </c>
      <c r="P11" s="103" t="e">
        <f aca="false">NORMSDIST(-J11)</f>
        <v>#VALUE!</v>
      </c>
      <c r="Q11" s="104" t="e">
        <f aca="false">(EXP(-H11*G11))*((D11*P11)-(E11*O11))</f>
        <v>#VALUE!</v>
      </c>
      <c r="R11" s="105" t="e">
        <f aca="false">Q11*B11</f>
        <v>#VALUE!</v>
      </c>
      <c r="S11" s="106" t="e">
        <f aca="false">Q11+M11</f>
        <v>#VALUE!</v>
      </c>
      <c r="U11" s="0" t="n">
        <v>0.2</v>
      </c>
    </row>
    <row r="12" customFormat="false" ht="15.75" hidden="false" customHeight="false" outlineLevel="0" collapsed="false">
      <c r="A12" s="96" t="n">
        <v>37128</v>
      </c>
      <c r="B12" s="97" t="n">
        <v>150011</v>
      </c>
      <c r="C12" s="97" t="str">
        <f aca="false">IF($A$3=1,"Call","Put")</f>
        <v>Call</v>
      </c>
      <c r="D12" s="98" t="n">
        <v>7.2</v>
      </c>
      <c r="E12" s="99" t="n">
        <f aca="false">Feeds!B12</f>
        <v>0</v>
      </c>
      <c r="F12" s="100" t="n">
        <v>0.395</v>
      </c>
      <c r="G12" s="89" t="n">
        <f aca="false">(A12-$A$2)/365.25</f>
        <v>-24.0876112251882</v>
      </c>
      <c r="H12" s="101" t="n">
        <v>0.055</v>
      </c>
      <c r="I12" s="102" t="e">
        <f aca="false">IF(B12=0,0,(LN(E12/D12)+(F12^2/2)*G12))/(F12*SQRT(G12))</f>
        <v>#VALUE!</v>
      </c>
      <c r="J12" s="103" t="e">
        <f aca="false">IF(I12=0,0,I12-F12*SQRT(G12))</f>
        <v>#VALUE!</v>
      </c>
      <c r="K12" s="103" t="e">
        <f aca="false">NORMSDIST(I12)</f>
        <v>#VALUE!</v>
      </c>
      <c r="L12" s="103" t="e">
        <f aca="false">NORMSDIST(J12)</f>
        <v>#VALUE!</v>
      </c>
      <c r="M12" s="104" t="e">
        <f aca="false">(EXP(-H12*G12))*((E12*K12)-(D12*L12))</f>
        <v>#VALUE!</v>
      </c>
      <c r="N12" s="97" t="e">
        <f aca="false">M12*B12</f>
        <v>#VALUE!</v>
      </c>
      <c r="O12" s="103" t="e">
        <f aca="false">NORMSDIST(-I12)</f>
        <v>#VALUE!</v>
      </c>
      <c r="P12" s="103" t="e">
        <f aca="false">NORMSDIST(-J12)</f>
        <v>#VALUE!</v>
      </c>
      <c r="Q12" s="104" t="e">
        <f aca="false">(EXP(-H12*G12))*((D12*P12)-(E12*O12))</f>
        <v>#VALUE!</v>
      </c>
      <c r="R12" s="105" t="e">
        <f aca="false">Q12*B12</f>
        <v>#VALUE!</v>
      </c>
      <c r="S12" s="106" t="e">
        <f aca="false">Q12+M12</f>
        <v>#VALUE!</v>
      </c>
      <c r="U12" s="0" t="n">
        <v>0.2</v>
      </c>
    </row>
    <row r="13" customFormat="false" ht="15.75" hidden="false" customHeight="false" outlineLevel="0" collapsed="false">
      <c r="A13" s="96" t="n">
        <v>37159</v>
      </c>
      <c r="B13" s="97" t="n">
        <v>150011</v>
      </c>
      <c r="C13" s="97" t="str">
        <f aca="false">IF($A$3=1,"Call","Put")</f>
        <v>Call</v>
      </c>
      <c r="D13" s="98" t="n">
        <v>7.2</v>
      </c>
      <c r="E13" s="99" t="n">
        <f aca="false">Feeds!B13</f>
        <v>0</v>
      </c>
      <c r="F13" s="100" t="n">
        <v>0.4025</v>
      </c>
      <c r="G13" s="89" t="n">
        <f aca="false">(A13-$A$2)/365.25</f>
        <v>-24.0027378507871</v>
      </c>
      <c r="H13" s="101" t="n">
        <v>0.055</v>
      </c>
      <c r="I13" s="102" t="e">
        <f aca="false">IF(B13=0,0,(LN(E13/D13)+(F13^2/2)*G13))/(F13*SQRT(G13))</f>
        <v>#VALUE!</v>
      </c>
      <c r="J13" s="103" t="e">
        <f aca="false">IF(I13=0,0,I13-F13*SQRT(G13))</f>
        <v>#VALUE!</v>
      </c>
      <c r="K13" s="103" t="e">
        <f aca="false">NORMSDIST(I13)</f>
        <v>#VALUE!</v>
      </c>
      <c r="L13" s="103" t="e">
        <f aca="false">NORMSDIST(J13)</f>
        <v>#VALUE!</v>
      </c>
      <c r="M13" s="104" t="e">
        <f aca="false">(EXP(-H13*G13))*((E13*K13)-(D13*L13))</f>
        <v>#VALUE!</v>
      </c>
      <c r="N13" s="97" t="e">
        <f aca="false">M13*B13</f>
        <v>#VALUE!</v>
      </c>
      <c r="O13" s="103" t="e">
        <f aca="false">NORMSDIST(-I13)</f>
        <v>#VALUE!</v>
      </c>
      <c r="P13" s="103" t="e">
        <f aca="false">NORMSDIST(-J13)</f>
        <v>#VALUE!</v>
      </c>
      <c r="Q13" s="104" t="e">
        <f aca="false">(EXP(-H13*G13))*((D13*P13)-(E13*O13))</f>
        <v>#VALUE!</v>
      </c>
      <c r="R13" s="105" t="e">
        <f aca="false">Q13*B13</f>
        <v>#VALUE!</v>
      </c>
      <c r="S13" s="106" t="e">
        <f aca="false">Q13+M13</f>
        <v>#VALUE!</v>
      </c>
      <c r="U13" s="0" t="n">
        <v>0.2</v>
      </c>
    </row>
    <row r="14" customFormat="false" ht="15.75" hidden="false" customHeight="false" outlineLevel="0" collapsed="false">
      <c r="A14" s="96"/>
      <c r="B14" s="97"/>
      <c r="C14" s="97"/>
      <c r="D14" s="98"/>
      <c r="E14" s="99"/>
      <c r="F14" s="100"/>
      <c r="G14" s="89"/>
      <c r="H14" s="101"/>
      <c r="I14" s="102"/>
      <c r="J14" s="103"/>
      <c r="K14" s="103"/>
      <c r="L14" s="103"/>
      <c r="M14" s="104"/>
      <c r="N14" s="97"/>
      <c r="O14" s="103"/>
      <c r="P14" s="103"/>
      <c r="Q14" s="104"/>
      <c r="R14" s="105"/>
      <c r="S14" s="106"/>
      <c r="U14" s="0" t="n">
        <v>0.2</v>
      </c>
    </row>
    <row r="15" customFormat="false" ht="15.75" hidden="false" customHeight="false" outlineLevel="0" collapsed="false">
      <c r="A15" s="96"/>
      <c r="B15" s="97"/>
      <c r="C15" s="97"/>
      <c r="D15" s="98"/>
      <c r="E15" s="99"/>
      <c r="F15" s="100"/>
      <c r="G15" s="89"/>
      <c r="H15" s="101"/>
      <c r="I15" s="102"/>
      <c r="J15" s="103"/>
      <c r="K15" s="103"/>
      <c r="L15" s="103"/>
      <c r="M15" s="104"/>
      <c r="N15" s="97"/>
      <c r="O15" s="103"/>
      <c r="P15" s="103"/>
      <c r="Q15" s="104"/>
      <c r="R15" s="105"/>
      <c r="S15" s="106"/>
    </row>
    <row r="16" customFormat="false" ht="15.75" hidden="false" customHeight="false" outlineLevel="0" collapsed="false">
      <c r="A16" s="96"/>
      <c r="B16" s="97"/>
      <c r="C16" s="97"/>
      <c r="D16" s="98"/>
      <c r="E16" s="99"/>
      <c r="F16" s="100"/>
      <c r="G16" s="89"/>
      <c r="H16" s="101"/>
      <c r="I16" s="102"/>
      <c r="J16" s="103"/>
      <c r="K16" s="103"/>
      <c r="L16" s="103"/>
      <c r="M16" s="104"/>
      <c r="N16" s="97"/>
      <c r="O16" s="103"/>
      <c r="P16" s="103"/>
      <c r="Q16" s="104"/>
      <c r="R16" s="105"/>
      <c r="S16" s="106"/>
    </row>
    <row r="17" customFormat="false" ht="15.75" hidden="false" customHeight="false" outlineLevel="0" collapsed="false">
      <c r="A17" s="107" t="n">
        <v>36830</v>
      </c>
      <c r="D17" s="98"/>
      <c r="E17" s="99"/>
      <c r="F17" s="100"/>
      <c r="G17" s="89"/>
      <c r="H17" s="101"/>
      <c r="I17" s="102"/>
      <c r="J17" s="103"/>
      <c r="K17" s="103"/>
      <c r="L17" s="103"/>
      <c r="M17" s="104"/>
      <c r="N17" s="97"/>
      <c r="O17" s="103"/>
      <c r="P17" s="103"/>
      <c r="Q17" s="104"/>
      <c r="R17" s="105"/>
    </row>
    <row r="18" customFormat="false" ht="15.75" hidden="false" customHeight="false" outlineLevel="0" collapsed="false">
      <c r="A18" s="96" t="n">
        <f aca="false">+A17+1</f>
        <v>36831</v>
      </c>
      <c r="B18" s="97" t="n">
        <v>150000</v>
      </c>
      <c r="C18" s="97" t="str">
        <f aca="false">IF($A$3=1,"Call","Put")</f>
        <v>Call</v>
      </c>
      <c r="D18" s="98" t="n">
        <v>4.3</v>
      </c>
      <c r="E18" s="98" t="n">
        <v>4.3</v>
      </c>
      <c r="F18" s="100" t="n">
        <v>0.53</v>
      </c>
      <c r="G18" s="89" t="n">
        <f aca="false">(A18-$A$17)/365.25</f>
        <v>0.0027378507871321</v>
      </c>
      <c r="H18" s="101" t="n">
        <v>0.05</v>
      </c>
      <c r="I18" s="102" t="n">
        <f aca="false">IF(B18=0,0,(LN(E18/D18)+(F18^2/2)*G18))/(F18*SQRT(G18))</f>
        <v>0.013865986136094</v>
      </c>
      <c r="J18" s="103" t="n">
        <f aca="false">IF(I18=0,0,I18-F18*SQRT(G18))</f>
        <v>-0.013865986136094</v>
      </c>
      <c r="K18" s="103" t="n">
        <f aca="false">NORMSDIST(I18)</f>
        <v>0.505531550874115</v>
      </c>
      <c r="L18" s="103" t="n">
        <f aca="false">NORMSDIST(J18)</f>
        <v>0.494468449125885</v>
      </c>
      <c r="M18" s="104" t="n">
        <v>0</v>
      </c>
      <c r="N18" s="97" t="n">
        <f aca="false">M18*B18</f>
        <v>0</v>
      </c>
      <c r="O18" s="103" t="n">
        <f aca="false">NORMSDIST(-I18)</f>
        <v>0.494468449125885</v>
      </c>
      <c r="P18" s="103" t="n">
        <f aca="false">NORMSDIST(-J18)</f>
        <v>0.505531550874115</v>
      </c>
      <c r="Q18" s="104" t="n">
        <f aca="false">(EXP(-H18*G18))*((D18*P18)-(E18*O18))</f>
        <v>0.0475648258019082</v>
      </c>
      <c r="R18" s="105" t="n">
        <f aca="false">Q18*B18</f>
        <v>7134.72387028623</v>
      </c>
      <c r="S18" s="108"/>
    </row>
    <row r="19" customFormat="false" ht="15.75" hidden="false" customHeight="false" outlineLevel="0" collapsed="false">
      <c r="A19" s="96" t="n">
        <f aca="false">+A18+1</f>
        <v>36832</v>
      </c>
      <c r="B19" s="97" t="n">
        <v>150000</v>
      </c>
      <c r="C19" s="97" t="str">
        <f aca="false">IF($A$3=1,"Call","Put")</f>
        <v>Call</v>
      </c>
      <c r="D19" s="98" t="n">
        <v>4.3</v>
      </c>
      <c r="E19" s="98" t="n">
        <v>4.3</v>
      </c>
      <c r="F19" s="100" t="n">
        <v>0.53</v>
      </c>
      <c r="G19" s="89" t="n">
        <f aca="false">(A19-$A$17)/365.25</f>
        <v>0.0054757015742642</v>
      </c>
      <c r="H19" s="101" t="n">
        <v>0.05</v>
      </c>
      <c r="I19" s="102" t="n">
        <f aca="false">IF(B19=0,0,(LN(E19/D19)+(F19^2/2)*G19))/(F19*SQRT(G19))</f>
        <v>0.0196094656493415</v>
      </c>
      <c r="J19" s="103" t="n">
        <f aca="false">IF(I19=0,0,I19-F19*SQRT(G19))</f>
        <v>-0.0196094656493415</v>
      </c>
      <c r="K19" s="103" t="n">
        <f aca="false">NORMSDIST(I19)</f>
        <v>0.507822543605117</v>
      </c>
      <c r="L19" s="103" t="n">
        <f aca="false">NORMSDIST(J19)</f>
        <v>0.492177456394883</v>
      </c>
      <c r="M19" s="104" t="n">
        <f aca="false">(EXP(-H19*G19))*((E19*K19)-(D19*L19))</f>
        <v>0.0672554589419782</v>
      </c>
      <c r="N19" s="97" t="n">
        <f aca="false">M19*B19</f>
        <v>10088.3188412967</v>
      </c>
      <c r="O19" s="103" t="n">
        <f aca="false">NORMSDIST(-I19)</f>
        <v>0.492177456394883</v>
      </c>
      <c r="P19" s="103" t="n">
        <f aca="false">NORMSDIST(-J19)</f>
        <v>0.507822543605117</v>
      </c>
      <c r="Q19" s="104" t="n">
        <f aca="false">(EXP(-H19*G19))*((D19*P19)-(E19*O19))</f>
        <v>0.0672554589419782</v>
      </c>
      <c r="R19" s="105" t="n">
        <f aca="false">Q19*B19</f>
        <v>10088.3188412967</v>
      </c>
      <c r="S19" s="108"/>
    </row>
    <row r="20" customFormat="false" ht="15.75" hidden="false" customHeight="false" outlineLevel="0" collapsed="false">
      <c r="A20" s="96" t="n">
        <f aca="false">+A19+1</f>
        <v>36833</v>
      </c>
      <c r="B20" s="97" t="n">
        <v>150000</v>
      </c>
      <c r="C20" s="97" t="str">
        <f aca="false">IF($A$3=1,"Call","Put")</f>
        <v>Call</v>
      </c>
      <c r="D20" s="98" t="n">
        <v>4.3</v>
      </c>
      <c r="E20" s="98" t="n">
        <v>4.3</v>
      </c>
      <c r="F20" s="100" t="n">
        <v>0.53</v>
      </c>
      <c r="G20" s="89" t="n">
        <f aca="false">(A20-$A$17)/365.25</f>
        <v>0.0082135523613963</v>
      </c>
      <c r="H20" s="101" t="n">
        <v>0.05</v>
      </c>
      <c r="I20" s="102" t="n">
        <f aca="false">IF(B20=0,0,(LN(E20/D20)+(F20^2/2)*G20))/(F20*SQRT(G20))</f>
        <v>0.0240165924847605</v>
      </c>
      <c r="J20" s="103" t="n">
        <f aca="false">IF(I20=0,0,I20-F20*SQRT(G20))</f>
        <v>-0.0240165924847605</v>
      </c>
      <c r="K20" s="103" t="n">
        <f aca="false">NORMSDIST(I20)</f>
        <v>0.509580313182295</v>
      </c>
      <c r="L20" s="103" t="n">
        <f aca="false">NORMSDIST(J20)</f>
        <v>0.490419686817705</v>
      </c>
      <c r="M20" s="104" t="n">
        <f aca="false">(EXP(-H20*G20))*((E20*K20)-(D20*L20))</f>
        <v>0.0823568643009318</v>
      </c>
      <c r="N20" s="97" t="n">
        <f aca="false">M20*B20</f>
        <v>12353.5296451398</v>
      </c>
      <c r="O20" s="103" t="n">
        <f aca="false">NORMSDIST(-I20)</f>
        <v>0.490419686817705</v>
      </c>
      <c r="P20" s="103" t="n">
        <f aca="false">NORMSDIST(-J20)</f>
        <v>0.509580313182295</v>
      </c>
      <c r="Q20" s="104" t="n">
        <f aca="false">(EXP(-H20*G20))*((D20*P20)-(E20*O20))</f>
        <v>0.0823568643009318</v>
      </c>
      <c r="R20" s="105" t="n">
        <f aca="false">Q20*B20</f>
        <v>12353.5296451398</v>
      </c>
      <c r="S20" s="108"/>
    </row>
    <row r="21" customFormat="false" ht="15.75" hidden="false" customHeight="false" outlineLevel="0" collapsed="false">
      <c r="A21" s="96" t="n">
        <f aca="false">+A20+1</f>
        <v>36834</v>
      </c>
      <c r="B21" s="97" t="n">
        <v>150000</v>
      </c>
      <c r="C21" s="97" t="str">
        <f aca="false">IF($A$3=1,"Call","Put")</f>
        <v>Call</v>
      </c>
      <c r="D21" s="98" t="n">
        <v>4.3</v>
      </c>
      <c r="E21" s="98" t="n">
        <v>4.3</v>
      </c>
      <c r="F21" s="100" t="n">
        <v>0.53</v>
      </c>
      <c r="G21" s="89" t="n">
        <f aca="false">(A21-$A$17)/365.25</f>
        <v>0.0109514031485284</v>
      </c>
      <c r="H21" s="101" t="n">
        <v>0.05</v>
      </c>
      <c r="I21" s="102" t="n">
        <f aca="false">IF(B21=0,0,(LN(E21/D21)+(F21^2/2)*G21))/(F21*SQRT(G21))</f>
        <v>0.0277319722721881</v>
      </c>
      <c r="J21" s="103" t="n">
        <f aca="false">IF(I21=0,0,I21-F21*SQRT(G21))</f>
        <v>-0.0277319722721881</v>
      </c>
      <c r="K21" s="103" t="n">
        <f aca="false">NORMSDIST(I21)</f>
        <v>0.51106203834071</v>
      </c>
      <c r="L21" s="103" t="n">
        <f aca="false">NORMSDIST(J21)</f>
        <v>0.48893796165929</v>
      </c>
      <c r="M21" s="104" t="n">
        <f aca="false">(EXP(-H21*G21))*((E21*K21)-(D21*L21))</f>
        <v>0.0950814517077384</v>
      </c>
      <c r="N21" s="97" t="n">
        <f aca="false">M21*B21</f>
        <v>14262.2177561608</v>
      </c>
      <c r="O21" s="103" t="n">
        <f aca="false">NORMSDIST(-I21)</f>
        <v>0.48893796165929</v>
      </c>
      <c r="P21" s="103" t="n">
        <f aca="false">NORMSDIST(-J21)</f>
        <v>0.51106203834071</v>
      </c>
      <c r="Q21" s="104" t="n">
        <f aca="false">(EXP(-H21*G21))*((D21*P21)-(E21*O21))</f>
        <v>0.0950814517077384</v>
      </c>
      <c r="R21" s="105" t="n">
        <f aca="false">Q21*B21</f>
        <v>14262.2177561608</v>
      </c>
      <c r="S21" s="108"/>
    </row>
    <row r="22" customFormat="false" ht="15.75" hidden="false" customHeight="false" outlineLevel="0" collapsed="false">
      <c r="A22" s="96" t="n">
        <f aca="false">+A21+1</f>
        <v>36835</v>
      </c>
      <c r="B22" s="97" t="n">
        <v>150000</v>
      </c>
      <c r="C22" s="97" t="str">
        <f aca="false">IF($A$3=1,"Call","Put")</f>
        <v>Call</v>
      </c>
      <c r="D22" s="98" t="n">
        <v>4.3</v>
      </c>
      <c r="E22" s="98" t="n">
        <v>4.3</v>
      </c>
      <c r="F22" s="100" t="n">
        <v>0.53</v>
      </c>
      <c r="G22" s="89" t="n">
        <f aca="false">(A22-$A$17)/365.25</f>
        <v>0.0136892539356605</v>
      </c>
      <c r="H22" s="101" t="n">
        <v>0.05</v>
      </c>
      <c r="I22" s="102" t="n">
        <f aca="false">IF(B22=0,0,(LN(E22/D22)+(F22^2/2)*G22))/(F22*SQRT(G22))</f>
        <v>0.0310052875753759</v>
      </c>
      <c r="J22" s="103" t="n">
        <f aca="false">IF(I22=0,0,I22-F22*SQRT(G22))</f>
        <v>-0.0310052875753759</v>
      </c>
      <c r="K22" s="103" t="n">
        <f aca="false">NORMSDIST(I22)</f>
        <v>0.512367338586898</v>
      </c>
      <c r="L22" s="103" t="n">
        <f aca="false">NORMSDIST(J22)</f>
        <v>0.487632661413102</v>
      </c>
      <c r="M22" s="104" t="n">
        <f aca="false">(EXP(-H22*G22))*((E22*K22)-(D22*L22))</f>
        <v>0.106286337911163</v>
      </c>
      <c r="N22" s="97" t="n">
        <f aca="false">M22*B22</f>
        <v>15942.9506866744</v>
      </c>
      <c r="O22" s="103" t="n">
        <f aca="false">NORMSDIST(-I22)</f>
        <v>0.487632661413102</v>
      </c>
      <c r="P22" s="103" t="n">
        <f aca="false">NORMSDIST(-J22)</f>
        <v>0.512367338586898</v>
      </c>
      <c r="Q22" s="104" t="n">
        <f aca="false">(EXP(-H22*G22))*((D22*P22)-(E22*O22))</f>
        <v>0.106286337911163</v>
      </c>
      <c r="R22" s="105" t="n">
        <f aca="false">Q22*B22</f>
        <v>15942.9506866744</v>
      </c>
      <c r="S22" s="108"/>
    </row>
    <row r="23" customFormat="false" ht="15.75" hidden="false" customHeight="false" outlineLevel="0" collapsed="false">
      <c r="A23" s="96" t="n">
        <f aca="false">+A22+1</f>
        <v>36836</v>
      </c>
      <c r="B23" s="97" t="n">
        <v>150000</v>
      </c>
      <c r="C23" s="97" t="str">
        <f aca="false">IF($A$3=1,"Call","Put")</f>
        <v>Call</v>
      </c>
      <c r="D23" s="98" t="n">
        <v>4.3</v>
      </c>
      <c r="E23" s="98" t="n">
        <v>4.3</v>
      </c>
      <c r="F23" s="100" t="n">
        <v>0.53</v>
      </c>
      <c r="G23" s="89" t="n">
        <f aca="false">(A23-$A$17)/365.25</f>
        <v>0.0164271047227926</v>
      </c>
      <c r="H23" s="101" t="n">
        <v>0.05</v>
      </c>
      <c r="I23" s="102" t="n">
        <f aca="false">IF(B23=0,0,(LN(E23/D23)+(F23^2/2)*G23))/(F23*SQRT(G23))</f>
        <v>0.0339645908139361</v>
      </c>
      <c r="J23" s="103" t="n">
        <f aca="false">IF(I23=0,0,I23-F23*SQRT(G23))</f>
        <v>-0.0339645908139361</v>
      </c>
      <c r="K23" s="103" t="n">
        <f aca="false">NORMSDIST(I23)</f>
        <v>0.513547306581507</v>
      </c>
      <c r="L23" s="103" t="n">
        <f aca="false">NORMSDIST(J23)</f>
        <v>0.486452693418493</v>
      </c>
      <c r="M23" s="104" t="n">
        <f aca="false">(EXP(-H23*G23))*((E23*K23)-(D23*L23))</f>
        <v>0.116411182389091</v>
      </c>
      <c r="N23" s="97" t="n">
        <f aca="false">M23*B23</f>
        <v>17461.6773583637</v>
      </c>
      <c r="O23" s="103" t="n">
        <f aca="false">NORMSDIST(-I23)</f>
        <v>0.486452693418493</v>
      </c>
      <c r="P23" s="103" t="n">
        <f aca="false">NORMSDIST(-J23)</f>
        <v>0.513547306581507</v>
      </c>
      <c r="Q23" s="104" t="n">
        <f aca="false">(EXP(-H23*G23))*((D23*P23)-(E23*O23))</f>
        <v>0.116411182389092</v>
      </c>
      <c r="R23" s="105" t="n">
        <f aca="false">Q23*B23</f>
        <v>17461.6773583638</v>
      </c>
      <c r="S23" s="108"/>
    </row>
    <row r="24" customFormat="false" ht="15.75" hidden="false" customHeight="false" outlineLevel="0" collapsed="false">
      <c r="A24" s="96" t="n">
        <f aca="false">+A23+1</f>
        <v>36837</v>
      </c>
      <c r="B24" s="97" t="n">
        <v>150000</v>
      </c>
      <c r="C24" s="97" t="str">
        <f aca="false">IF($A$3=1,"Call","Put")</f>
        <v>Call</v>
      </c>
      <c r="D24" s="98" t="n">
        <v>4.3</v>
      </c>
      <c r="E24" s="98" t="n">
        <v>4.3</v>
      </c>
      <c r="F24" s="100" t="n">
        <v>0.53</v>
      </c>
      <c r="G24" s="89" t="n">
        <f aca="false">(A24-$A$17)/365.25</f>
        <v>0.0191649555099247</v>
      </c>
      <c r="H24" s="101" t="n">
        <v>0.05</v>
      </c>
      <c r="I24" s="102" t="n">
        <f aca="false">IF(B24=0,0,(LN(E24/D24)+(F24^2/2)*G24))/(F24*SQRT(G24))</f>
        <v>0.0366859509987742</v>
      </c>
      <c r="J24" s="103" t="n">
        <f aca="false">IF(I24=0,0,I24-F24*SQRT(G24))</f>
        <v>-0.0366859509987742</v>
      </c>
      <c r="K24" s="103" t="n">
        <f aca="false">NORMSDIST(I24)</f>
        <v>0.514632294708961</v>
      </c>
      <c r="L24" s="103" t="n">
        <f aca="false">NORMSDIST(J24)</f>
        <v>0.485367705291039</v>
      </c>
      <c r="M24" s="104" t="n">
        <f aca="false">(EXP(-H24*G24))*((E24*K24)-(D24*L24))</f>
        <v>0.125717208524003</v>
      </c>
      <c r="N24" s="97" t="n">
        <f aca="false">M24*B24</f>
        <v>18857.5812786005</v>
      </c>
      <c r="O24" s="103" t="n">
        <f aca="false">NORMSDIST(-I24)</f>
        <v>0.485367705291039</v>
      </c>
      <c r="P24" s="103" t="n">
        <f aca="false">NORMSDIST(-J24)</f>
        <v>0.514632294708961</v>
      </c>
      <c r="Q24" s="104" t="n">
        <f aca="false">(EXP(-H24*G24))*((D24*P24)-(E24*O24))</f>
        <v>0.125717208524003</v>
      </c>
      <c r="R24" s="105" t="n">
        <f aca="false">Q24*B24</f>
        <v>18857.5812786005</v>
      </c>
      <c r="S24" s="108"/>
    </row>
    <row r="25" customFormat="false" ht="15.75" hidden="false" customHeight="false" outlineLevel="0" collapsed="false">
      <c r="A25" s="96" t="n">
        <f aca="false">+A24+1</f>
        <v>36838</v>
      </c>
      <c r="B25" s="97" t="n">
        <v>150000</v>
      </c>
      <c r="C25" s="97" t="str">
        <f aca="false">IF($A$3=1,"Call","Put")</f>
        <v>Call</v>
      </c>
      <c r="D25" s="98" t="n">
        <v>4.3</v>
      </c>
      <c r="E25" s="98" t="n">
        <v>4.3</v>
      </c>
      <c r="F25" s="100" t="n">
        <v>0.53</v>
      </c>
      <c r="G25" s="89" t="n">
        <f aca="false">(A25-$A$17)/365.25</f>
        <v>0.0219028062970568</v>
      </c>
      <c r="H25" s="101" t="n">
        <v>0.05</v>
      </c>
      <c r="I25" s="102" t="n">
        <f aca="false">IF(B25=0,0,(LN(E25/D25)+(F25^2/2)*G25))/(F25*SQRT(G25))</f>
        <v>0.039218931298683</v>
      </c>
      <c r="J25" s="103" t="n">
        <f aca="false">IF(I25=0,0,I25-F25*SQRT(G25))</f>
        <v>-0.039218931298683</v>
      </c>
      <c r="K25" s="103" t="n">
        <f aca="false">NORMSDIST(I25)</f>
        <v>0.515642079873214</v>
      </c>
      <c r="L25" s="103" t="n">
        <f aca="false">NORMSDIST(J25)</f>
        <v>0.484357920126786</v>
      </c>
      <c r="M25" s="104" t="n">
        <f aca="false">(EXP(-H25*G25))*((E25*K25)-(D25*L25))</f>
        <v>0.134374647206837</v>
      </c>
      <c r="N25" s="97" t="n">
        <f aca="false">M25*B25</f>
        <v>20156.1970810256</v>
      </c>
      <c r="O25" s="103" t="n">
        <f aca="false">NORMSDIST(-I25)</f>
        <v>0.484357920126786</v>
      </c>
      <c r="P25" s="103" t="n">
        <f aca="false">NORMSDIST(-J25)</f>
        <v>0.515642079873214</v>
      </c>
      <c r="Q25" s="104" t="n">
        <f aca="false">(EXP(-H25*G25))*((D25*P25)-(E25*O25))</f>
        <v>0.134374647206837</v>
      </c>
      <c r="R25" s="105" t="n">
        <f aca="false">Q25*B25</f>
        <v>20156.1970810256</v>
      </c>
      <c r="S25" s="108"/>
    </row>
    <row r="26" customFormat="false" ht="15.75" hidden="false" customHeight="false" outlineLevel="0" collapsed="false">
      <c r="A26" s="96" t="n">
        <f aca="false">+A25+1</f>
        <v>36839</v>
      </c>
      <c r="B26" s="97" t="n">
        <v>150000</v>
      </c>
      <c r="C26" s="97" t="str">
        <f aca="false">IF($A$3=1,"Call","Put")</f>
        <v>Call</v>
      </c>
      <c r="D26" s="98" t="n">
        <v>4.3</v>
      </c>
      <c r="E26" s="98" t="n">
        <v>4.3</v>
      </c>
      <c r="F26" s="100" t="n">
        <v>0.53</v>
      </c>
      <c r="G26" s="89" t="n">
        <f aca="false">(A26-$A$17)/365.25</f>
        <v>0.0246406570841889</v>
      </c>
      <c r="H26" s="101" t="n">
        <v>0.05</v>
      </c>
      <c r="I26" s="102" t="n">
        <f aca="false">IF(B26=0,0,(LN(E26/D26)+(F26^2/2)*G26))/(F26*SQRT(G26))</f>
        <v>0.0415979584082821</v>
      </c>
      <c r="J26" s="103" t="n">
        <f aca="false">IF(I26=0,0,I26-F26*SQRT(G26))</f>
        <v>-0.0415979584082821</v>
      </c>
      <c r="K26" s="103" t="n">
        <f aca="false">NORMSDIST(I26)</f>
        <v>0.516590399605525</v>
      </c>
      <c r="L26" s="103" t="n">
        <f aca="false">NORMSDIST(J26)</f>
        <v>0.483409600394475</v>
      </c>
      <c r="M26" s="104" t="n">
        <f aca="false">(EXP(-H26*G26))*((E26*K26)-(D26*L26))</f>
        <v>0.142501761558999</v>
      </c>
      <c r="N26" s="97" t="n">
        <f aca="false">M26*B26</f>
        <v>21375.2642338499</v>
      </c>
      <c r="O26" s="103" t="n">
        <f aca="false">NORMSDIST(-I26)</f>
        <v>0.483409600394475</v>
      </c>
      <c r="P26" s="103" t="n">
        <f aca="false">NORMSDIST(-J26)</f>
        <v>0.516590399605525</v>
      </c>
      <c r="Q26" s="104" t="n">
        <f aca="false">(EXP(-H26*G26))*((D26*P26)-(E26*O26))</f>
        <v>0.142501761558999</v>
      </c>
      <c r="R26" s="105" t="n">
        <f aca="false">Q26*B26</f>
        <v>21375.2642338499</v>
      </c>
      <c r="S26" s="108"/>
    </row>
    <row r="27" customFormat="false" ht="15.75" hidden="false" customHeight="false" outlineLevel="0" collapsed="false">
      <c r="A27" s="96" t="n">
        <f aca="false">+A26+1</f>
        <v>36840</v>
      </c>
      <c r="B27" s="97" t="n">
        <v>150000</v>
      </c>
      <c r="C27" s="97" t="str">
        <f aca="false">IF($A$3=1,"Call","Put")</f>
        <v>Call</v>
      </c>
      <c r="D27" s="98" t="n">
        <v>4.3</v>
      </c>
      <c r="E27" s="98" t="n">
        <v>4.3</v>
      </c>
      <c r="F27" s="100" t="n">
        <v>0.53</v>
      </c>
      <c r="G27" s="89" t="n">
        <f aca="false">(A27-$A$17)/365.25</f>
        <v>0.027378507871321</v>
      </c>
      <c r="H27" s="101" t="n">
        <v>0.05</v>
      </c>
      <c r="I27" s="102" t="n">
        <f aca="false">IF(B27=0,0,(LN(E27/D27)+(F27^2/2)*G27))/(F27*SQRT(G27))</f>
        <v>0.0438480981943746</v>
      </c>
      <c r="J27" s="103" t="n">
        <f aca="false">IF(I27=0,0,I27-F27*SQRT(G27))</f>
        <v>-0.0438480981943746</v>
      </c>
      <c r="K27" s="103" t="n">
        <f aca="false">NORMSDIST(I27)</f>
        <v>0.517487256443198</v>
      </c>
      <c r="L27" s="103" t="n">
        <f aca="false">NORMSDIST(J27)</f>
        <v>0.482512743556803</v>
      </c>
      <c r="M27" s="104" t="n">
        <f aca="false">(EXP(-H27*G27))*((E27*K27)-(D27*L27))</f>
        <v>0.15018467301486</v>
      </c>
      <c r="N27" s="97" t="n">
        <f aca="false">M27*B27</f>
        <v>22527.700952229</v>
      </c>
      <c r="O27" s="103" t="n">
        <f aca="false">NORMSDIST(-I27)</f>
        <v>0.482512743556803</v>
      </c>
      <c r="P27" s="103" t="n">
        <f aca="false">NORMSDIST(-J27)</f>
        <v>0.517487256443198</v>
      </c>
      <c r="Q27" s="104" t="n">
        <f aca="false">(EXP(-H27*G27))*((D27*P27)-(E27*O27))</f>
        <v>0.15018467301486</v>
      </c>
      <c r="R27" s="105" t="n">
        <f aca="false">Q27*B27</f>
        <v>22527.700952229</v>
      </c>
      <c r="S27" s="108"/>
    </row>
    <row r="28" customFormat="false" ht="15.75" hidden="false" customHeight="false" outlineLevel="0" collapsed="false">
      <c r="A28" s="96" t="n">
        <f aca="false">+A27+1</f>
        <v>36841</v>
      </c>
      <c r="B28" s="97" t="n">
        <v>150000</v>
      </c>
      <c r="C28" s="97" t="str">
        <f aca="false">IF($A$3=1,"Call","Put")</f>
        <v>Call</v>
      </c>
      <c r="D28" s="98" t="n">
        <v>4.3</v>
      </c>
      <c r="E28" s="98" t="n">
        <v>4.3</v>
      </c>
      <c r="F28" s="100" t="n">
        <v>0.53</v>
      </c>
      <c r="G28" s="89" t="n">
        <f aca="false">(A28-$A$17)/365.25</f>
        <v>0.0301163586584531</v>
      </c>
      <c r="H28" s="101" t="n">
        <v>0.05</v>
      </c>
      <c r="I28" s="102" t="n">
        <f aca="false">IF(B28=0,0,(LN(E28/D28)+(F28^2/2)*G28))/(F28*SQRT(G28))</f>
        <v>0.0459882733616937</v>
      </c>
      <c r="J28" s="103" t="n">
        <f aca="false">IF(I28=0,0,I28-F28*SQRT(G28))</f>
        <v>-0.0459882733616938</v>
      </c>
      <c r="K28" s="103" t="n">
        <f aca="false">NORMSDIST(I28)</f>
        <v>0.518340201738383</v>
      </c>
      <c r="L28" s="103" t="n">
        <f aca="false">NORMSDIST(J28)</f>
        <v>0.481659798261617</v>
      </c>
      <c r="M28" s="104" t="n">
        <f aca="false">(EXP(-H28*G28))*((E28*K28)-(D28*L28))</f>
        <v>0.157488407440778</v>
      </c>
      <c r="N28" s="97" t="n">
        <f aca="false">M28*B28</f>
        <v>23623.2611161168</v>
      </c>
      <c r="O28" s="103" t="n">
        <f aca="false">NORMSDIST(-I28)</f>
        <v>0.481659798261617</v>
      </c>
      <c r="P28" s="103" t="n">
        <f aca="false">NORMSDIST(-J28)</f>
        <v>0.518340201738383</v>
      </c>
      <c r="Q28" s="104" t="n">
        <f aca="false">(EXP(-H28*G28))*((D28*P28)-(E28*O28))</f>
        <v>0.157488407440779</v>
      </c>
      <c r="R28" s="105" t="n">
        <f aca="false">Q28*B28</f>
        <v>23623.2611161168</v>
      </c>
      <c r="S28" s="108"/>
    </row>
    <row r="29" customFormat="false" ht="15.75" hidden="false" customHeight="false" outlineLevel="0" collapsed="false">
      <c r="A29" s="96" t="n">
        <f aca="false">+A28+1</f>
        <v>36842</v>
      </c>
      <c r="B29" s="97" t="n">
        <v>150000</v>
      </c>
      <c r="C29" s="97" t="str">
        <f aca="false">IF($A$3=1,"Call","Put")</f>
        <v>Call</v>
      </c>
      <c r="D29" s="98" t="n">
        <v>4.3</v>
      </c>
      <c r="E29" s="98" t="n">
        <v>4.3</v>
      </c>
      <c r="F29" s="100" t="n">
        <v>0.53</v>
      </c>
      <c r="G29" s="89" t="n">
        <f aca="false">(A29-$A$17)/365.25</f>
        <v>0.0328542094455852</v>
      </c>
      <c r="H29" s="101" t="n">
        <v>0.05</v>
      </c>
      <c r="I29" s="102" t="n">
        <f aca="false">IF(B29=0,0,(LN(E29/D29)+(F29^2/2)*G29))/(F29*SQRT(G29))</f>
        <v>0.048033184969521</v>
      </c>
      <c r="J29" s="103" t="n">
        <f aca="false">IF(I29=0,0,I29-F29*SQRT(G29))</f>
        <v>-0.0480331849695211</v>
      </c>
      <c r="K29" s="103" t="n">
        <f aca="false">NORMSDIST(I29)</f>
        <v>0.519155102330226</v>
      </c>
      <c r="L29" s="103" t="n">
        <f aca="false">NORMSDIST(J29)</f>
        <v>0.480844897669774</v>
      </c>
      <c r="M29" s="104" t="n">
        <f aca="false">(EXP(-H29*G29))*((E29*K29)-(D29*L29))</f>
        <v>0.164463492115403</v>
      </c>
      <c r="N29" s="97" t="n">
        <f aca="false">M29*B29</f>
        <v>24669.5238173105</v>
      </c>
      <c r="O29" s="103" t="n">
        <f aca="false">NORMSDIST(-I29)</f>
        <v>0.480844897669774</v>
      </c>
      <c r="P29" s="103" t="n">
        <f aca="false">NORMSDIST(-J29)</f>
        <v>0.519155102330226</v>
      </c>
      <c r="Q29" s="104" t="n">
        <f aca="false">(EXP(-H29*G29))*((D29*P29)-(E29*O29))</f>
        <v>0.164463492115403</v>
      </c>
      <c r="R29" s="105" t="n">
        <f aca="false">Q29*B29</f>
        <v>24669.5238173105</v>
      </c>
      <c r="S29" s="108"/>
    </row>
    <row r="30" customFormat="false" ht="15.75" hidden="false" customHeight="false" outlineLevel="0" collapsed="false">
      <c r="A30" s="96" t="n">
        <f aca="false">+A29+1</f>
        <v>36843</v>
      </c>
      <c r="B30" s="97" t="n">
        <v>150000</v>
      </c>
      <c r="C30" s="97" t="str">
        <f aca="false">IF($A$3=1,"Call","Put")</f>
        <v>Call</v>
      </c>
      <c r="D30" s="98" t="n">
        <v>4.3</v>
      </c>
      <c r="E30" s="98" t="n">
        <v>4.3</v>
      </c>
      <c r="F30" s="100" t="n">
        <v>0.53</v>
      </c>
      <c r="G30" s="89" t="n">
        <f aca="false">(A30-$A$17)/365.25</f>
        <v>0.0355920602327173</v>
      </c>
      <c r="H30" s="101" t="n">
        <v>0.05</v>
      </c>
      <c r="I30" s="102" t="n">
        <f aca="false">IF(B30=0,0,(LN(E30/D30)+(F30^2/2)*G30))/(F30*SQRT(G30))</f>
        <v>0.0499945239985598</v>
      </c>
      <c r="J30" s="103" t="n">
        <f aca="false">IF(I30=0,0,I30-F30*SQRT(G30))</f>
        <v>-0.0499945239985598</v>
      </c>
      <c r="K30" s="103" t="n">
        <f aca="false">NORMSDIST(I30)</f>
        <v>0.519936623958626</v>
      </c>
      <c r="L30" s="103" t="n">
        <f aca="false">NORMSDIST(J30)</f>
        <v>0.480063376041374</v>
      </c>
      <c r="M30" s="104" t="n">
        <f aca="false">(EXP(-H30*G30))*((E30*K30)-(D30*L30))</f>
        <v>0.171150115607087</v>
      </c>
      <c r="N30" s="97" t="n">
        <f aca="false">M30*B30</f>
        <v>25672.5173410631</v>
      </c>
      <c r="O30" s="103" t="n">
        <f aca="false">NORMSDIST(-I30)</f>
        <v>0.480063376041374</v>
      </c>
      <c r="P30" s="103" t="n">
        <f aca="false">NORMSDIST(-J30)</f>
        <v>0.519936623958626</v>
      </c>
      <c r="Q30" s="104" t="n">
        <f aca="false">(EXP(-H30*G30))*((D30*P30)-(E30*O30))</f>
        <v>0.171150115607087</v>
      </c>
      <c r="R30" s="105" t="n">
        <f aca="false">Q30*B30</f>
        <v>25672.5173410631</v>
      </c>
      <c r="S30" s="108"/>
    </row>
    <row r="31" customFormat="false" ht="15.75" hidden="false" customHeight="false" outlineLevel="0" collapsed="false">
      <c r="A31" s="96" t="n">
        <f aca="false">+A30+1</f>
        <v>36844</v>
      </c>
      <c r="B31" s="97" t="n">
        <v>150000</v>
      </c>
      <c r="C31" s="97" t="str">
        <f aca="false">IF($A$3=1,"Call","Put")</f>
        <v>Call</v>
      </c>
      <c r="D31" s="98" t="n">
        <v>4.3</v>
      </c>
      <c r="E31" s="98" t="n">
        <v>4.3</v>
      </c>
      <c r="F31" s="100" t="n">
        <v>0.53</v>
      </c>
      <c r="G31" s="89" t="n">
        <f aca="false">(A31-$A$17)/365.25</f>
        <v>0.0383299110198494</v>
      </c>
      <c r="H31" s="101" t="n">
        <v>0.05</v>
      </c>
      <c r="I31" s="102" t="n">
        <f aca="false">IF(B31=0,0,(LN(E31/D31)+(F31^2/2)*G31))/(F31*SQRT(G31))</f>
        <v>0.0518817694510213</v>
      </c>
      <c r="J31" s="103" t="n">
        <f aca="false">IF(I31=0,0,I31-F31*SQRT(G31))</f>
        <v>-0.0518817694510213</v>
      </c>
      <c r="K31" s="103" t="n">
        <f aca="false">NORMSDIST(I31)</f>
        <v>0.520688549709689</v>
      </c>
      <c r="L31" s="103" t="n">
        <f aca="false">NORMSDIST(J31)</f>
        <v>0.479311450290311</v>
      </c>
      <c r="M31" s="104" t="n">
        <f aca="false">(EXP(-H31*G31))*((E31*K31)-(D31*L31))</f>
        <v>0.177580868227702</v>
      </c>
      <c r="N31" s="97" t="n">
        <f aca="false">M31*B31</f>
        <v>26637.1302341554</v>
      </c>
      <c r="O31" s="103" t="n">
        <f aca="false">NORMSDIST(-I31)</f>
        <v>0.479311450290311</v>
      </c>
      <c r="P31" s="103" t="n">
        <f aca="false">NORMSDIST(-J31)</f>
        <v>0.520688549709689</v>
      </c>
      <c r="Q31" s="104" t="n">
        <f aca="false">(EXP(-H31*G31))*((D31*P31)-(E31*O31))</f>
        <v>0.177580868227702</v>
      </c>
      <c r="R31" s="105" t="n">
        <f aca="false">Q31*B31</f>
        <v>26637.1302341554</v>
      </c>
      <c r="S31" s="108"/>
    </row>
    <row r="32" customFormat="false" ht="15.75" hidden="false" customHeight="false" outlineLevel="0" collapsed="false">
      <c r="A32" s="96" t="n">
        <f aca="false">+A31+1</f>
        <v>36845</v>
      </c>
      <c r="B32" s="97" t="n">
        <v>150000</v>
      </c>
      <c r="C32" s="97" t="str">
        <f aca="false">IF($A$3=1,"Call","Put")</f>
        <v>Call</v>
      </c>
      <c r="D32" s="98" t="n">
        <v>4.3</v>
      </c>
      <c r="E32" s="98" t="n">
        <v>4.3</v>
      </c>
      <c r="F32" s="100" t="n">
        <v>0.53</v>
      </c>
      <c r="G32" s="89" t="n">
        <f aca="false">(A32-$A$17)/365.25</f>
        <v>0.0410677618069815</v>
      </c>
      <c r="H32" s="101" t="n">
        <v>0.05</v>
      </c>
      <c r="I32" s="102" t="n">
        <f aca="false">IF(B32=0,0,(LN(E32/D32)+(F32^2/2)*G32))/(F32*SQRT(G32))</f>
        <v>0.0537027333838351</v>
      </c>
      <c r="J32" s="103" t="n">
        <f aca="false">IF(I32=0,0,I32-F32*SQRT(G32))</f>
        <v>-0.0537027333838351</v>
      </c>
      <c r="K32" s="103" t="n">
        <f aca="false">NORMSDIST(I32)</f>
        <v>0.521413997489402</v>
      </c>
      <c r="L32" s="103" t="n">
        <f aca="false">NORMSDIST(J32)</f>
        <v>0.478586002510598</v>
      </c>
      <c r="M32" s="104" t="n">
        <f aca="false">(EXP(-H32*G32))*((E32*K32)-(D32*L32))</f>
        <v>0.183782613662665</v>
      </c>
      <c r="N32" s="97" t="n">
        <f aca="false">M32*B32</f>
        <v>27567.3920493998</v>
      </c>
      <c r="O32" s="103" t="n">
        <f aca="false">NORMSDIST(-I32)</f>
        <v>0.478586002510598</v>
      </c>
      <c r="P32" s="103" t="n">
        <f aca="false">NORMSDIST(-J32)</f>
        <v>0.521413997489402</v>
      </c>
      <c r="Q32" s="104" t="n">
        <f aca="false">(EXP(-H32*G32))*((D32*P32)-(E32*O32))</f>
        <v>0.183782613662665</v>
      </c>
      <c r="R32" s="105" t="n">
        <f aca="false">Q32*B32</f>
        <v>27567.3920493998</v>
      </c>
      <c r="S32" s="108"/>
    </row>
    <row r="33" customFormat="false" ht="15.75" hidden="false" customHeight="false" outlineLevel="0" collapsed="false">
      <c r="A33" s="96" t="n">
        <f aca="false">+A32+1</f>
        <v>36846</v>
      </c>
      <c r="B33" s="97" t="n">
        <v>150000</v>
      </c>
      <c r="C33" s="97" t="str">
        <f aca="false">IF($A$3=1,"Call","Put")</f>
        <v>Call</v>
      </c>
      <c r="D33" s="98" t="n">
        <v>4.3</v>
      </c>
      <c r="E33" s="98" t="n">
        <v>4.3</v>
      </c>
      <c r="F33" s="100" t="n">
        <v>0.53</v>
      </c>
      <c r="G33" s="89" t="n">
        <f aca="false">(A33-$A$17)/365.25</f>
        <v>0.0438056125941136</v>
      </c>
      <c r="H33" s="101" t="n">
        <v>0.05</v>
      </c>
      <c r="I33" s="102" t="n">
        <f aca="false">IF(B33=0,0,(LN(E33/D33)+(F33^2/2)*G33))/(F33*SQRT(G33))</f>
        <v>0.0554639445443761</v>
      </c>
      <c r="J33" s="103" t="n">
        <f aca="false">IF(I33=0,0,I33-F33*SQRT(G33))</f>
        <v>-0.0554639445443761</v>
      </c>
      <c r="K33" s="103" t="n">
        <f aca="false">NORMSDIST(I33)</f>
        <v>0.522115573100238</v>
      </c>
      <c r="L33" s="103" t="n">
        <f aca="false">NORMSDIST(J33)</f>
        <v>0.477884426899762</v>
      </c>
      <c r="M33" s="104" t="n">
        <f aca="false">(EXP(-H33*G33))*((E33*K33)-(D33*L33))</f>
        <v>0.18977780646276</v>
      </c>
      <c r="N33" s="97" t="n">
        <f aca="false">M33*B33</f>
        <v>28466.670969414</v>
      </c>
      <c r="O33" s="103" t="n">
        <f aca="false">NORMSDIST(-I33)</f>
        <v>0.477884426899762</v>
      </c>
      <c r="P33" s="103" t="n">
        <f aca="false">NORMSDIST(-J33)</f>
        <v>0.522115573100238</v>
      </c>
      <c r="Q33" s="104" t="n">
        <f aca="false">(EXP(-H33*G33))*((D33*P33)-(E33*O33))</f>
        <v>0.189777806462761</v>
      </c>
      <c r="R33" s="105" t="n">
        <f aca="false">Q33*B33</f>
        <v>28466.6709694141</v>
      </c>
      <c r="S33" s="108"/>
    </row>
    <row r="34" customFormat="false" ht="15.75" hidden="false" customHeight="false" outlineLevel="0" collapsed="false">
      <c r="A34" s="96" t="n">
        <f aca="false">+A33+1</f>
        <v>36847</v>
      </c>
      <c r="B34" s="97" t="n">
        <v>150000</v>
      </c>
      <c r="C34" s="97" t="str">
        <f aca="false">IF($A$3=1,"Call","Put")</f>
        <v>Call</v>
      </c>
      <c r="D34" s="98" t="n">
        <v>4.3</v>
      </c>
      <c r="E34" s="98" t="n">
        <v>4.3</v>
      </c>
      <c r="F34" s="100" t="n">
        <v>0.53</v>
      </c>
      <c r="G34" s="89" t="n">
        <f aca="false">(A34-$A$17)/365.25</f>
        <v>0.0465434633812457</v>
      </c>
      <c r="H34" s="101" t="n">
        <v>0.05</v>
      </c>
      <c r="I34" s="102" t="n">
        <f aca="false">IF(B34=0,0,(LN(E34/D34)+(F34^2/2)*G34))/(F34*SQRT(G34))</f>
        <v>0.0571709254424658</v>
      </c>
      <c r="J34" s="103" t="n">
        <f aca="false">IF(I34=0,0,I34-F34*SQRT(G34))</f>
        <v>-0.0571709254424658</v>
      </c>
      <c r="K34" s="103" t="n">
        <f aca="false">NORMSDIST(I34)</f>
        <v>0.522795480798714</v>
      </c>
      <c r="L34" s="103" t="n">
        <f aca="false">NORMSDIST(J34)</f>
        <v>0.477204519201286</v>
      </c>
      <c r="M34" s="104" t="n">
        <f aca="false">(EXP(-H34*G34))*((E34*K34)-(D34*L34))</f>
        <v>0.1955854436417</v>
      </c>
      <c r="N34" s="97" t="n">
        <f aca="false">M34*B34</f>
        <v>29337.8165462549</v>
      </c>
      <c r="O34" s="103" t="n">
        <f aca="false">NORMSDIST(-I34)</f>
        <v>0.477204519201286</v>
      </c>
      <c r="P34" s="103" t="n">
        <f aca="false">NORMSDIST(-J34)</f>
        <v>0.522795480798714</v>
      </c>
      <c r="Q34" s="104" t="n">
        <f aca="false">(EXP(-H34*G34))*((D34*P34)-(E34*O34))</f>
        <v>0.1955854436417</v>
      </c>
      <c r="R34" s="105" t="n">
        <f aca="false">Q34*B34</f>
        <v>29337.8165462549</v>
      </c>
      <c r="S34" s="108"/>
    </row>
    <row r="35" customFormat="false" ht="15.75" hidden="false" customHeight="false" outlineLevel="0" collapsed="false">
      <c r="A35" s="96" t="n">
        <f aca="false">+A34+1</f>
        <v>36848</v>
      </c>
      <c r="B35" s="97" t="n">
        <v>150000</v>
      </c>
      <c r="C35" s="97" t="str">
        <f aca="false">IF($A$3=1,"Call","Put")</f>
        <v>Call</v>
      </c>
      <c r="D35" s="98" t="n">
        <v>4.3</v>
      </c>
      <c r="E35" s="98" t="n">
        <v>4.3</v>
      </c>
      <c r="F35" s="100" t="n">
        <v>0.53</v>
      </c>
      <c r="G35" s="89" t="n">
        <f aca="false">(A35-$A$17)/365.25</f>
        <v>0.0492813141683778</v>
      </c>
      <c r="H35" s="101" t="n">
        <v>0.05</v>
      </c>
      <c r="I35" s="102" t="n">
        <f aca="false">IF(B35=0,0,(LN(E35/D35)+(F35^2/2)*G35))/(F35*SQRT(G35))</f>
        <v>0.0588283969480245</v>
      </c>
      <c r="J35" s="103" t="n">
        <f aca="false">IF(I35=0,0,I35-F35*SQRT(G35))</f>
        <v>-0.0588283969480245</v>
      </c>
      <c r="K35" s="103" t="n">
        <f aca="false">NORMSDIST(I35)</f>
        <v>0.523455604935293</v>
      </c>
      <c r="L35" s="103" t="n">
        <f aca="false">NORMSDIST(J35)</f>
        <v>0.476544395064707</v>
      </c>
      <c r="M35" s="104" t="n">
        <f aca="false">(EXP(-H35*G35))*((E35*K35)-(D35*L35))</f>
        <v>0.20122176741356</v>
      </c>
      <c r="N35" s="97" t="n">
        <f aca="false">M35*B35</f>
        <v>30183.265112034</v>
      </c>
      <c r="O35" s="103" t="n">
        <f aca="false">NORMSDIST(-I35)</f>
        <v>0.476544395064707</v>
      </c>
      <c r="P35" s="103" t="n">
        <f aca="false">NORMSDIST(-J35)</f>
        <v>0.523455604935293</v>
      </c>
      <c r="Q35" s="104" t="n">
        <f aca="false">(EXP(-H35*G35))*((D35*P35)-(E35*O35))</f>
        <v>0.20122176741356</v>
      </c>
      <c r="R35" s="105" t="n">
        <f aca="false">Q35*B35</f>
        <v>30183.265112034</v>
      </c>
      <c r="S35" s="108"/>
    </row>
    <row r="36" customFormat="false" ht="15.75" hidden="false" customHeight="false" outlineLevel="0" collapsed="false">
      <c r="A36" s="96" t="n">
        <f aca="false">+A35+1</f>
        <v>36849</v>
      </c>
      <c r="B36" s="97" t="n">
        <v>150000</v>
      </c>
      <c r="C36" s="97" t="str">
        <f aca="false">IF($A$3=1,"Call","Put")</f>
        <v>Call</v>
      </c>
      <c r="D36" s="98" t="n">
        <v>4.3</v>
      </c>
      <c r="E36" s="98" t="n">
        <v>4.3</v>
      </c>
      <c r="F36" s="100" t="n">
        <v>0.53</v>
      </c>
      <c r="G36" s="89" t="n">
        <f aca="false">(A36-$A$17)/365.25</f>
        <v>0.0520191649555099</v>
      </c>
      <c r="H36" s="101" t="n">
        <v>0.05</v>
      </c>
      <c r="I36" s="102" t="n">
        <f aca="false">IF(B36=0,0,(LN(E36/D36)+(F36^2/2)*G36))/(F36*SQRT(G36))</f>
        <v>0.0604404323197699</v>
      </c>
      <c r="J36" s="103" t="n">
        <f aca="false">IF(I36=0,0,I36-F36*SQRT(G36))</f>
        <v>-0.0604404323197699</v>
      </c>
      <c r="K36" s="103" t="n">
        <f aca="false">NORMSDIST(I36)</f>
        <v>0.524097571416773</v>
      </c>
      <c r="L36" s="103" t="n">
        <f aca="false">NORMSDIST(J36)</f>
        <v>0.475902428583227</v>
      </c>
      <c r="M36" s="104" t="n">
        <f aca="false">(EXP(-H36*G36))*((E36*K36)-(D36*L36))</f>
        <v>0.206700794278225</v>
      </c>
      <c r="N36" s="97" t="n">
        <f aca="false">M36*B36</f>
        <v>31005.1191417337</v>
      </c>
      <c r="O36" s="103" t="n">
        <f aca="false">NORMSDIST(-I36)</f>
        <v>0.475902428583227</v>
      </c>
      <c r="P36" s="103" t="n">
        <f aca="false">NORMSDIST(-J36)</f>
        <v>0.524097571416773</v>
      </c>
      <c r="Q36" s="104" t="n">
        <f aca="false">(EXP(-H36*G36))*((D36*P36)-(E36*O36))</f>
        <v>0.206700794278225</v>
      </c>
      <c r="R36" s="105" t="n">
        <f aca="false">Q36*B36</f>
        <v>31005.1191417337</v>
      </c>
      <c r="S36" s="108"/>
    </row>
    <row r="37" customFormat="false" ht="15.75" hidden="false" customHeight="false" outlineLevel="0" collapsed="false">
      <c r="A37" s="96" t="n">
        <f aca="false">+A36+1</f>
        <v>36850</v>
      </c>
      <c r="B37" s="97" t="n">
        <v>150000</v>
      </c>
      <c r="C37" s="97" t="str">
        <f aca="false">IF($A$3=1,"Call","Put")</f>
        <v>Call</v>
      </c>
      <c r="D37" s="98" t="n">
        <v>4.3</v>
      </c>
      <c r="E37" s="98" t="n">
        <v>4.3</v>
      </c>
      <c r="F37" s="100" t="n">
        <v>0.53</v>
      </c>
      <c r="G37" s="89" t="n">
        <f aca="false">(A37-$A$17)/365.25</f>
        <v>0.054757015742642</v>
      </c>
      <c r="H37" s="101" t="n">
        <v>0.05</v>
      </c>
      <c r="I37" s="102" t="n">
        <f aca="false">IF(B37=0,0,(LN(E37/D37)+(F37^2/2)*G37))/(F37*SQRT(G37))</f>
        <v>0.0620105751507518</v>
      </c>
      <c r="J37" s="103" t="n">
        <f aca="false">IF(I37=0,0,I37-F37*SQRT(G37))</f>
        <v>-0.0620105751507518</v>
      </c>
      <c r="K37" s="103" t="n">
        <f aca="false">NORMSDIST(I37)</f>
        <v>0.524722794770998</v>
      </c>
      <c r="L37" s="103" t="n">
        <f aca="false">NORMSDIST(J37)</f>
        <v>0.475277205229002</v>
      </c>
      <c r="M37" s="104" t="n">
        <f aca="false">(EXP(-H37*G37))*((E37*K37)-(D37*L37))</f>
        <v>0.212034720191479</v>
      </c>
      <c r="N37" s="97" t="n">
        <f aca="false">M37*B37</f>
        <v>31805.2080287219</v>
      </c>
      <c r="O37" s="103" t="n">
        <f aca="false">NORMSDIST(-I37)</f>
        <v>0.475277205229002</v>
      </c>
      <c r="P37" s="103" t="n">
        <f aca="false">NORMSDIST(-J37)</f>
        <v>0.524722794770998</v>
      </c>
      <c r="Q37" s="104" t="n">
        <f aca="false">(EXP(-H37*G37))*((D37*P37)-(E37*O37))</f>
        <v>0.212034720191479</v>
      </c>
      <c r="R37" s="105" t="n">
        <f aca="false">Q37*B37</f>
        <v>31805.2080287219</v>
      </c>
      <c r="S37" s="108"/>
    </row>
    <row r="38" customFormat="false" ht="15.75" hidden="false" customHeight="false" outlineLevel="0" collapsed="false">
      <c r="A38" s="96" t="n">
        <f aca="false">+A37+1</f>
        <v>36851</v>
      </c>
      <c r="B38" s="97" t="n">
        <v>150000</v>
      </c>
      <c r="C38" s="97" t="str">
        <f aca="false">IF($A$3=1,"Call","Put")</f>
        <v>Call</v>
      </c>
      <c r="D38" s="98" t="n">
        <v>4.3</v>
      </c>
      <c r="E38" s="98" t="n">
        <v>4.3</v>
      </c>
      <c r="F38" s="100" t="n">
        <v>0.53</v>
      </c>
      <c r="G38" s="89" t="n">
        <f aca="false">(A38-$A$17)/365.25</f>
        <v>0.0574948665297741</v>
      </c>
      <c r="H38" s="101" t="n">
        <v>0.05</v>
      </c>
      <c r="I38" s="102" t="n">
        <f aca="false">IF(B38=0,0,(LN(E38/D38)+(F38^2/2)*G38))/(F38*SQRT(G38))</f>
        <v>0.0635419310538592</v>
      </c>
      <c r="J38" s="103" t="n">
        <f aca="false">IF(I38=0,0,I38-F38*SQRT(G38))</f>
        <v>-0.0635419310538591</v>
      </c>
      <c r="K38" s="103" t="n">
        <f aca="false">NORMSDIST(I38)</f>
        <v>0.525332514733326</v>
      </c>
      <c r="L38" s="103" t="n">
        <f aca="false">NORMSDIST(J38)</f>
        <v>0.474667485266674</v>
      </c>
      <c r="M38" s="104" t="n">
        <f aca="false">(EXP(-H38*G38))*((E38*K38)-(D38*L38))</f>
        <v>0.217234235548836</v>
      </c>
      <c r="N38" s="97" t="n">
        <f aca="false">M38*B38</f>
        <v>32585.1353323253</v>
      </c>
      <c r="O38" s="103" t="n">
        <f aca="false">NORMSDIST(-I38)</f>
        <v>0.474667485266674</v>
      </c>
      <c r="P38" s="103" t="n">
        <f aca="false">NORMSDIST(-J38)</f>
        <v>0.525332514733326</v>
      </c>
      <c r="Q38" s="104" t="n">
        <f aca="false">(EXP(-H38*G38))*((D38*P38)-(E38*O38))</f>
        <v>0.217234235548836</v>
      </c>
      <c r="R38" s="105" t="n">
        <f aca="false">Q38*B38</f>
        <v>32585.1353323253</v>
      </c>
      <c r="S38" s="108"/>
    </row>
    <row r="39" customFormat="false" ht="15.75" hidden="false" customHeight="false" outlineLevel="0" collapsed="false">
      <c r="A39" s="96" t="n">
        <f aca="false">+A38+1</f>
        <v>36852</v>
      </c>
      <c r="B39" s="97" t="n">
        <v>150000</v>
      </c>
      <c r="C39" s="97" t="str">
        <f aca="false">IF($A$3=1,"Call","Put")</f>
        <v>Call</v>
      </c>
      <c r="D39" s="98" t="n">
        <v>4.3</v>
      </c>
      <c r="E39" s="98" t="n">
        <v>4.3</v>
      </c>
      <c r="F39" s="100" t="n">
        <v>0.53</v>
      </c>
      <c r="G39" s="89" t="n">
        <f aca="false">(A39-$A$17)/365.25</f>
        <v>0.0602327173169062</v>
      </c>
      <c r="H39" s="101" t="n">
        <v>0.05</v>
      </c>
      <c r="I39" s="102" t="n">
        <f aca="false">IF(B39=0,0,(LN(E39/D39)+(F39^2/2)*G39))/(F39*SQRT(G39))</f>
        <v>0.0650372398982286</v>
      </c>
      <c r="J39" s="103" t="n">
        <f aca="false">IF(I39=0,0,I39-F39*SQRT(G39))</f>
        <v>-0.0650372398982286</v>
      </c>
      <c r="K39" s="103" t="n">
        <f aca="false">NORMSDIST(I39)</f>
        <v>0.525927825072471</v>
      </c>
      <c r="L39" s="103" t="n">
        <f aca="false">NORMSDIST(J39)</f>
        <v>0.474072174927529</v>
      </c>
      <c r="M39" s="104" t="n">
        <f aca="false">(EXP(-H39*G39))*((E39*K39)-(D39*L39))</f>
        <v>0.222308773370446</v>
      </c>
      <c r="N39" s="97" t="n">
        <f aca="false">M39*B39</f>
        <v>33346.3160055668</v>
      </c>
      <c r="O39" s="103" t="n">
        <f aca="false">NORMSDIST(-I39)</f>
        <v>0.474072174927529</v>
      </c>
      <c r="P39" s="103" t="n">
        <f aca="false">NORMSDIST(-J39)</f>
        <v>0.525927825072471</v>
      </c>
      <c r="Q39" s="104" t="n">
        <f aca="false">(EXP(-H39*G39))*((D39*P39)-(E39*O39))</f>
        <v>0.222308773370446</v>
      </c>
      <c r="R39" s="105" t="n">
        <f aca="false">Q39*B39</f>
        <v>33346.3160055669</v>
      </c>
      <c r="S39" s="108"/>
    </row>
    <row r="40" customFormat="false" ht="15.75" hidden="false" customHeight="false" outlineLevel="0" collapsed="false">
      <c r="A40" s="96" t="n">
        <f aca="false">+A39+1</f>
        <v>36853</v>
      </c>
      <c r="B40" s="97" t="n">
        <v>150000</v>
      </c>
      <c r="C40" s="97" t="str">
        <f aca="false">IF($A$3=1,"Call","Put")</f>
        <v>Call</v>
      </c>
      <c r="D40" s="98" t="n">
        <v>4.3</v>
      </c>
      <c r="E40" s="98" t="n">
        <v>4.3</v>
      </c>
      <c r="F40" s="100" t="n">
        <v>0.53</v>
      </c>
      <c r="G40" s="89" t="n">
        <f aca="false">(A40-$A$17)/365.25</f>
        <v>0.0629705681040383</v>
      </c>
      <c r="H40" s="101" t="n">
        <v>0.05</v>
      </c>
      <c r="I40" s="102" t="n">
        <f aca="false">IF(B40=0,0,(LN(E40/D40)+(F40^2/2)*G40))/(F40*SQRT(G40))</f>
        <v>0.0664989334132969</v>
      </c>
      <c r="J40" s="103" t="n">
        <f aca="false">IF(I40=0,0,I40-F40*SQRT(G40))</f>
        <v>-0.0664989334132969</v>
      </c>
      <c r="K40" s="103" t="n">
        <f aca="false">NORMSDIST(I40)</f>
        <v>0.526509696577643</v>
      </c>
      <c r="L40" s="103" t="n">
        <f aca="false">NORMSDIST(J40)</f>
        <v>0.473490303422357</v>
      </c>
      <c r="M40" s="104" t="n">
        <f aca="false">(EXP(-H40*G40))*((E40*K40)-(D40*L40))</f>
        <v>0.227266707227593</v>
      </c>
      <c r="N40" s="97" t="n">
        <f aca="false">M40*B40</f>
        <v>34090.006084139</v>
      </c>
      <c r="O40" s="103" t="n">
        <f aca="false">NORMSDIST(-I40)</f>
        <v>0.473490303422357</v>
      </c>
      <c r="P40" s="103" t="n">
        <f aca="false">NORMSDIST(-J40)</f>
        <v>0.526509696577643</v>
      </c>
      <c r="Q40" s="104" t="n">
        <f aca="false">(EXP(-H40*G40))*((D40*P40)-(E40*O40))</f>
        <v>0.227266707227593</v>
      </c>
      <c r="R40" s="105" t="n">
        <f aca="false">Q40*B40</f>
        <v>34090.006084139</v>
      </c>
      <c r="S40" s="108"/>
    </row>
    <row r="41" customFormat="false" ht="15.75" hidden="false" customHeight="false" outlineLevel="0" collapsed="false">
      <c r="A41" s="96" t="n">
        <f aca="false">+A40+1</f>
        <v>36854</v>
      </c>
      <c r="B41" s="97" t="n">
        <v>150000</v>
      </c>
      <c r="C41" s="97" t="str">
        <f aca="false">IF($A$3=1,"Call","Put")</f>
        <v>Call</v>
      </c>
      <c r="D41" s="98" t="n">
        <v>4.3</v>
      </c>
      <c r="E41" s="98" t="n">
        <v>4.3</v>
      </c>
      <c r="F41" s="100" t="n">
        <v>0.53</v>
      </c>
      <c r="G41" s="89" t="n">
        <f aca="false">(A41-$A$17)/365.25</f>
        <v>0.0657084188911704</v>
      </c>
      <c r="H41" s="101" t="n">
        <v>0.05</v>
      </c>
      <c r="I41" s="102" t="n">
        <f aca="false">IF(B41=0,0,(LN(E41/D41)+(F41^2/2)*G41))/(F41*SQRT(G41))</f>
        <v>0.0679291816278722</v>
      </c>
      <c r="J41" s="103" t="n">
        <f aca="false">IF(I41=0,0,I41-F41*SQRT(G41))</f>
        <v>-0.0679291816278722</v>
      </c>
      <c r="K41" s="103" t="n">
        <f aca="false">NORMSDIST(I41)</f>
        <v>0.527078995590502</v>
      </c>
      <c r="L41" s="103" t="n">
        <f aca="false">NORMSDIST(J41)</f>
        <v>0.472921004409498</v>
      </c>
      <c r="M41" s="104" t="n">
        <f aca="false">(EXP(-H41*G41))*((E41*K41)-(D41*L41))</f>
        <v>0.232115510818137</v>
      </c>
      <c r="N41" s="97" t="n">
        <f aca="false">M41*B41</f>
        <v>34817.3266227206</v>
      </c>
      <c r="O41" s="103" t="n">
        <f aca="false">NORMSDIST(-I41)</f>
        <v>0.472921004409498</v>
      </c>
      <c r="P41" s="103" t="n">
        <f aca="false">NORMSDIST(-J41)</f>
        <v>0.527078995590502</v>
      </c>
      <c r="Q41" s="104" t="n">
        <f aca="false">(EXP(-H41*G41))*((D41*P41)-(E41*O41))</f>
        <v>0.232115510818137</v>
      </c>
      <c r="R41" s="105" t="n">
        <f aca="false">Q41*B41</f>
        <v>34817.3266227206</v>
      </c>
      <c r="S41" s="108"/>
    </row>
    <row r="42" customFormat="false" ht="15.75" hidden="false" customHeight="false" outlineLevel="0" collapsed="false">
      <c r="A42" s="96" t="n">
        <f aca="false">+A41+1</f>
        <v>36855</v>
      </c>
      <c r="B42" s="97" t="n">
        <v>150000</v>
      </c>
      <c r="C42" s="97" t="str">
        <f aca="false">IF($A$3=1,"Call","Put")</f>
        <v>Call</v>
      </c>
      <c r="D42" s="98" t="n">
        <v>4.3</v>
      </c>
      <c r="E42" s="98" t="n">
        <v>4.3</v>
      </c>
      <c r="F42" s="100" t="n">
        <v>0.53</v>
      </c>
      <c r="G42" s="89" t="n">
        <f aca="false">(A42-$A$17)/365.25</f>
        <v>0.0684462696783025</v>
      </c>
      <c r="H42" s="101" t="n">
        <v>0.05</v>
      </c>
      <c r="I42" s="102" t="n">
        <f aca="false">IF(B42=0,0,(LN(E42/D42)+(F42^2/2)*G42))/(F42*SQRT(G42))</f>
        <v>0.0693299306804702</v>
      </c>
      <c r="J42" s="103" t="n">
        <f aca="false">IF(I42=0,0,I42-F42*SQRT(G42))</f>
        <v>-0.0693299306804702</v>
      </c>
      <c r="K42" s="103" t="n">
        <f aca="false">NORMSDIST(I42)</f>
        <v>0.527636499093952</v>
      </c>
      <c r="L42" s="103" t="n">
        <f aca="false">NORMSDIST(J42)</f>
        <v>0.472363500906048</v>
      </c>
      <c r="M42" s="104" t="n">
        <f aca="false">(EXP(-H42*G42))*((E42*K42)-(D42*L42))</f>
        <v>0.236861887901081</v>
      </c>
      <c r="N42" s="97" t="n">
        <f aca="false">M42*B42</f>
        <v>35529.2831851622</v>
      </c>
      <c r="O42" s="103" t="n">
        <f aca="false">NORMSDIST(-I42)</f>
        <v>0.472363500906048</v>
      </c>
      <c r="P42" s="103" t="n">
        <f aca="false">NORMSDIST(-J42)</f>
        <v>0.527636499093952</v>
      </c>
      <c r="Q42" s="104" t="n">
        <f aca="false">(EXP(-H42*G42))*((D42*P42)-(E42*O42))</f>
        <v>0.236861887901081</v>
      </c>
      <c r="R42" s="105" t="n">
        <f aca="false">Q42*B42</f>
        <v>35529.2831851622</v>
      </c>
      <c r="S42" s="108"/>
    </row>
    <row r="43" customFormat="false" ht="15.75" hidden="false" customHeight="false" outlineLevel="0" collapsed="false">
      <c r="A43" s="96" t="n">
        <f aca="false">+A42+1</f>
        <v>36856</v>
      </c>
      <c r="B43" s="97" t="n">
        <v>150000</v>
      </c>
      <c r="C43" s="97" t="str">
        <f aca="false">IF($A$3=1,"Call","Put")</f>
        <v>Call</v>
      </c>
      <c r="D43" s="98" t="n">
        <v>4.3</v>
      </c>
      <c r="E43" s="98" t="n">
        <v>4.3</v>
      </c>
      <c r="F43" s="100" t="n">
        <v>0.53</v>
      </c>
      <c r="G43" s="89" t="n">
        <f aca="false">(A43-$A$17)/365.25</f>
        <v>0.0711841204654346</v>
      </c>
      <c r="H43" s="101" t="n">
        <v>0.05</v>
      </c>
      <c r="I43" s="102" t="n">
        <f aca="false">IF(B43=0,0,(LN(E43/D43)+(F43^2/2)*G43))/(F43*SQRT(G43))</f>
        <v>0.0707029338831505</v>
      </c>
      <c r="J43" s="103" t="n">
        <f aca="false">IF(I43=0,0,I43-F43*SQRT(G43))</f>
        <v>-0.0707029338831505</v>
      </c>
      <c r="K43" s="103" t="n">
        <f aca="false">NORMSDIST(I43)</f>
        <v>0.528182907108803</v>
      </c>
      <c r="L43" s="103" t="n">
        <f aca="false">NORMSDIST(J43)</f>
        <v>0.471817092891197</v>
      </c>
      <c r="M43" s="104" t="n">
        <f aca="false">(EXP(-H43*G43))*((E43*K43)-(D43*L43))</f>
        <v>0.241511879054691</v>
      </c>
      <c r="N43" s="97" t="n">
        <f aca="false">M43*B43</f>
        <v>36226.7818582036</v>
      </c>
      <c r="O43" s="103" t="n">
        <f aca="false">NORMSDIST(-I43)</f>
        <v>0.471817092891197</v>
      </c>
      <c r="P43" s="103" t="n">
        <f aca="false">NORMSDIST(-J43)</f>
        <v>0.528182907108803</v>
      </c>
      <c r="Q43" s="104" t="n">
        <f aca="false">(EXP(-H43*G43))*((D43*P43)-(E43*O43))</f>
        <v>0.241511879054691</v>
      </c>
      <c r="R43" s="105" t="n">
        <f aca="false">Q43*B43</f>
        <v>36226.7818582036</v>
      </c>
      <c r="S43" s="108"/>
    </row>
    <row r="44" customFormat="false" ht="15.75" hidden="false" customHeight="false" outlineLevel="0" collapsed="false">
      <c r="A44" s="96" t="n">
        <f aca="false">+A43+1</f>
        <v>36857</v>
      </c>
      <c r="B44" s="97" t="n">
        <v>150000</v>
      </c>
      <c r="C44" s="97" t="str">
        <f aca="false">IF($A$3=1,"Call","Put")</f>
        <v>Call</v>
      </c>
      <c r="D44" s="98" t="n">
        <v>4.3</v>
      </c>
      <c r="E44" s="98" t="n">
        <v>4.3</v>
      </c>
      <c r="F44" s="100" t="n">
        <v>0.53</v>
      </c>
      <c r="G44" s="89" t="n">
        <f aca="false">(A44-$A$17)/365.25</f>
        <v>0.0739219712525667</v>
      </c>
      <c r="H44" s="101" t="n">
        <v>0.05</v>
      </c>
      <c r="I44" s="102" t="n">
        <f aca="false">IF(B44=0,0,(LN(E44/D44)+(F44^2/2)*G44))/(F44*SQRT(G44))</f>
        <v>0.0720497774542816</v>
      </c>
      <c r="J44" s="103" t="n">
        <f aca="false">IF(I44=0,0,I44-F44*SQRT(G44))</f>
        <v>-0.0720497774542815</v>
      </c>
      <c r="K44" s="103" t="n">
        <f aca="false">NORMSDIST(I44)</f>
        <v>0.52871885296311</v>
      </c>
      <c r="L44" s="103" t="n">
        <f aca="false">NORMSDIST(J44)</f>
        <v>0.47128114703689</v>
      </c>
      <c r="M44" s="104" t="n">
        <f aca="false">(EXP(-H44*G44))*((E44*K44)-(D44*L44))</f>
        <v>0.24607095011957</v>
      </c>
      <c r="N44" s="97" t="n">
        <f aca="false">M44*B44</f>
        <v>36910.6425179356</v>
      </c>
      <c r="O44" s="103" t="n">
        <f aca="false">NORMSDIST(-I44)</f>
        <v>0.47128114703689</v>
      </c>
      <c r="P44" s="103" t="n">
        <f aca="false">NORMSDIST(-J44)</f>
        <v>0.52871885296311</v>
      </c>
      <c r="Q44" s="104" t="n">
        <f aca="false">(EXP(-H44*G44))*((D44*P44)-(E44*O44))</f>
        <v>0.246070950119571</v>
      </c>
      <c r="R44" s="105" t="n">
        <f aca="false">Q44*B44</f>
        <v>36910.6425179356</v>
      </c>
    </row>
    <row r="45" customFormat="false" ht="15.75" hidden="false" customHeight="false" outlineLevel="0" collapsed="false">
      <c r="A45" s="96" t="n">
        <f aca="false">+A44+1</f>
        <v>36858</v>
      </c>
      <c r="B45" s="97" t="n">
        <v>150000</v>
      </c>
      <c r="C45" s="97" t="str">
        <f aca="false">IF($A$3=1,"Call","Put")</f>
        <v>Call</v>
      </c>
      <c r="D45" s="98" t="n">
        <v>4.3</v>
      </c>
      <c r="E45" s="98" t="n">
        <v>4.3</v>
      </c>
      <c r="F45" s="100" t="n">
        <v>0.53</v>
      </c>
      <c r="G45" s="89" t="n">
        <f aca="false">(A45-$A$17)/365.25</f>
        <v>0.0766598220396988</v>
      </c>
      <c r="H45" s="101" t="n">
        <v>0.05</v>
      </c>
      <c r="I45" s="102" t="n">
        <f aca="false">IF(B45=0,0,(LN(E45/D45)+(F45^2/2)*G45))/(F45*SQRT(G45))</f>
        <v>0.0733719019975484</v>
      </c>
      <c r="J45" s="103" t="n">
        <f aca="false">IF(I45=0,0,I45-F45*SQRT(G45))</f>
        <v>-0.0733719019975484</v>
      </c>
      <c r="K45" s="103" t="n">
        <f aca="false">NORMSDIST(I45)</f>
        <v>0.529244911864046</v>
      </c>
      <c r="L45" s="103" t="n">
        <f aca="false">NORMSDIST(J45)</f>
        <v>0.470755088135954</v>
      </c>
      <c r="M45" s="104" t="n">
        <f aca="false">(EXP(-H45*G45))*((E45*K45)-(D45*L45))</f>
        <v>0.250544066027039</v>
      </c>
      <c r="N45" s="97" t="n">
        <f aca="false">M45*B45</f>
        <v>37581.6099040558</v>
      </c>
      <c r="O45" s="103" t="n">
        <f aca="false">NORMSDIST(-I45)</f>
        <v>0.470755088135954</v>
      </c>
      <c r="P45" s="103" t="n">
        <f aca="false">NORMSDIST(-J45)</f>
        <v>0.529244911864046</v>
      </c>
      <c r="Q45" s="104" t="n">
        <f aca="false">(EXP(-H45*G45))*((D45*P45)-(E45*O45))</f>
        <v>0.250544066027039</v>
      </c>
      <c r="R45" s="105" t="n">
        <f aca="false">Q45*B45</f>
        <v>37581.6099040558</v>
      </c>
    </row>
    <row r="46" customFormat="false" ht="15.75" hidden="false" customHeight="false" outlineLevel="0" collapsed="false">
      <c r="A46" s="96" t="n">
        <f aca="false">+A45+1</f>
        <v>36859</v>
      </c>
      <c r="B46" s="97" t="n">
        <v>150000</v>
      </c>
      <c r="C46" s="97" t="str">
        <f aca="false">IF($A$3=1,"Call","Put")</f>
        <v>Call</v>
      </c>
      <c r="D46" s="98" t="n">
        <v>4.3</v>
      </c>
      <c r="E46" s="98" t="n">
        <v>4.3</v>
      </c>
      <c r="F46" s="100" t="n">
        <v>0.53</v>
      </c>
      <c r="G46" s="89" t="n">
        <f aca="false">(A46-$A$17)/365.25</f>
        <v>0.0793976728268309</v>
      </c>
      <c r="H46" s="101" t="n">
        <v>0.05</v>
      </c>
      <c r="I46" s="102" t="n">
        <f aca="false">IF(B46=0,0,(LN(E46/D46)+(F46^2/2)*G46))/(F46*SQRT(G46))</f>
        <v>0.0746706205563085</v>
      </c>
      <c r="J46" s="103" t="n">
        <f aca="false">IF(I46=0,0,I46-F46*SQRT(G46))</f>
        <v>-0.0746706205563085</v>
      </c>
      <c r="K46" s="103" t="n">
        <f aca="false">NORMSDIST(I46)</f>
        <v>0.529761608103167</v>
      </c>
      <c r="L46" s="103" t="n">
        <f aca="false">NORMSDIST(J46)</f>
        <v>0.470238391896833</v>
      </c>
      <c r="M46" s="104" t="n">
        <f aca="false">(EXP(-H46*G46))*((E46*K46)-(D46*L46))</f>
        <v>0.254935752860677</v>
      </c>
      <c r="N46" s="97" t="n">
        <f aca="false">M46*B46</f>
        <v>38240.3629291016</v>
      </c>
      <c r="O46" s="103" t="n">
        <f aca="false">NORMSDIST(-I46)</f>
        <v>0.470238391896833</v>
      </c>
      <c r="P46" s="103" t="n">
        <f aca="false">NORMSDIST(-J46)</f>
        <v>0.529761608103167</v>
      </c>
      <c r="Q46" s="104" t="n">
        <f aca="false">(EXP(-H46*G46))*((D46*P46)-(E46*O46))</f>
        <v>0.254935752860677</v>
      </c>
      <c r="R46" s="105" t="n">
        <f aca="false">Q46*B46</f>
        <v>38240.3629291016</v>
      </c>
    </row>
    <row r="47" customFormat="false" ht="15.75" hidden="false" customHeight="false" outlineLevel="0" collapsed="false">
      <c r="A47" s="96" t="n">
        <f aca="false">+A46+1</f>
        <v>36860</v>
      </c>
      <c r="B47" s="97" t="n">
        <v>150000</v>
      </c>
      <c r="C47" s="97" t="str">
        <f aca="false">IF($A$3=1,"Call","Put")</f>
        <v>Call</v>
      </c>
      <c r="D47" s="98" t="n">
        <v>4.3</v>
      </c>
      <c r="E47" s="98" t="n">
        <v>4.3</v>
      </c>
      <c r="F47" s="100" t="n">
        <v>0.53</v>
      </c>
      <c r="G47" s="89" t="n">
        <f aca="false">(A47-$A$17)/365.25</f>
        <v>0.082135523613963</v>
      </c>
      <c r="H47" s="101" t="n">
        <v>0.05</v>
      </c>
      <c r="I47" s="102" t="n">
        <f aca="false">IF(B47=0,0,(LN(E47/D47)+(F47^2/2)*G47))/(F47*SQRT(G47))</f>
        <v>0.075947133887926</v>
      </c>
      <c r="J47" s="103" t="n">
        <f aca="false">IF(I47=0,0,I47-F47*SQRT(G47))</f>
        <v>-0.0759471338879259</v>
      </c>
      <c r="K47" s="103" t="n">
        <f aca="false">NORMSDIST(I47)</f>
        <v>0.530269421152287</v>
      </c>
      <c r="L47" s="103" t="n">
        <f aca="false">NORMSDIST(J47)</f>
        <v>0.469730578847713</v>
      </c>
      <c r="M47" s="104" t="n">
        <f aca="false">(EXP(-H47*G47))*((E47*K47)-(D47*L47))</f>
        <v>0.259250150365435</v>
      </c>
      <c r="N47" s="97" t="n">
        <f aca="false">M47*B47</f>
        <v>38887.5225548153</v>
      </c>
      <c r="O47" s="103" t="n">
        <f aca="false">NORMSDIST(-I47)</f>
        <v>0.469730578847713</v>
      </c>
      <c r="P47" s="103" t="n">
        <f aca="false">NORMSDIST(-J47)</f>
        <v>0.530269421152287</v>
      </c>
      <c r="Q47" s="104" t="n">
        <f aca="false">(EXP(-H47*G47))*((D47*P47)-(E47*O47))</f>
        <v>0.259250150365435</v>
      </c>
      <c r="R47" s="105" t="n">
        <f aca="false">Q47*B47</f>
        <v>38887.5225548153</v>
      </c>
    </row>
    <row r="48" customFormat="false" ht="15.75" hidden="false" customHeight="false" outlineLevel="0" collapsed="false">
      <c r="A48" s="96"/>
      <c r="B48" s="97"/>
      <c r="C48" s="97"/>
      <c r="D48" s="98"/>
      <c r="E48" s="98"/>
      <c r="F48" s="100"/>
      <c r="G48" s="89"/>
      <c r="H48" s="101"/>
      <c r="I48" s="102"/>
      <c r="J48" s="103"/>
      <c r="K48" s="103"/>
      <c r="L48" s="103"/>
      <c r="M48" s="104"/>
      <c r="N48" s="97"/>
      <c r="O48" s="103"/>
      <c r="P48" s="103"/>
      <c r="Q48" s="104"/>
      <c r="R48" s="105"/>
    </row>
    <row r="49" customFormat="false" ht="15.75" hidden="false" customHeight="false" outlineLevel="0" collapsed="false">
      <c r="A49" s="96"/>
      <c r="B49" s="97"/>
      <c r="C49" s="97"/>
      <c r="D49" s="98"/>
      <c r="E49" s="99"/>
      <c r="F49" s="100"/>
      <c r="G49" s="89"/>
      <c r="H49" s="101"/>
      <c r="I49" s="102"/>
      <c r="J49" s="103"/>
      <c r="K49" s="103"/>
      <c r="L49" s="103"/>
      <c r="M49" s="104"/>
      <c r="N49" s="97"/>
      <c r="O49" s="103"/>
      <c r="P49" s="103"/>
      <c r="Q49" s="104"/>
      <c r="R49" s="105"/>
    </row>
    <row r="50" customFormat="false" ht="15.75" hidden="false" customHeight="false" outlineLevel="0" collapsed="false">
      <c r="A50" s="96"/>
      <c r="B50" s="97"/>
      <c r="C50" s="97"/>
      <c r="D50" s="98"/>
      <c r="E50" s="99"/>
      <c r="F50" s="100"/>
      <c r="G50" s="89"/>
      <c r="H50" s="101"/>
      <c r="I50" s="102"/>
      <c r="J50" s="103"/>
      <c r="K50" s="103"/>
      <c r="L50" s="103"/>
      <c r="M50" s="104"/>
      <c r="N50" s="97"/>
      <c r="O50" s="103"/>
      <c r="P50" s="103"/>
      <c r="Q50" s="104"/>
      <c r="R50" s="105"/>
    </row>
    <row r="51" customFormat="false" ht="15.75" hidden="false" customHeight="false" outlineLevel="0" collapsed="false">
      <c r="A51" s="96"/>
      <c r="B51" s="97"/>
      <c r="C51" s="97"/>
      <c r="D51" s="98"/>
      <c r="E51" s="99"/>
      <c r="F51" s="100"/>
      <c r="G51" s="89"/>
      <c r="H51" s="101"/>
      <c r="I51" s="102"/>
      <c r="J51" s="103"/>
      <c r="K51" s="103"/>
      <c r="L51" s="103"/>
      <c r="M51" s="104"/>
      <c r="N51" s="97"/>
      <c r="O51" s="103"/>
      <c r="P51" s="103"/>
      <c r="Q51" s="104"/>
      <c r="R51" s="105"/>
    </row>
  </sheetData>
  <mergeCells count="2">
    <mergeCell ref="K4:N4"/>
    <mergeCell ref="O4:R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9" activeCellId="0" sqref="D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1.32"/>
    <col collapsed="false" customWidth="true" hidden="false" outlineLevel="0" max="8" min="8" style="0" width="11.49"/>
  </cols>
  <sheetData>
    <row r="1" customFormat="false" ht="12.75" hidden="false" customHeight="false" outlineLevel="0" collapsed="false">
      <c r="A1" s="60"/>
      <c r="B1" s="0" t="s">
        <v>105</v>
      </c>
      <c r="C1" s="0" t="s">
        <v>106</v>
      </c>
    </row>
    <row r="2" customFormat="false" ht="12.75" hidden="false" customHeight="false" outlineLevel="0" collapsed="false">
      <c r="A2" s="60" t="s">
        <v>25</v>
      </c>
      <c r="B2" s="0" t="n">
        <v>3.865</v>
      </c>
    </row>
    <row r="3" customFormat="false" ht="12.75" hidden="false" customHeight="false" outlineLevel="0" collapsed="false">
      <c r="A3" s="60" t="s">
        <v>107</v>
      </c>
      <c r="B3" s="0" t="n">
        <v>0.13</v>
      </c>
    </row>
    <row r="4" customFormat="false" ht="12.75" hidden="false" customHeight="false" outlineLevel="0" collapsed="false">
      <c r="A4" s="60" t="s">
        <v>28</v>
      </c>
      <c r="B4" s="0" t="n">
        <v>0.135</v>
      </c>
      <c r="E4" s="0" t="s">
        <v>28</v>
      </c>
      <c r="F4" s="45" t="n">
        <f aca="false">+F9+B3-F20</f>
        <v>0.099553007615</v>
      </c>
    </row>
    <row r="5" customFormat="false" ht="12.75" hidden="false" customHeight="false" outlineLevel="0" collapsed="false">
      <c r="A5" s="60"/>
    </row>
    <row r="6" customFormat="false" ht="12.75" hidden="false" customHeight="false" outlineLevel="0" collapsed="false">
      <c r="A6" s="84" t="s">
        <v>108</v>
      </c>
      <c r="H6" s="84" t="s">
        <v>109</v>
      </c>
    </row>
    <row r="7" customFormat="false" ht="12.75" hidden="false" customHeight="false" outlineLevel="0" collapsed="false">
      <c r="A7" s="40" t="s">
        <v>110</v>
      </c>
      <c r="C7" s="0" t="s">
        <v>111</v>
      </c>
      <c r="E7" s="0" t="s">
        <v>112</v>
      </c>
      <c r="H7" s="40" t="s">
        <v>110</v>
      </c>
      <c r="J7" s="0" t="s">
        <v>111</v>
      </c>
      <c r="L7" s="0" t="s">
        <v>112</v>
      </c>
    </row>
    <row r="8" customFormat="false" ht="12.75" hidden="false" customHeight="false" outlineLevel="0" collapsed="false">
      <c r="A8" s="84"/>
      <c r="C8" s="0" t="s">
        <v>113</v>
      </c>
      <c r="D8" s="0" t="s">
        <v>114</v>
      </c>
      <c r="E8" s="0" t="s">
        <v>115</v>
      </c>
      <c r="H8" s="84"/>
      <c r="J8" s="0" t="s">
        <v>113</v>
      </c>
      <c r="K8" s="0" t="s">
        <v>114</v>
      </c>
      <c r="L8" s="0" t="s">
        <v>115</v>
      </c>
    </row>
    <row r="9" customFormat="false" ht="12.75" hidden="false" customHeight="false" outlineLevel="0" collapsed="false">
      <c r="A9" s="109" t="s">
        <v>107</v>
      </c>
      <c r="B9" s="0" t="n">
        <f aca="false">$B$2+B3</f>
        <v>3.995</v>
      </c>
      <c r="C9" s="0" t="n">
        <v>0.0522</v>
      </c>
      <c r="D9" s="110" t="n">
        <v>0.0117</v>
      </c>
      <c r="E9" s="45" t="n">
        <f aca="false">B9*D9</f>
        <v>0.0467415</v>
      </c>
      <c r="F9" s="45" t="n">
        <f aca="false">+E9+C9</f>
        <v>0.0989415</v>
      </c>
      <c r="H9" s="109" t="s">
        <v>107</v>
      </c>
      <c r="I9" s="0" t="n">
        <f aca="false">2.96+0.075</f>
        <v>3.035</v>
      </c>
      <c r="J9" s="0" t="n">
        <v>0.0522</v>
      </c>
      <c r="K9" s="110" t="n">
        <v>0.0117</v>
      </c>
      <c r="L9" s="45" t="n">
        <f aca="false">I9*K9</f>
        <v>0.0355095</v>
      </c>
      <c r="M9" s="45" t="n">
        <f aca="false">+L9+J9</f>
        <v>0.0877095</v>
      </c>
    </row>
    <row r="10" customFormat="false" ht="12.75" hidden="false" customHeight="false" outlineLevel="0" collapsed="false">
      <c r="A10" s="84"/>
      <c r="F10" s="45"/>
      <c r="H10" s="84"/>
    </row>
    <row r="11" customFormat="false" ht="12.75" hidden="false" customHeight="false" outlineLevel="0" collapsed="false">
      <c r="A11" s="84"/>
      <c r="F11" s="45"/>
      <c r="H11" s="84"/>
    </row>
    <row r="12" customFormat="false" ht="12.75" hidden="false" customHeight="false" outlineLevel="0" collapsed="false">
      <c r="A12" s="84"/>
      <c r="F12" s="45"/>
      <c r="H12" s="84"/>
    </row>
    <row r="13" customFormat="false" ht="12.75" hidden="false" customHeight="false" outlineLevel="0" collapsed="false">
      <c r="A13" s="60"/>
      <c r="H13" s="60"/>
    </row>
    <row r="14" customFormat="false" ht="12.75" hidden="false" customHeight="false" outlineLevel="0" collapsed="false">
      <c r="A14" s="40" t="s">
        <v>116</v>
      </c>
      <c r="C14" s="2" t="s">
        <v>113</v>
      </c>
      <c r="D14" s="2" t="s">
        <v>117</v>
      </c>
      <c r="E14" s="2"/>
      <c r="H14" s="40" t="s">
        <v>116</v>
      </c>
      <c r="J14" s="2" t="s">
        <v>113</v>
      </c>
      <c r="K14" s="2" t="s">
        <v>117</v>
      </c>
      <c r="L14" s="2"/>
    </row>
    <row r="15" customFormat="false" ht="12.75" hidden="false" customHeight="false" outlineLevel="0" collapsed="false">
      <c r="B15" s="2" t="s">
        <v>117</v>
      </c>
      <c r="C15" s="2" t="s">
        <v>118</v>
      </c>
      <c r="D15" s="2" t="s">
        <v>119</v>
      </c>
      <c r="E15" s="2" t="s">
        <v>117</v>
      </c>
      <c r="F15" s="2" t="s">
        <v>29</v>
      </c>
      <c r="G15" s="2"/>
      <c r="I15" s="2" t="s">
        <v>117</v>
      </c>
      <c r="J15" s="2" t="s">
        <v>118</v>
      </c>
      <c r="K15" s="2" t="s">
        <v>119</v>
      </c>
      <c r="L15" s="2" t="s">
        <v>117</v>
      </c>
      <c r="M15" s="2" t="s">
        <v>29</v>
      </c>
    </row>
    <row r="16" customFormat="false" ht="12.75" hidden="false" customHeight="false" outlineLevel="0" collapsed="false">
      <c r="A16" s="111" t="s">
        <v>120</v>
      </c>
      <c r="B16" s="2" t="s">
        <v>39</v>
      </c>
      <c r="C16" s="2" t="s">
        <v>121</v>
      </c>
      <c r="D16" s="2" t="s">
        <v>122</v>
      </c>
      <c r="E16" s="2" t="s">
        <v>115</v>
      </c>
      <c r="F16" s="2" t="s">
        <v>115</v>
      </c>
      <c r="H16" s="111" t="s">
        <v>120</v>
      </c>
      <c r="I16" s="2" t="s">
        <v>39</v>
      </c>
      <c r="J16" s="2" t="s">
        <v>121</v>
      </c>
      <c r="K16" s="2" t="s">
        <v>122</v>
      </c>
      <c r="L16" s="2" t="s">
        <v>115</v>
      </c>
      <c r="M16" s="2" t="s">
        <v>115</v>
      </c>
    </row>
    <row r="17" customFormat="false" ht="12.75" hidden="false" customHeight="false" outlineLevel="0" collapsed="false">
      <c r="A17" s="57" t="s">
        <v>119</v>
      </c>
      <c r="B17" s="45" t="n">
        <f aca="false">B9+F9</f>
        <v>4.0939415</v>
      </c>
      <c r="C17" s="0" t="n">
        <v>0.00754</v>
      </c>
      <c r="D17" s="29" t="n">
        <v>0.01081</v>
      </c>
      <c r="E17" s="30" t="n">
        <f aca="false">B17*D17</f>
        <v>0.044255507615</v>
      </c>
      <c r="F17" s="112" t="n">
        <f aca="false">+E17+C17</f>
        <v>0.051795507615</v>
      </c>
      <c r="H17" s="57" t="s">
        <v>119</v>
      </c>
      <c r="I17" s="0" t="n">
        <f aca="false">2.96+0.08+0.08</f>
        <v>3.12</v>
      </c>
      <c r="J17" s="0" t="n">
        <v>0.00754</v>
      </c>
      <c r="K17" s="29" t="n">
        <v>0.01148</v>
      </c>
      <c r="L17" s="30" t="n">
        <f aca="false">I17*K17</f>
        <v>0.0358176</v>
      </c>
      <c r="M17" s="112" t="n">
        <f aca="false">+L17+J17</f>
        <v>0.0433576</v>
      </c>
    </row>
    <row r="18" customFormat="false" ht="12.75" hidden="false" customHeight="false" outlineLevel="0" collapsed="false">
      <c r="A18" s="57" t="s">
        <v>28</v>
      </c>
      <c r="B18" s="0" t="n">
        <f aca="false">$B$2+$B$4</f>
        <v>4</v>
      </c>
      <c r="C18" s="0" t="n">
        <v>0.0108</v>
      </c>
      <c r="D18" s="29" t="n">
        <v>0.042596</v>
      </c>
      <c r="E18" s="30" t="n">
        <f aca="false">B18*D18</f>
        <v>0.170384</v>
      </c>
      <c r="F18" s="112" t="n">
        <f aca="false">+E18+C18</f>
        <v>0.181184</v>
      </c>
      <c r="H18" s="57" t="s">
        <v>28</v>
      </c>
      <c r="I18" s="0" t="n">
        <v>2.96</v>
      </c>
      <c r="J18" s="0" t="n">
        <v>0.0108</v>
      </c>
      <c r="K18" s="29" t="n">
        <v>0.044785</v>
      </c>
      <c r="L18" s="30" t="n">
        <f aca="false">I18*K18</f>
        <v>0.1325636</v>
      </c>
      <c r="M18" s="112" t="n">
        <f aca="false">+L18+J18</f>
        <v>0.1433636</v>
      </c>
    </row>
    <row r="19" customFormat="false" ht="12.75" hidden="false" customHeight="false" outlineLevel="0" collapsed="false">
      <c r="A19" s="57"/>
      <c r="E19" s="112"/>
      <c r="H19" s="57"/>
      <c r="L19" s="112"/>
    </row>
    <row r="20" customFormat="false" ht="12.75" hidden="false" customHeight="false" outlineLevel="0" collapsed="false">
      <c r="A20" s="57"/>
      <c r="D20" s="0" t="s">
        <v>123</v>
      </c>
      <c r="E20" s="112" t="n">
        <f aca="false">E18-E17</f>
        <v>0.126128492385</v>
      </c>
      <c r="F20" s="112" t="n">
        <f aca="false">+F18-F17</f>
        <v>0.129388492385</v>
      </c>
      <c r="H20" s="57"/>
      <c r="K20" s="0" t="s">
        <v>123</v>
      </c>
      <c r="L20" s="112" t="n">
        <f aca="false">L18-L17</f>
        <v>0.096746</v>
      </c>
      <c r="M20" s="112" t="n">
        <f aca="false">+M18-M17</f>
        <v>0.100006</v>
      </c>
    </row>
    <row r="21" customFormat="false" ht="12.75" hidden="false" customHeight="false" outlineLevel="0" collapsed="false">
      <c r="A21" s="111" t="s">
        <v>124</v>
      </c>
      <c r="E21" s="112"/>
      <c r="F21" s="112"/>
      <c r="H21" s="57"/>
      <c r="L21" s="112"/>
      <c r="M21" s="112"/>
    </row>
    <row r="22" customFormat="false" ht="12.75" hidden="false" customHeight="false" outlineLevel="0" collapsed="false">
      <c r="A22" s="57" t="s">
        <v>28</v>
      </c>
      <c r="B22" s="0" t="n">
        <f aca="false">$B$2+$B$4</f>
        <v>4</v>
      </c>
      <c r="C22" s="0" t="n">
        <v>0.005</v>
      </c>
      <c r="D22" s="29" t="n">
        <v>0.01431</v>
      </c>
      <c r="E22" s="30" t="n">
        <f aca="false">B22*D22</f>
        <v>0.05724</v>
      </c>
      <c r="F22" s="112" t="n">
        <f aca="false">+E22+C22</f>
        <v>0.06224</v>
      </c>
      <c r="H22" s="57"/>
      <c r="L22" s="112"/>
      <c r="M22" s="112"/>
    </row>
    <row r="23" customFormat="false" ht="12.75" hidden="false" customHeight="false" outlineLevel="0" collapsed="false">
      <c r="A23" s="57"/>
      <c r="E23" s="112"/>
      <c r="F23" s="112" t="n">
        <f aca="false">+F18-F22</f>
        <v>0.118944</v>
      </c>
      <c r="H23" s="57"/>
      <c r="L23" s="112"/>
      <c r="M23" s="112"/>
    </row>
    <row r="24" customFormat="false" ht="12.75" hidden="false" customHeight="false" outlineLevel="0" collapsed="false">
      <c r="A24" s="57"/>
      <c r="E24" s="112"/>
      <c r="F24" s="112"/>
      <c r="H24" s="57"/>
      <c r="L24" s="112"/>
      <c r="M24" s="112"/>
    </row>
    <row r="25" customFormat="false" ht="12.75" hidden="false" customHeight="false" outlineLevel="0" collapsed="false">
      <c r="A25" s="57"/>
      <c r="H25" s="57"/>
    </row>
    <row r="26" customFormat="false" ht="12.75" hidden="false" customHeight="false" outlineLevel="0" collapsed="false">
      <c r="A26" s="84" t="s">
        <v>125</v>
      </c>
      <c r="H26" s="84" t="s">
        <v>126</v>
      </c>
    </row>
    <row r="27" customFormat="false" ht="12.75" hidden="false" customHeight="false" outlineLevel="0" collapsed="false">
      <c r="A27" s="60"/>
      <c r="H27" s="60"/>
    </row>
    <row r="28" customFormat="false" ht="12.75" hidden="false" customHeight="false" outlineLevel="0" collapsed="false">
      <c r="C28" s="2" t="s">
        <v>113</v>
      </c>
      <c r="D28" s="2" t="s">
        <v>117</v>
      </c>
      <c r="E28" s="2"/>
      <c r="J28" s="2" t="s">
        <v>113</v>
      </c>
      <c r="K28" s="2" t="s">
        <v>117</v>
      </c>
      <c r="L28" s="2"/>
    </row>
    <row r="29" customFormat="false" ht="12.75" hidden="false" customHeight="false" outlineLevel="0" collapsed="false">
      <c r="B29" s="2" t="s">
        <v>117</v>
      </c>
      <c r="C29" s="2" t="s">
        <v>118</v>
      </c>
      <c r="D29" s="2" t="s">
        <v>119</v>
      </c>
      <c r="E29" s="2" t="s">
        <v>117</v>
      </c>
      <c r="F29" s="2" t="s">
        <v>29</v>
      </c>
      <c r="I29" s="2" t="s">
        <v>117</v>
      </c>
      <c r="J29" s="2" t="s">
        <v>118</v>
      </c>
      <c r="K29" s="2" t="s">
        <v>119</v>
      </c>
      <c r="L29" s="2" t="s">
        <v>117</v>
      </c>
      <c r="M29" s="2" t="s">
        <v>29</v>
      </c>
    </row>
    <row r="30" customFormat="false" ht="12.75" hidden="false" customHeight="false" outlineLevel="0" collapsed="false">
      <c r="A30" s="57"/>
      <c r="B30" s="2" t="s">
        <v>39</v>
      </c>
      <c r="C30" s="2" t="s">
        <v>121</v>
      </c>
      <c r="D30" s="2" t="s">
        <v>122</v>
      </c>
      <c r="E30" s="2" t="s">
        <v>115</v>
      </c>
      <c r="F30" s="2" t="s">
        <v>115</v>
      </c>
      <c r="H30" s="57"/>
      <c r="I30" s="2" t="s">
        <v>39</v>
      </c>
      <c r="J30" s="2" t="s">
        <v>121</v>
      </c>
      <c r="K30" s="2" t="s">
        <v>122</v>
      </c>
      <c r="L30" s="2" t="s">
        <v>115</v>
      </c>
      <c r="M30" s="2" t="s">
        <v>115</v>
      </c>
    </row>
    <row r="31" customFormat="false" ht="12.75" hidden="false" customHeight="false" outlineLevel="0" collapsed="false">
      <c r="A31" s="57" t="s">
        <v>119</v>
      </c>
      <c r="B31" s="0" t="n">
        <f aca="false">3.2+0.12+0.1</f>
        <v>3.42</v>
      </c>
      <c r="C31" s="0" t="n">
        <v>0.00754</v>
      </c>
      <c r="D31" s="29" t="n">
        <v>0.011662</v>
      </c>
      <c r="E31" s="30" t="n">
        <f aca="false">B31*D31</f>
        <v>0.03988404</v>
      </c>
      <c r="F31" s="112" t="n">
        <f aca="false">+E31+C31</f>
        <v>0.04742404</v>
      </c>
      <c r="H31" s="57" t="s">
        <v>119</v>
      </c>
      <c r="I31" s="0" t="n">
        <f aca="false">2.96+0.08+0.08</f>
        <v>3.12</v>
      </c>
      <c r="J31" s="0" t="n">
        <v>0.00754</v>
      </c>
      <c r="K31" s="29" t="n">
        <v>0.0110316666666667</v>
      </c>
      <c r="L31" s="30" t="n">
        <f aca="false">I31*K31</f>
        <v>0.0344188</v>
      </c>
      <c r="M31" s="112" t="n">
        <f aca="false">+L31+J31</f>
        <v>0.0419588</v>
      </c>
    </row>
    <row r="32" customFormat="false" ht="12.75" hidden="false" customHeight="false" outlineLevel="0" collapsed="false">
      <c r="A32" s="57" t="s">
        <v>28</v>
      </c>
      <c r="B32" s="0" t="n">
        <v>3.08</v>
      </c>
      <c r="C32" s="0" t="n">
        <v>0.0108</v>
      </c>
      <c r="D32" s="29" t="n">
        <v>0.045768</v>
      </c>
      <c r="E32" s="30" t="n">
        <f aca="false">B32*D32</f>
        <v>0.14096544</v>
      </c>
      <c r="F32" s="112" t="n">
        <f aca="false">+E32+C32</f>
        <v>0.15176544</v>
      </c>
      <c r="H32" s="57" t="s">
        <v>28</v>
      </c>
      <c r="I32" s="0" t="n">
        <v>2.96</v>
      </c>
      <c r="J32" s="0" t="n">
        <v>0.0108</v>
      </c>
      <c r="K32" s="29" t="n">
        <v>0.0445708333333333</v>
      </c>
      <c r="L32" s="30" t="n">
        <f aca="false">I32*K32</f>
        <v>0.131929666666667</v>
      </c>
      <c r="M32" s="112" t="n">
        <f aca="false">+L32+J32</f>
        <v>0.142729666666667</v>
      </c>
    </row>
    <row r="33" customFormat="false" ht="12.75" hidden="false" customHeight="false" outlineLevel="0" collapsed="false">
      <c r="A33" s="57"/>
      <c r="E33" s="112"/>
      <c r="H33" s="57"/>
      <c r="L33" s="112"/>
    </row>
    <row r="34" customFormat="false" ht="12.75" hidden="false" customHeight="false" outlineLevel="0" collapsed="false">
      <c r="A34" s="57"/>
      <c r="D34" s="0" t="s">
        <v>123</v>
      </c>
      <c r="E34" s="112" t="n">
        <f aca="false">E32-E31</f>
        <v>0.1010814</v>
      </c>
      <c r="F34" s="112" t="n">
        <f aca="false">+F32-F31</f>
        <v>0.1043414</v>
      </c>
      <c r="H34" s="57"/>
      <c r="K34" s="0" t="s">
        <v>123</v>
      </c>
      <c r="L34" s="112" t="n">
        <f aca="false">L32-L31</f>
        <v>0.0975108666666667</v>
      </c>
      <c r="M34" s="112" t="n">
        <f aca="false">+M32-M31</f>
        <v>0.100770866666667</v>
      </c>
    </row>
    <row r="37" customFormat="false" ht="12.75" hidden="false" customHeight="false" outlineLevel="0" collapsed="false">
      <c r="A37" s="84" t="s">
        <v>127</v>
      </c>
      <c r="H37" s="84" t="s">
        <v>128</v>
      </c>
    </row>
    <row r="38" customFormat="false" ht="12.75" hidden="false" customHeight="false" outlineLevel="0" collapsed="false">
      <c r="A38" s="60"/>
      <c r="H38" s="60"/>
    </row>
    <row r="39" customFormat="false" ht="12.75" hidden="false" customHeight="false" outlineLevel="0" collapsed="false">
      <c r="C39" s="2" t="s">
        <v>113</v>
      </c>
      <c r="D39" s="2" t="s">
        <v>117</v>
      </c>
      <c r="E39" s="2"/>
      <c r="J39" s="2" t="s">
        <v>113</v>
      </c>
      <c r="K39" s="2" t="s">
        <v>117</v>
      </c>
      <c r="L39" s="2"/>
    </row>
    <row r="40" customFormat="false" ht="12.75" hidden="false" customHeight="false" outlineLevel="0" collapsed="false">
      <c r="B40" s="2" t="s">
        <v>117</v>
      </c>
      <c r="C40" s="2" t="s">
        <v>118</v>
      </c>
      <c r="D40" s="2" t="s">
        <v>119</v>
      </c>
      <c r="E40" s="2" t="s">
        <v>117</v>
      </c>
      <c r="F40" s="2" t="s">
        <v>29</v>
      </c>
      <c r="I40" s="2" t="s">
        <v>117</v>
      </c>
      <c r="J40" s="2" t="s">
        <v>118</v>
      </c>
      <c r="K40" s="2" t="s">
        <v>119</v>
      </c>
      <c r="L40" s="2" t="s">
        <v>117</v>
      </c>
      <c r="M40" s="2" t="s">
        <v>29</v>
      </c>
    </row>
    <row r="41" customFormat="false" ht="12.75" hidden="false" customHeight="false" outlineLevel="0" collapsed="false">
      <c r="A41" s="57"/>
      <c r="B41" s="2" t="s">
        <v>39</v>
      </c>
      <c r="C41" s="2" t="s">
        <v>121</v>
      </c>
      <c r="D41" s="2" t="s">
        <v>122</v>
      </c>
      <c r="E41" s="2" t="s">
        <v>115</v>
      </c>
      <c r="F41" s="2" t="s">
        <v>115</v>
      </c>
      <c r="H41" s="57"/>
      <c r="I41" s="2" t="s">
        <v>39</v>
      </c>
      <c r="J41" s="2" t="s">
        <v>121</v>
      </c>
      <c r="K41" s="2" t="s">
        <v>122</v>
      </c>
      <c r="L41" s="2" t="s">
        <v>115</v>
      </c>
      <c r="M41" s="2" t="s">
        <v>115</v>
      </c>
    </row>
    <row r="42" customFormat="false" ht="12.75" hidden="false" customHeight="false" outlineLevel="0" collapsed="false">
      <c r="A42" s="57" t="s">
        <v>119</v>
      </c>
      <c r="B42" s="0" t="n">
        <f aca="false">3.2+0.12+0.1</f>
        <v>3.42</v>
      </c>
      <c r="C42" s="0" t="n">
        <v>0.00754</v>
      </c>
      <c r="D42" s="29" t="n">
        <v>0.01213</v>
      </c>
      <c r="E42" s="30" t="n">
        <f aca="false">B42*D42</f>
        <v>0.0414846</v>
      </c>
      <c r="F42" s="112" t="n">
        <f aca="false">+E42+C42</f>
        <v>0.0490246</v>
      </c>
      <c r="H42" s="57" t="s">
        <v>119</v>
      </c>
      <c r="I42" s="0" t="n">
        <f aca="false">2.96+0.08+0.08</f>
        <v>3.12</v>
      </c>
      <c r="J42" s="0" t="n">
        <v>0.00754</v>
      </c>
      <c r="K42" s="29" t="n">
        <v>0.0102553333333333</v>
      </c>
      <c r="L42" s="30" t="n">
        <f aca="false">I42*K42</f>
        <v>0.03199664</v>
      </c>
      <c r="M42" s="112" t="n">
        <f aca="false">+L42+J42</f>
        <v>0.03953664</v>
      </c>
    </row>
    <row r="43" customFormat="false" ht="12.75" hidden="false" customHeight="false" outlineLevel="0" collapsed="false">
      <c r="A43" s="57" t="s">
        <v>28</v>
      </c>
      <c r="B43" s="0" t="n">
        <v>3.08</v>
      </c>
      <c r="C43" s="0" t="n">
        <v>0.0108</v>
      </c>
      <c r="D43" s="29" t="n">
        <v>0.04767</v>
      </c>
      <c r="E43" s="30" t="n">
        <f aca="false">B43*D43</f>
        <v>0.1468236</v>
      </c>
      <c r="F43" s="112" t="n">
        <f aca="false">+E43+C43</f>
        <v>0.1576236</v>
      </c>
      <c r="H43" s="57" t="s">
        <v>28</v>
      </c>
      <c r="I43" s="0" t="n">
        <v>2.96</v>
      </c>
      <c r="J43" s="0" t="n">
        <v>0.0108</v>
      </c>
      <c r="K43" s="29" t="n">
        <v>0.0412558333333333</v>
      </c>
      <c r="L43" s="30" t="n">
        <f aca="false">I43*K43</f>
        <v>0.122117266666667</v>
      </c>
      <c r="M43" s="112" t="n">
        <f aca="false">+L43+J43</f>
        <v>0.132917266666667</v>
      </c>
    </row>
    <row r="44" customFormat="false" ht="12.75" hidden="false" customHeight="false" outlineLevel="0" collapsed="false">
      <c r="A44" s="57"/>
      <c r="E44" s="112"/>
      <c r="H44" s="57"/>
      <c r="L44" s="112"/>
    </row>
    <row r="45" customFormat="false" ht="12.75" hidden="false" customHeight="false" outlineLevel="0" collapsed="false">
      <c r="A45" s="57"/>
      <c r="D45" s="0" t="s">
        <v>123</v>
      </c>
      <c r="E45" s="112" t="n">
        <f aca="false">E43-E42</f>
        <v>0.105339</v>
      </c>
      <c r="F45" s="112" t="n">
        <f aca="false">+F43-F42</f>
        <v>0.108599</v>
      </c>
      <c r="H45" s="57"/>
      <c r="K45" s="0" t="s">
        <v>123</v>
      </c>
      <c r="L45" s="112" t="n">
        <f aca="false">L43-L42</f>
        <v>0.0901206266666667</v>
      </c>
      <c r="M45" s="112" t="n">
        <f aca="false">+M43-M42</f>
        <v>0.0933806266666667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5" activeCellId="0" sqref="A15"/>
    </sheetView>
  </sheetViews>
  <sheetFormatPr defaultColWidth="9.0546875" defaultRowHeight="12.75" customHeight="true" zeroHeight="false" outlineLevelRow="0" outlineLevelCol="0"/>
  <sheetData>
    <row r="3" customFormat="false" ht="12.75" hidden="false" customHeight="false" outlineLevel="0" collapsed="false">
      <c r="B3" s="40" t="n">
        <v>1</v>
      </c>
      <c r="C3" s="40" t="n">
        <v>2</v>
      </c>
      <c r="D3" s="40" t="n">
        <v>3</v>
      </c>
      <c r="E3" s="40" t="n">
        <v>4</v>
      </c>
      <c r="F3" s="40" t="n">
        <v>5</v>
      </c>
      <c r="G3" s="40" t="n">
        <v>6</v>
      </c>
      <c r="H3" s="40" t="n">
        <v>7</v>
      </c>
      <c r="I3" s="40" t="n">
        <v>8</v>
      </c>
      <c r="J3" s="40" t="n">
        <v>9</v>
      </c>
      <c r="K3" s="40" t="n">
        <v>10</v>
      </c>
      <c r="L3" s="40" t="n">
        <v>11</v>
      </c>
      <c r="M3" s="40" t="n">
        <v>12</v>
      </c>
      <c r="N3" s="40" t="n">
        <v>13</v>
      </c>
    </row>
    <row r="4" customFormat="false" ht="12.75" hidden="false" customHeight="false" outlineLevel="0" collapsed="false">
      <c r="A4" s="20" t="n">
        <v>1997</v>
      </c>
    </row>
    <row r="5" customFormat="false" ht="12.75" hidden="false" customHeight="false" outlineLevel="0" collapsed="false">
      <c r="A5" s="20" t="s">
        <v>129</v>
      </c>
      <c r="B5" s="0" t="n">
        <v>0.00565</v>
      </c>
      <c r="C5" s="0" t="n">
        <v>0.00933</v>
      </c>
      <c r="D5" s="0" t="n">
        <v>0.01299</v>
      </c>
      <c r="E5" s="0" t="n">
        <v>0.01661</v>
      </c>
      <c r="F5" s="0" t="n">
        <v>0.02022</v>
      </c>
      <c r="G5" s="0" t="n">
        <v>0.02379</v>
      </c>
      <c r="H5" s="0" t="n">
        <v>0.02734</v>
      </c>
      <c r="I5" s="0" t="n">
        <v>0.03086</v>
      </c>
      <c r="J5" s="0" t="n">
        <v>0.03436</v>
      </c>
      <c r="K5" s="0" t="n">
        <v>0.03783</v>
      </c>
      <c r="L5" s="0" t="n">
        <v>0.04128</v>
      </c>
      <c r="M5" s="0" t="n">
        <v>0.0447</v>
      </c>
      <c r="N5" s="0" t="n">
        <v>0.0474</v>
      </c>
    </row>
    <row r="6" customFormat="false" ht="12.75" hidden="false" customHeight="false" outlineLevel="0" collapsed="false">
      <c r="A6" s="20" t="s">
        <v>130</v>
      </c>
      <c r="B6" s="0" t="n">
        <v>0.00596</v>
      </c>
      <c r="C6" s="0" t="n">
        <v>0.00962</v>
      </c>
      <c r="D6" s="0" t="n">
        <v>0.01326</v>
      </c>
      <c r="E6" s="0" t="n">
        <v>0.01687</v>
      </c>
      <c r="F6" s="0" t="n">
        <v>0.02045</v>
      </c>
      <c r="G6" s="0" t="n">
        <v>0.024</v>
      </c>
      <c r="H6" s="0" t="n">
        <v>0.02753</v>
      </c>
      <c r="I6" s="0" t="n">
        <v>0.03104</v>
      </c>
      <c r="J6" s="0" t="n">
        <v>0.03451</v>
      </c>
      <c r="K6" s="0" t="n">
        <v>0.03797</v>
      </c>
      <c r="L6" s="0" t="n">
        <v>0.0414</v>
      </c>
      <c r="M6" s="0" t="n">
        <v>0.0448</v>
      </c>
      <c r="N6" s="0" t="n">
        <v>0.04766</v>
      </c>
    </row>
    <row r="7" customFormat="false" ht="12.75" hidden="false" customHeight="false" outlineLevel="0" collapsed="false">
      <c r="A7" s="20" t="s">
        <v>131</v>
      </c>
      <c r="B7" s="0" t="n">
        <v>0.00589</v>
      </c>
      <c r="C7" s="0" t="n">
        <v>0.00957</v>
      </c>
      <c r="D7" s="0" t="n">
        <v>0.01322</v>
      </c>
      <c r="E7" s="0" t="n">
        <v>0.01684</v>
      </c>
      <c r="F7" s="0" t="n">
        <v>0.02044</v>
      </c>
      <c r="G7" s="0" t="n">
        <v>0.02401</v>
      </c>
      <c r="H7" s="0" t="n">
        <v>0.02756</v>
      </c>
      <c r="I7" s="0" t="n">
        <v>0.03108</v>
      </c>
      <c r="J7" s="0" t="n">
        <v>0.03458</v>
      </c>
      <c r="K7" s="0" t="n">
        <v>0.03805</v>
      </c>
      <c r="L7" s="0" t="n">
        <v>0.04149</v>
      </c>
      <c r="M7" s="0" t="n">
        <v>0.04491</v>
      </c>
      <c r="N7" s="0" t="n">
        <v>0.04772</v>
      </c>
    </row>
    <row r="8" customFormat="false" ht="12.75" hidden="false" customHeight="false" outlineLevel="0" collapsed="false">
      <c r="A8" s="20" t="s">
        <v>132</v>
      </c>
      <c r="B8" s="0" t="n">
        <v>0.00529</v>
      </c>
      <c r="C8" s="0" t="n">
        <v>0.00886</v>
      </c>
      <c r="D8" s="0" t="n">
        <v>0.01241</v>
      </c>
      <c r="E8" s="0" t="n">
        <v>0.01594</v>
      </c>
      <c r="F8" s="0" t="n">
        <v>0.01944</v>
      </c>
      <c r="G8" s="0" t="n">
        <v>0.02292</v>
      </c>
      <c r="H8" s="0" t="n">
        <v>0.02637</v>
      </c>
      <c r="I8" s="0" t="n">
        <v>0.02979</v>
      </c>
      <c r="J8" s="0" t="n">
        <v>0.0332</v>
      </c>
      <c r="K8" s="0" t="n">
        <v>0.03658</v>
      </c>
      <c r="L8" s="0" t="n">
        <v>0.03993</v>
      </c>
      <c r="M8" s="0" t="n">
        <v>0.04326</v>
      </c>
      <c r="N8" s="0" t="n">
        <v>0.04592</v>
      </c>
    </row>
    <row r="9" customFormat="false" ht="12.75" hidden="false" customHeight="false" outlineLevel="0" collapsed="false">
      <c r="A9" s="20" t="s">
        <v>133</v>
      </c>
      <c r="B9" s="0" t="n">
        <v>0.0028</v>
      </c>
      <c r="C9" s="0" t="n">
        <v>0.00547</v>
      </c>
      <c r="D9" s="0" t="n">
        <v>0.00812</v>
      </c>
      <c r="E9" s="0" t="n">
        <v>0.01075</v>
      </c>
      <c r="F9" s="0" t="n">
        <v>0.01338</v>
      </c>
      <c r="G9" s="0" t="n">
        <v>0.01598</v>
      </c>
      <c r="H9" s="0" t="n">
        <v>0.01858</v>
      </c>
      <c r="I9" s="0" t="n">
        <v>0.02116</v>
      </c>
      <c r="J9" s="0" t="n">
        <v>0.02373</v>
      </c>
      <c r="K9" s="0" t="n">
        <v>0.02628</v>
      </c>
      <c r="L9" s="0" t="n">
        <v>0.02882</v>
      </c>
      <c r="M9" s="0" t="n">
        <v>0.03135</v>
      </c>
      <c r="N9" s="0" t="n">
        <v>0.03335</v>
      </c>
    </row>
    <row r="10" customFormat="false" ht="12.75" hidden="false" customHeight="false" outlineLevel="0" collapsed="false">
      <c r="A10" s="20" t="s">
        <v>134</v>
      </c>
      <c r="B10" s="0" t="n">
        <v>0.00282</v>
      </c>
      <c r="C10" s="0" t="n">
        <v>0.00549</v>
      </c>
      <c r="D10" s="0" t="n">
        <v>0.00814</v>
      </c>
      <c r="E10" s="0" t="n">
        <v>0.01078</v>
      </c>
      <c r="F10" s="0" t="n">
        <v>0.0134</v>
      </c>
      <c r="G10" s="0" t="n">
        <v>0.01601</v>
      </c>
      <c r="H10" s="0" t="n">
        <v>0.01861</v>
      </c>
      <c r="I10" s="0" t="n">
        <v>0.02119</v>
      </c>
      <c r="J10" s="0" t="n">
        <v>0.02376</v>
      </c>
      <c r="K10" s="0" t="n">
        <v>0.02631</v>
      </c>
      <c r="L10" s="0" t="n">
        <v>0.02885</v>
      </c>
      <c r="M10" s="0" t="n">
        <v>0.03138</v>
      </c>
      <c r="N10" s="0" t="n">
        <v>0.03367</v>
      </c>
    </row>
    <row r="11" customFormat="false" ht="12.75" hidden="false" customHeight="false" outlineLevel="0" collapsed="false">
      <c r="A11" s="20" t="s">
        <v>135</v>
      </c>
      <c r="B11" s="0" t="n">
        <v>0.00313</v>
      </c>
      <c r="C11" s="0" t="n">
        <v>0.00616</v>
      </c>
      <c r="D11" s="0" t="n">
        <v>0.00918</v>
      </c>
      <c r="E11" s="0" t="n">
        <v>0.01217</v>
      </c>
      <c r="F11" s="0" t="n">
        <v>0.01515</v>
      </c>
      <c r="G11" s="0" t="n">
        <v>0.01811</v>
      </c>
      <c r="H11" s="0" t="n">
        <v>0.02105</v>
      </c>
      <c r="I11" s="0" t="n">
        <v>0.02398</v>
      </c>
      <c r="J11" s="0" t="n">
        <v>0.02689</v>
      </c>
      <c r="K11" s="0" t="n">
        <v>0.02978</v>
      </c>
      <c r="L11" s="0" t="n">
        <v>0.03265</v>
      </c>
      <c r="M11" s="0" t="n">
        <v>0.03551</v>
      </c>
      <c r="N11" s="0" t="n">
        <v>0.03809</v>
      </c>
    </row>
    <row r="12" customFormat="false" ht="12.75" hidden="false" customHeight="false" outlineLevel="0" collapsed="false">
      <c r="A12" s="20" t="s">
        <v>136</v>
      </c>
      <c r="B12" s="0" t="n">
        <v>0.00349</v>
      </c>
      <c r="C12" s="0" t="n">
        <v>0.00718</v>
      </c>
      <c r="D12" s="0" t="n">
        <v>0.01084</v>
      </c>
      <c r="E12" s="0" t="n">
        <v>0.01448</v>
      </c>
      <c r="F12" s="0" t="n">
        <v>0.01809</v>
      </c>
      <c r="G12" s="0" t="n">
        <v>0.02167</v>
      </c>
      <c r="H12" s="0" t="n">
        <v>0.02522</v>
      </c>
      <c r="I12" s="0" t="n">
        <v>0.02876</v>
      </c>
      <c r="J12" s="0" t="n">
        <v>0.03226</v>
      </c>
      <c r="K12" s="0" t="n">
        <v>0.03574</v>
      </c>
      <c r="L12" s="0" t="n">
        <v>0.03919</v>
      </c>
      <c r="M12" s="0" t="n">
        <v>0.04263</v>
      </c>
      <c r="N12" s="0" t="n">
        <v>0.04306</v>
      </c>
    </row>
    <row r="13" customFormat="false" ht="12.75" hidden="false" customHeight="false" outlineLevel="0" collapsed="false">
      <c r="A13" s="20" t="s">
        <v>137</v>
      </c>
      <c r="B13" s="0" t="n">
        <v>0.00404</v>
      </c>
      <c r="C13" s="0" t="n">
        <v>0.00802</v>
      </c>
      <c r="D13" s="0" t="n">
        <v>0.01197</v>
      </c>
      <c r="E13" s="0" t="n">
        <v>0.01589</v>
      </c>
      <c r="F13" s="0" t="n">
        <v>0.01978</v>
      </c>
      <c r="G13" s="0" t="n">
        <v>0.02364</v>
      </c>
      <c r="H13" s="0" t="n">
        <v>0.02747</v>
      </c>
      <c r="I13" s="0" t="n">
        <v>0.03127</v>
      </c>
      <c r="J13" s="0" t="n">
        <v>0.03504</v>
      </c>
      <c r="K13" s="0" t="n">
        <v>0.03878</v>
      </c>
      <c r="L13" s="0" t="n">
        <v>0.04249</v>
      </c>
      <c r="M13" s="0" t="n">
        <v>0.04617</v>
      </c>
      <c r="N13" s="0" t="n">
        <v>0.04669</v>
      </c>
    </row>
    <row r="14" customFormat="false" ht="12.75" hidden="false" customHeight="false" outlineLevel="0" collapsed="false">
      <c r="A14" s="20"/>
    </row>
    <row r="15" customFormat="false" ht="12.75" hidden="false" customHeight="false" outlineLevel="0" collapsed="false">
      <c r="A15" s="20" t="s">
        <v>138</v>
      </c>
      <c r="B15" s="40" t="n">
        <f aca="false">AVERAGE(B18:B21,B6:B13)</f>
        <v>0.00425166666666667</v>
      </c>
      <c r="C15" s="40" t="n">
        <f aca="false">AVERAGE(C18:C21,C6:C13)</f>
        <v>0.00788</v>
      </c>
      <c r="D15" s="40" t="n">
        <f aca="false">AVERAGE(D18:D21,D6:D13)</f>
        <v>0.01148</v>
      </c>
      <c r="E15" s="40" t="n">
        <f aca="false">AVERAGE(E18:E21,E6:E13)</f>
        <v>0.0150533333333333</v>
      </c>
      <c r="F15" s="40" t="n">
        <f aca="false">AVERAGE(F18:F21,F6:F13)</f>
        <v>0.0186025</v>
      </c>
      <c r="G15" s="40" t="n">
        <f aca="false">AVERAGE(G18:G21,G6:G13)</f>
        <v>0.0221225</v>
      </c>
      <c r="H15" s="40" t="n">
        <f aca="false">AVERAGE(H18:H21,H6:H13)</f>
        <v>0.0256191666666667</v>
      </c>
      <c r="I15" s="40" t="n">
        <f aca="false">AVERAGE(I18:I21,I6:I13)</f>
        <v>0.0290916666666667</v>
      </c>
      <c r="J15" s="40" t="n">
        <f aca="false">AVERAGE(J18:J21,J6:J13)</f>
        <v>0.0325366666666667</v>
      </c>
      <c r="K15" s="40" t="n">
        <f aca="false">AVERAGE(K18:K21,K6:K13)</f>
        <v>0.0359575</v>
      </c>
      <c r="L15" s="40" t="n">
        <f aca="false">AVERAGE(L18:L21,L6:L13)</f>
        <v>0.0393508333333333</v>
      </c>
      <c r="M15" s="40" t="n">
        <f aca="false">AVERAGE(M18:M21,M6:M13)</f>
        <v>0.0427225</v>
      </c>
      <c r="N15" s="40" t="n">
        <f aca="false">AVERAGE(N18:N21,N6:N13)</f>
        <v>0.044785</v>
      </c>
    </row>
    <row r="16" customFormat="false" ht="12.75" hidden="false" customHeight="false" outlineLevel="0" collapsed="false">
      <c r="A16" s="20"/>
      <c r="B16" s="40" t="n">
        <f aca="false">AVERAGE(B12:B13,B18:B20)</f>
        <v>0.00418</v>
      </c>
      <c r="C16" s="40" t="n">
        <f aca="false">AVERAGE(C12:C13,C18:C20)</f>
        <v>0.008172</v>
      </c>
      <c r="D16" s="40" t="n">
        <f aca="false">AVERAGE(D12:D13,D18:D20)</f>
        <v>0.01213</v>
      </c>
      <c r="E16" s="40" t="n">
        <f aca="false">AVERAGE(E12:E13,E18:E20)</f>
        <v>0.016058</v>
      </c>
      <c r="F16" s="40" t="n">
        <f aca="false">AVERAGE(F12:F13,F18:F20)</f>
        <v>0.019956</v>
      </c>
      <c r="G16" s="40" t="n">
        <f aca="false">AVERAGE(G12:G13,G18:G20)</f>
        <v>0.023822</v>
      </c>
      <c r="H16" s="40" t="n">
        <f aca="false">AVERAGE(H12:H13,H18:H20)</f>
        <v>0.027656</v>
      </c>
      <c r="I16" s="40" t="n">
        <f aca="false">AVERAGE(I12:I13,I18:I20)</f>
        <v>0.031466</v>
      </c>
      <c r="J16" s="40" t="n">
        <f aca="false">AVERAGE(J12:J13,J18:J20)</f>
        <v>0.03524</v>
      </c>
      <c r="K16" s="40" t="n">
        <f aca="false">AVERAGE(K12:K13,K18:K20)</f>
        <v>0.038988</v>
      </c>
      <c r="L16" s="40" t="n">
        <f aca="false">AVERAGE(L12:L13,L18:L20)</f>
        <v>0.042702</v>
      </c>
      <c r="M16" s="40" t="n">
        <f aca="false">AVERAGE(M12:M13,M18:M20)</f>
        <v>0.046392</v>
      </c>
      <c r="N16" s="40" t="n">
        <f aca="false">AVERAGE(N12:N13,N18:N20)</f>
        <v>0.04767</v>
      </c>
    </row>
    <row r="17" customFormat="false" ht="12.75" hidden="false" customHeight="false" outlineLevel="0" collapsed="false">
      <c r="A17" s="20" t="n">
        <v>1998</v>
      </c>
    </row>
    <row r="18" customFormat="false" ht="12.75" hidden="false" customHeight="false" outlineLevel="0" collapsed="false">
      <c r="A18" s="20" t="s">
        <v>139</v>
      </c>
      <c r="B18" s="0" t="n">
        <v>0.0044</v>
      </c>
      <c r="C18" s="0" t="n">
        <v>0.0084</v>
      </c>
      <c r="D18" s="0" t="n">
        <v>0.01237</v>
      </c>
      <c r="E18" s="0" t="n">
        <v>0.0163</v>
      </c>
      <c r="F18" s="0" t="n">
        <v>0.02021</v>
      </c>
      <c r="G18" s="0" t="n">
        <v>0.02408</v>
      </c>
      <c r="H18" s="0" t="n">
        <v>0.02792</v>
      </c>
      <c r="I18" s="0" t="n">
        <v>0.03174</v>
      </c>
      <c r="J18" s="0" t="n">
        <v>0.03552</v>
      </c>
      <c r="K18" s="0" t="n">
        <v>0.03928</v>
      </c>
      <c r="L18" s="0" t="n">
        <v>0.043</v>
      </c>
      <c r="M18" s="0" t="n">
        <v>0.0467</v>
      </c>
      <c r="N18" s="0" t="n">
        <v>0.0471</v>
      </c>
    </row>
    <row r="19" customFormat="false" ht="12.75" hidden="false" customHeight="false" outlineLevel="0" collapsed="false">
      <c r="A19" s="20" t="s">
        <v>140</v>
      </c>
      <c r="B19" s="0" t="n">
        <v>0.00455</v>
      </c>
      <c r="C19" s="0" t="n">
        <v>0.00865</v>
      </c>
      <c r="D19" s="0" t="n">
        <v>0.0127</v>
      </c>
      <c r="E19" s="0" t="n">
        <v>0.01673</v>
      </c>
      <c r="F19" s="0" t="n">
        <v>0.02072</v>
      </c>
      <c r="G19" s="0" t="n">
        <v>0.02468</v>
      </c>
      <c r="H19" s="0" t="n">
        <v>0.02861</v>
      </c>
      <c r="I19" s="0" t="n">
        <v>0.03251</v>
      </c>
      <c r="J19" s="0" t="n">
        <v>0.03637</v>
      </c>
      <c r="K19" s="0" t="n">
        <v>0.04021</v>
      </c>
      <c r="L19" s="0" t="n">
        <v>0.04401</v>
      </c>
      <c r="M19" s="0" t="n">
        <v>0.04778</v>
      </c>
      <c r="N19" s="0" t="n">
        <v>0.04993</v>
      </c>
    </row>
    <row r="20" customFormat="false" ht="12.75" hidden="false" customHeight="false" outlineLevel="0" collapsed="false">
      <c r="A20" s="20" t="s">
        <v>141</v>
      </c>
      <c r="B20" s="0" t="n">
        <v>0.00442</v>
      </c>
      <c r="C20" s="0" t="n">
        <v>0.00861</v>
      </c>
      <c r="D20" s="0" t="n">
        <v>0.01277</v>
      </c>
      <c r="E20" s="0" t="n">
        <v>0.01689</v>
      </c>
      <c r="F20" s="0" t="n">
        <v>0.02098</v>
      </c>
      <c r="G20" s="0" t="n">
        <v>0.02504</v>
      </c>
      <c r="H20" s="0" t="n">
        <v>0.02906</v>
      </c>
      <c r="I20" s="0" t="n">
        <v>0.03305</v>
      </c>
      <c r="J20" s="0" t="n">
        <v>0.03701</v>
      </c>
      <c r="K20" s="0" t="n">
        <v>0.04093</v>
      </c>
      <c r="L20" s="0" t="n">
        <v>0.04482</v>
      </c>
      <c r="M20" s="0" t="n">
        <v>0.04868</v>
      </c>
      <c r="N20" s="0" t="n">
        <v>0.05157</v>
      </c>
    </row>
    <row r="21" customFormat="false" ht="12.75" hidden="false" customHeight="false" outlineLevel="0" collapsed="false">
      <c r="A21" s="20" t="s">
        <v>129</v>
      </c>
      <c r="B21" s="0" t="n">
        <v>0.00423</v>
      </c>
      <c r="C21" s="0" t="n">
        <v>0.00853</v>
      </c>
      <c r="D21" s="0" t="n">
        <v>0.01278</v>
      </c>
      <c r="E21" s="0" t="n">
        <v>0.017</v>
      </c>
      <c r="F21" s="0" t="n">
        <v>0.02119</v>
      </c>
      <c r="G21" s="0" t="n">
        <v>0.02533</v>
      </c>
      <c r="H21" s="0" t="n">
        <v>0.02945</v>
      </c>
      <c r="I21" s="0" t="n">
        <v>0.03353</v>
      </c>
      <c r="J21" s="0" t="n">
        <v>0.03757</v>
      </c>
      <c r="K21" s="0" t="n">
        <v>0.04158</v>
      </c>
      <c r="L21" s="0" t="n">
        <v>0.04556</v>
      </c>
      <c r="M21" s="0" t="n">
        <v>0.0495</v>
      </c>
      <c r="N21" s="0" t="n">
        <v>0.05266</v>
      </c>
    </row>
    <row r="22" customFormat="false" ht="12.75" hidden="false" customHeight="false" outlineLevel="0" collapsed="false">
      <c r="A22" s="20" t="s">
        <v>130</v>
      </c>
      <c r="B22" s="0" t="n">
        <v>0.00356</v>
      </c>
      <c r="C22" s="0" t="n">
        <v>0.00761</v>
      </c>
      <c r="D22" s="0" t="n">
        <v>0.01162</v>
      </c>
      <c r="E22" s="0" t="n">
        <v>0.01561</v>
      </c>
      <c r="F22" s="0" t="n">
        <v>0.01956</v>
      </c>
      <c r="G22" s="0" t="n">
        <v>0.02348</v>
      </c>
      <c r="H22" s="0" t="n">
        <v>0.02737</v>
      </c>
      <c r="I22" s="0" t="n">
        <v>0.03123</v>
      </c>
      <c r="J22" s="0" t="n">
        <v>0.03505</v>
      </c>
      <c r="K22" s="0" t="n">
        <v>0.03885</v>
      </c>
      <c r="L22" s="0" t="n">
        <v>0.04262</v>
      </c>
      <c r="M22" s="0" t="n">
        <v>0.04636</v>
      </c>
      <c r="N22" s="0" t="n">
        <v>0.04973</v>
      </c>
    </row>
    <row r="23" customFormat="false" ht="12.75" hidden="false" customHeight="false" outlineLevel="0" collapsed="false">
      <c r="A23" s="20" t="s">
        <v>131</v>
      </c>
      <c r="B23" s="0" t="n">
        <v>0.00347</v>
      </c>
      <c r="C23" s="0" t="n">
        <v>0.00717</v>
      </c>
      <c r="D23" s="0" t="n">
        <v>0.01084</v>
      </c>
      <c r="E23" s="0" t="n">
        <v>0.01448</v>
      </c>
      <c r="F23" s="0" t="n">
        <v>0.0181</v>
      </c>
      <c r="G23" s="0" t="n">
        <v>0.02169</v>
      </c>
      <c r="H23" s="0" t="n">
        <v>0.02525</v>
      </c>
      <c r="I23" s="0" t="n">
        <v>0.02879</v>
      </c>
      <c r="J23" s="0" t="n">
        <v>0.0323</v>
      </c>
      <c r="K23" s="0" t="n">
        <v>0.03579</v>
      </c>
      <c r="L23" s="0" t="n">
        <v>0.03925</v>
      </c>
      <c r="M23" s="0" t="n">
        <v>0.04269</v>
      </c>
      <c r="N23" s="0" t="n">
        <v>0.0458</v>
      </c>
    </row>
    <row r="24" customFormat="false" ht="12.75" hidden="false" customHeight="false" outlineLevel="0" collapsed="false">
      <c r="A24" s="20" t="s">
        <v>132</v>
      </c>
      <c r="B24" s="0" t="n">
        <v>0.00304</v>
      </c>
      <c r="C24" s="0" t="n">
        <v>0.00659</v>
      </c>
      <c r="D24" s="0" t="n">
        <v>0.01011</v>
      </c>
      <c r="E24" s="0" t="n">
        <v>0.01361</v>
      </c>
      <c r="F24" s="0" t="n">
        <v>0.01708</v>
      </c>
      <c r="G24" s="0" t="n">
        <v>0.02053</v>
      </c>
      <c r="H24" s="0" t="n">
        <v>0.02396</v>
      </c>
      <c r="I24" s="0" t="n">
        <v>0.02736</v>
      </c>
      <c r="J24" s="0" t="n">
        <v>0.03073</v>
      </c>
      <c r="K24" s="0" t="n">
        <v>0.03409</v>
      </c>
      <c r="L24" s="0" t="n">
        <v>0.03742</v>
      </c>
      <c r="M24" s="0" t="n">
        <v>0.04073</v>
      </c>
      <c r="N24" s="0" t="n">
        <v>0.04372</v>
      </c>
    </row>
    <row r="25" customFormat="false" ht="12.75" hidden="false" customHeight="false" outlineLevel="0" collapsed="false">
      <c r="A25" s="20" t="s">
        <v>133</v>
      </c>
      <c r="B25" s="0" t="n">
        <v>0.00322</v>
      </c>
      <c r="C25" s="0" t="n">
        <v>0.00692</v>
      </c>
      <c r="D25" s="0" t="n">
        <v>0.0106</v>
      </c>
      <c r="E25" s="0" t="n">
        <v>0.01424</v>
      </c>
      <c r="F25" s="0" t="n">
        <v>0.01786</v>
      </c>
      <c r="G25" s="0" t="n">
        <v>0.02146</v>
      </c>
      <c r="H25" s="0" t="n">
        <v>0.02502</v>
      </c>
      <c r="I25" s="0" t="n">
        <v>0.02856</v>
      </c>
      <c r="J25" s="0" t="n">
        <v>0.03208</v>
      </c>
      <c r="K25" s="0" t="n">
        <v>0.03557</v>
      </c>
      <c r="L25" s="0" t="n">
        <v>0.03904</v>
      </c>
      <c r="M25" s="0" t="n">
        <v>0.04248</v>
      </c>
      <c r="N25" s="0" t="n">
        <v>0.04558</v>
      </c>
    </row>
    <row r="26" customFormat="false" ht="12.75" hidden="false" customHeight="false" outlineLevel="0" collapsed="false">
      <c r="A26" s="20" t="s">
        <v>134</v>
      </c>
      <c r="B26" s="0" t="n">
        <v>0.00302</v>
      </c>
      <c r="C26" s="0" t="n">
        <v>0.00636</v>
      </c>
      <c r="D26" s="0" t="n">
        <v>0.00969</v>
      </c>
      <c r="E26" s="0" t="n">
        <v>0.01298</v>
      </c>
      <c r="F26" s="0" t="n">
        <v>0.01626</v>
      </c>
      <c r="G26" s="0" t="n">
        <v>0.01951</v>
      </c>
      <c r="H26" s="0" t="n">
        <v>0.02275</v>
      </c>
      <c r="I26" s="0" t="n">
        <v>0.02596</v>
      </c>
      <c r="J26" s="0" t="n">
        <v>0.02915</v>
      </c>
      <c r="K26" s="0" t="n">
        <v>0.03232</v>
      </c>
      <c r="L26" s="0" t="n">
        <v>0.03547</v>
      </c>
      <c r="M26" s="0" t="n">
        <v>0.0386</v>
      </c>
      <c r="N26" s="0" t="n">
        <v>0.04143</v>
      </c>
    </row>
    <row r="27" customFormat="false" ht="12.75" hidden="false" customHeight="false" outlineLevel="0" collapsed="false">
      <c r="A27" s="20" t="s">
        <v>135</v>
      </c>
      <c r="B27" s="0" t="n">
        <v>0.00388</v>
      </c>
      <c r="C27" s="0" t="n">
        <v>0.00736</v>
      </c>
      <c r="D27" s="0" t="n">
        <v>0.01081</v>
      </c>
      <c r="E27" s="0" t="n">
        <v>0.01424</v>
      </c>
      <c r="F27" s="0" t="n">
        <v>0.01765</v>
      </c>
      <c r="G27" s="0" t="n">
        <v>0.02103</v>
      </c>
      <c r="H27" s="0" t="n">
        <v>0.02439</v>
      </c>
      <c r="I27" s="0" t="n">
        <v>0.02772</v>
      </c>
      <c r="J27" s="0" t="n">
        <v>0.03104</v>
      </c>
      <c r="K27" s="0" t="n">
        <v>0.03433</v>
      </c>
      <c r="L27" s="0" t="n">
        <v>0.03759</v>
      </c>
      <c r="M27" s="0" t="n">
        <v>0.04084</v>
      </c>
      <c r="N27" s="0" t="n">
        <v>0.04378</v>
      </c>
    </row>
    <row r="28" customFormat="false" ht="12.75" hidden="false" customHeight="false" outlineLevel="0" collapsed="false">
      <c r="A28" s="20" t="s">
        <v>136</v>
      </c>
      <c r="B28" s="0" t="n">
        <v>0.00393</v>
      </c>
      <c r="C28" s="0" t="n">
        <v>0.00794</v>
      </c>
      <c r="D28" s="0" t="n">
        <v>0.01193</v>
      </c>
      <c r="E28" s="0" t="n">
        <v>0.01588</v>
      </c>
      <c r="F28" s="0" t="n">
        <v>0.0198</v>
      </c>
      <c r="G28" s="0" t="n">
        <v>0.02369</v>
      </c>
      <c r="H28" s="0" t="n">
        <v>0.02755</v>
      </c>
      <c r="I28" s="0" t="n">
        <v>0.03138</v>
      </c>
      <c r="J28" s="0" t="n">
        <v>0.03517</v>
      </c>
      <c r="K28" s="0" t="n">
        <v>0.03894</v>
      </c>
      <c r="L28" s="0" t="n">
        <v>0.04268</v>
      </c>
      <c r="M28" s="0" t="n">
        <v>0.04639</v>
      </c>
      <c r="N28" s="0" t="n">
        <v>0.04853</v>
      </c>
    </row>
    <row r="29" customFormat="false" ht="12.75" hidden="false" customHeight="false" outlineLevel="0" collapsed="false">
      <c r="A29" s="20" t="s">
        <v>137</v>
      </c>
      <c r="B29" s="0" t="n">
        <v>0.00414</v>
      </c>
      <c r="C29" s="0" t="n">
        <v>0.00849</v>
      </c>
      <c r="D29" s="0" t="n">
        <v>0.01281</v>
      </c>
      <c r="E29" s="0" t="n">
        <v>0.01709</v>
      </c>
      <c r="F29" s="0" t="n">
        <v>0.02133</v>
      </c>
      <c r="G29" s="0" t="n">
        <v>0.02554</v>
      </c>
      <c r="H29" s="0" t="n">
        <v>0.02971</v>
      </c>
      <c r="I29" s="0" t="n">
        <v>0.03384</v>
      </c>
      <c r="J29" s="0" t="n">
        <v>0.03794</v>
      </c>
      <c r="K29" s="0" t="n">
        <v>0.04201</v>
      </c>
      <c r="L29" s="0" t="n">
        <v>0.04604</v>
      </c>
      <c r="M29" s="0" t="n">
        <v>0.05004</v>
      </c>
      <c r="N29" s="0" t="n">
        <v>0.05204</v>
      </c>
    </row>
    <row r="30" customFormat="false" ht="12.75" hidden="false" customHeight="false" outlineLevel="0" collapsed="false">
      <c r="A30" s="20"/>
    </row>
    <row r="31" customFormat="false" ht="12.75" hidden="false" customHeight="false" outlineLevel="0" collapsed="false">
      <c r="A31" s="20" t="s">
        <v>138</v>
      </c>
      <c r="B31" s="40" t="n">
        <f aca="false">AVERAGE(B34:B37,B22:B29)</f>
        <v>0.00382833333333333</v>
      </c>
      <c r="C31" s="40" t="n">
        <f aca="false">AVERAGE(C34:C37,C22:C29)</f>
        <v>0.0074425</v>
      </c>
      <c r="D31" s="40" t="n">
        <f aca="false">AVERAGE(D34:D37,D22:D29)</f>
        <v>0.0110316666666667</v>
      </c>
      <c r="E31" s="40" t="n">
        <f aca="false">AVERAGE(E34:E37,E22:E29)</f>
        <v>0.0145933333333333</v>
      </c>
      <c r="F31" s="40" t="n">
        <f aca="false">AVERAGE(F34:F37,F22:F29)</f>
        <v>0.0181291666666667</v>
      </c>
      <c r="G31" s="40" t="n">
        <f aca="false">AVERAGE(G34:G37,G22:G29)</f>
        <v>0.0216408333333333</v>
      </c>
      <c r="H31" s="40" t="n">
        <f aca="false">AVERAGE(H34:H37,H22:H29)</f>
        <v>0.0251258333333333</v>
      </c>
      <c r="I31" s="40" t="n">
        <f aca="false">AVERAGE(I34:I37,I22:I29)</f>
        <v>0.0285858333333333</v>
      </c>
      <c r="J31" s="40" t="n">
        <f aca="false">AVERAGE(J34:J37,J22:J29)</f>
        <v>0.03202</v>
      </c>
      <c r="K31" s="40" t="n">
        <f aca="false">AVERAGE(K34:K37,K22:K29)</f>
        <v>0.0354325</v>
      </c>
      <c r="L31" s="40" t="n">
        <f aca="false">AVERAGE(L34:L37,L22:L29)</f>
        <v>0.0388183333333333</v>
      </c>
      <c r="M31" s="40" t="n">
        <f aca="false">AVERAGE(M34:M37,M22:M29)</f>
        <v>0.0421825</v>
      </c>
      <c r="N31" s="40" t="n">
        <f aca="false">AVERAGE(N34:N37,N22:N29)</f>
        <v>0.0445708333333333</v>
      </c>
    </row>
    <row r="32" customFormat="false" ht="12.75" hidden="false" customHeight="false" outlineLevel="0" collapsed="false">
      <c r="A32" s="20" t="s">
        <v>142</v>
      </c>
      <c r="B32" s="40" t="n">
        <f aca="false">AVERAGE(B28:B29,B34:B36)</f>
        <v>0.004144</v>
      </c>
      <c r="C32" s="40" t="n">
        <f aca="false">AVERAGE(C28:C29,C34:C36)</f>
        <v>0.007916</v>
      </c>
      <c r="D32" s="40" t="n">
        <f aca="false">AVERAGE(D28:D29,D34:D36)</f>
        <v>0.011662</v>
      </c>
      <c r="E32" s="40" t="n">
        <f aca="false">AVERAGE(E28:E29,E34:E36)</f>
        <v>0.01538</v>
      </c>
      <c r="F32" s="40" t="n">
        <f aca="false">AVERAGE(F28:F29,F34:F36)</f>
        <v>0.019066</v>
      </c>
      <c r="G32" s="40" t="n">
        <f aca="false">AVERAGE(G28:G29,G34:G36)</f>
        <v>0.022728</v>
      </c>
      <c r="H32" s="40" t="n">
        <f aca="false">AVERAGE(H28:H29,H34:H36)</f>
        <v>0.02636</v>
      </c>
      <c r="I32" s="40" t="n">
        <f aca="false">AVERAGE(I28:I29,I34:I36)</f>
        <v>0.029966</v>
      </c>
      <c r="J32" s="40" t="n">
        <f aca="false">AVERAGE(J28:J29,J34:J36)</f>
        <v>0.033542</v>
      </c>
      <c r="K32" s="40" t="n">
        <f aca="false">AVERAGE(K28:K29,K34:K36)</f>
        <v>0.037096</v>
      </c>
      <c r="L32" s="40" t="n">
        <f aca="false">AVERAGE(L28:L29,L34:L36)</f>
        <v>0.040622</v>
      </c>
      <c r="M32" s="40" t="n">
        <f aca="false">AVERAGE(M28:M29,M34:M36)</f>
        <v>0.044122</v>
      </c>
      <c r="N32" s="40" t="n">
        <f aca="false">AVERAGE(N28:N29,N34:N36)</f>
        <v>0.045768</v>
      </c>
    </row>
    <row r="33" customFormat="false" ht="12.75" hidden="false" customHeight="false" outlineLevel="0" collapsed="false">
      <c r="A33" s="20" t="n">
        <v>1999</v>
      </c>
    </row>
    <row r="34" customFormat="false" ht="12.75" hidden="false" customHeight="false" outlineLevel="0" collapsed="false">
      <c r="A34" s="20" t="s">
        <v>139</v>
      </c>
      <c r="B34" s="0" t="n">
        <v>0.0034</v>
      </c>
      <c r="C34" s="0" t="n">
        <v>0.00712</v>
      </c>
      <c r="D34" s="0" t="n">
        <v>0.01081</v>
      </c>
      <c r="E34" s="0" t="n">
        <v>0.01448</v>
      </c>
      <c r="F34" s="0" t="n">
        <v>0.01811</v>
      </c>
      <c r="G34" s="0" t="n">
        <v>0.02172</v>
      </c>
      <c r="H34" s="0" t="n">
        <v>0.0253</v>
      </c>
      <c r="I34" s="0" t="n">
        <v>0.02886</v>
      </c>
      <c r="J34" s="0" t="n">
        <v>0.03239</v>
      </c>
      <c r="K34" s="0" t="n">
        <v>0.0359</v>
      </c>
      <c r="L34" s="0" t="n">
        <v>0.03938</v>
      </c>
      <c r="M34" s="0" t="n">
        <v>0.04283</v>
      </c>
      <c r="N34" s="0" t="n">
        <v>0.04318</v>
      </c>
    </row>
    <row r="35" customFormat="false" ht="12.75" hidden="false" customHeight="false" outlineLevel="0" collapsed="false">
      <c r="A35" s="20" t="s">
        <v>140</v>
      </c>
      <c r="B35" s="0" t="n">
        <v>0.00354</v>
      </c>
      <c r="C35" s="0" t="n">
        <v>0.00707</v>
      </c>
      <c r="D35" s="0" t="n">
        <v>0.01057</v>
      </c>
      <c r="E35" s="0" t="n">
        <v>0.01405</v>
      </c>
      <c r="F35" s="0" t="n">
        <v>0.0175</v>
      </c>
      <c r="G35" s="0" t="n">
        <v>0.02093</v>
      </c>
      <c r="H35" s="0" t="n">
        <v>0.02434</v>
      </c>
      <c r="I35" s="0" t="n">
        <v>0.02772</v>
      </c>
      <c r="J35" s="0" t="n">
        <v>0.03107</v>
      </c>
      <c r="K35" s="0" t="n">
        <v>0.03441</v>
      </c>
      <c r="L35" s="0" t="n">
        <v>0.03772</v>
      </c>
      <c r="M35" s="0" t="n">
        <v>0.04101</v>
      </c>
      <c r="N35" s="0" t="n">
        <v>0.04244</v>
      </c>
    </row>
    <row r="36" customFormat="false" ht="12.75" hidden="false" customHeight="false" outlineLevel="0" collapsed="false">
      <c r="A36" s="20" t="s">
        <v>141</v>
      </c>
      <c r="B36" s="0" t="n">
        <v>0.00571</v>
      </c>
      <c r="C36" s="0" t="n">
        <v>0.00896</v>
      </c>
      <c r="D36" s="0" t="n">
        <v>0.01219</v>
      </c>
      <c r="E36" s="0" t="n">
        <v>0.0154</v>
      </c>
      <c r="F36" s="0" t="n">
        <v>0.01859</v>
      </c>
      <c r="G36" s="0" t="n">
        <v>0.02176</v>
      </c>
      <c r="H36" s="0" t="n">
        <v>0.0249</v>
      </c>
      <c r="I36" s="0" t="n">
        <v>0.02803</v>
      </c>
      <c r="J36" s="0" t="n">
        <v>0.03114</v>
      </c>
      <c r="K36" s="0" t="n">
        <v>0.03422</v>
      </c>
      <c r="L36" s="0" t="n">
        <v>0.03729</v>
      </c>
      <c r="M36" s="0" t="n">
        <v>0.04034</v>
      </c>
      <c r="N36" s="0" t="n">
        <v>0.04265</v>
      </c>
    </row>
    <row r="37" customFormat="false" ht="12.75" hidden="false" customHeight="false" outlineLevel="0" collapsed="false">
      <c r="A37" s="20" t="s">
        <v>129</v>
      </c>
      <c r="B37" s="0" t="n">
        <v>0.00503</v>
      </c>
      <c r="C37" s="0" t="n">
        <v>0.00772</v>
      </c>
      <c r="D37" s="0" t="n">
        <v>0.0104</v>
      </c>
      <c r="E37" s="0" t="n">
        <v>0.01306</v>
      </c>
      <c r="F37" s="0" t="n">
        <v>0.01571</v>
      </c>
      <c r="G37" s="0" t="n">
        <v>0.01835</v>
      </c>
      <c r="H37" s="0" t="n">
        <v>0.02097</v>
      </c>
      <c r="I37" s="0" t="n">
        <v>0.02358</v>
      </c>
      <c r="J37" s="0" t="n">
        <v>0.02618</v>
      </c>
      <c r="K37" s="0" t="n">
        <v>0.02876</v>
      </c>
      <c r="L37" s="0" t="n">
        <v>0.03132</v>
      </c>
      <c r="M37" s="0" t="n">
        <v>0.03388</v>
      </c>
      <c r="N37" s="0" t="n">
        <v>0.03597</v>
      </c>
    </row>
    <row r="38" customFormat="false" ht="12.75" hidden="false" customHeight="false" outlineLevel="0" collapsed="false">
      <c r="A38" s="20" t="s">
        <v>130</v>
      </c>
      <c r="B38" s="0" t="n">
        <v>0.00552</v>
      </c>
      <c r="C38" s="0" t="n">
        <v>0.00821</v>
      </c>
      <c r="D38" s="0" t="n">
        <v>0.01088</v>
      </c>
      <c r="E38" s="0" t="n">
        <v>0.01355</v>
      </c>
      <c r="F38" s="0" t="n">
        <v>0.01619</v>
      </c>
      <c r="G38" s="0" t="n">
        <v>0.01882</v>
      </c>
      <c r="H38" s="0" t="n">
        <v>0.02144</v>
      </c>
      <c r="I38" s="0" t="n">
        <v>0.02405</v>
      </c>
      <c r="J38" s="0" t="n">
        <v>0.02664</v>
      </c>
      <c r="K38" s="0" t="n">
        <v>0.02921</v>
      </c>
      <c r="L38" s="0" t="n">
        <v>0.03178</v>
      </c>
      <c r="M38" s="0" t="n">
        <v>0.03433</v>
      </c>
      <c r="N38" s="0" t="n">
        <v>0.03666</v>
      </c>
    </row>
    <row r="39" customFormat="false" ht="12.75" hidden="false" customHeight="false" outlineLevel="0" collapsed="false">
      <c r="A39" s="20" t="s">
        <v>131</v>
      </c>
      <c r="B39" s="0" t="n">
        <v>0.00489</v>
      </c>
      <c r="C39" s="0" t="n">
        <v>0.00782</v>
      </c>
      <c r="D39" s="0" t="n">
        <v>0.01074</v>
      </c>
      <c r="E39" s="0" t="n">
        <v>0.01363</v>
      </c>
      <c r="F39" s="0" t="n">
        <v>0.01652</v>
      </c>
      <c r="G39" s="0" t="n">
        <v>0.01938</v>
      </c>
      <c r="H39" s="0" t="n">
        <v>0.02223</v>
      </c>
      <c r="I39" s="0" t="n">
        <v>0.02506</v>
      </c>
      <c r="J39" s="0" t="n">
        <v>0.02788</v>
      </c>
      <c r="K39" s="0" t="n">
        <v>0.03068</v>
      </c>
      <c r="L39" s="0" t="n">
        <v>0.03346</v>
      </c>
      <c r="M39" s="0" t="n">
        <v>0.03623</v>
      </c>
      <c r="N39" s="0" t="n">
        <v>0.03658</v>
      </c>
    </row>
    <row r="40" customFormat="false" ht="12.75" hidden="false" customHeight="false" outlineLevel="0" collapsed="false">
      <c r="A40" s="20" t="s">
        <v>132</v>
      </c>
      <c r="B40" s="0" t="n">
        <v>0.00535</v>
      </c>
      <c r="C40" s="0" t="n">
        <v>0.00869</v>
      </c>
      <c r="D40" s="0" t="n">
        <v>0.01201</v>
      </c>
      <c r="E40" s="0" t="n">
        <v>0.0153</v>
      </c>
      <c r="F40" s="0" t="n">
        <v>0.01857</v>
      </c>
      <c r="G40" s="0" t="n">
        <v>0.02182</v>
      </c>
      <c r="H40" s="0" t="n">
        <v>0.02505</v>
      </c>
      <c r="I40" s="0" t="n">
        <v>0.02826</v>
      </c>
      <c r="J40" s="0" t="n">
        <v>0.03145</v>
      </c>
      <c r="K40" s="0" t="n">
        <v>0.03461</v>
      </c>
      <c r="L40" s="0" t="n">
        <v>0.03776</v>
      </c>
      <c r="M40" s="0" t="n">
        <v>0.04088</v>
      </c>
      <c r="N40" s="0" t="n">
        <v>0.04374</v>
      </c>
    </row>
    <row r="41" customFormat="false" ht="12.75" hidden="false" customHeight="false" outlineLevel="0" collapsed="false">
      <c r="A41" s="20" t="s">
        <v>133</v>
      </c>
      <c r="B41" s="0" t="n">
        <v>0.00533</v>
      </c>
      <c r="C41" s="0" t="n">
        <v>0.00896</v>
      </c>
      <c r="D41" s="0" t="n">
        <v>0.01256</v>
      </c>
      <c r="E41" s="0" t="n">
        <v>0.01614</v>
      </c>
      <c r="F41" s="0" t="n">
        <v>0.01969</v>
      </c>
      <c r="G41" s="0" t="n">
        <v>0.02321</v>
      </c>
      <c r="H41" s="0" t="n">
        <v>0.02671</v>
      </c>
      <c r="I41" s="0" t="n">
        <v>0.03019</v>
      </c>
      <c r="J41" s="0" t="n">
        <v>0.03364</v>
      </c>
      <c r="K41" s="0" t="n">
        <v>0.03706</v>
      </c>
      <c r="L41" s="0" t="n">
        <v>0.04046</v>
      </c>
      <c r="M41" s="0" t="n">
        <v>0.04384</v>
      </c>
      <c r="N41" s="0" t="n">
        <v>0.04693</v>
      </c>
    </row>
    <row r="42" customFormat="false" ht="12.75" hidden="false" customHeight="false" outlineLevel="0" collapsed="false">
      <c r="A42" s="20" t="s">
        <v>134</v>
      </c>
      <c r="B42" s="0" t="n">
        <v>0.00425</v>
      </c>
      <c r="C42" s="0" t="n">
        <v>0.00725</v>
      </c>
      <c r="D42" s="0" t="n">
        <v>0.01025</v>
      </c>
      <c r="E42" s="0" t="n">
        <v>0.01322</v>
      </c>
      <c r="F42" s="0" t="n">
        <v>0.01617</v>
      </c>
      <c r="G42" s="0" t="n">
        <v>0.01911</v>
      </c>
      <c r="H42" s="0" t="n">
        <v>0.02203</v>
      </c>
      <c r="I42" s="0" t="n">
        <v>0.02493</v>
      </c>
      <c r="J42" s="0" t="n">
        <v>0.02782</v>
      </c>
      <c r="K42" s="0" t="n">
        <v>0.03069</v>
      </c>
      <c r="L42" s="0" t="n">
        <v>0.03354</v>
      </c>
      <c r="M42" s="0" t="n">
        <v>0.03637</v>
      </c>
      <c r="N42" s="0" t="n">
        <v>0.03897</v>
      </c>
    </row>
    <row r="43" customFormat="false" ht="12.75" hidden="false" customHeight="false" outlineLevel="0" collapsed="false">
      <c r="A43" s="20" t="s">
        <v>135</v>
      </c>
      <c r="B43" s="0" t="n">
        <v>0.00465</v>
      </c>
      <c r="C43" s="0" t="n">
        <v>0.00822</v>
      </c>
      <c r="D43" s="0" t="n">
        <v>0.01177</v>
      </c>
      <c r="E43" s="0" t="n">
        <v>0.0153</v>
      </c>
      <c r="F43" s="0" t="n">
        <v>0.0188</v>
      </c>
      <c r="G43" s="0" t="n">
        <v>0.02227</v>
      </c>
      <c r="H43" s="0" t="n">
        <v>0.02572</v>
      </c>
      <c r="I43" s="0" t="n">
        <v>0.02915</v>
      </c>
      <c r="J43" s="0" t="n">
        <v>0.03255</v>
      </c>
      <c r="K43" s="0" t="n">
        <v>0.03593</v>
      </c>
      <c r="L43" s="0" t="n">
        <v>0.03929</v>
      </c>
      <c r="M43" s="0" t="n">
        <v>0.04262</v>
      </c>
      <c r="N43" s="0" t="n">
        <v>0.04567</v>
      </c>
    </row>
    <row r="44" customFormat="false" ht="12.75" hidden="false" customHeight="false" outlineLevel="0" collapsed="false">
      <c r="A44" s="20" t="s">
        <v>136</v>
      </c>
      <c r="B44" s="0" t="n">
        <v>0.00429</v>
      </c>
      <c r="C44" s="0" t="n">
        <v>0.00799</v>
      </c>
      <c r="D44" s="0" t="n">
        <v>0.01168</v>
      </c>
      <c r="E44" s="0" t="n">
        <v>0.01533</v>
      </c>
      <c r="F44" s="0" t="n">
        <v>0.01896</v>
      </c>
      <c r="G44" s="0" t="n">
        <v>0.02256</v>
      </c>
      <c r="H44" s="0" t="n">
        <v>0.02613</v>
      </c>
      <c r="I44" s="0" t="n">
        <v>0.02968</v>
      </c>
      <c r="J44" s="0" t="n">
        <v>0.0332</v>
      </c>
      <c r="K44" s="0" t="n">
        <v>0.0367</v>
      </c>
      <c r="L44" s="0" t="n">
        <v>0.04017</v>
      </c>
      <c r="M44" s="0" t="n">
        <v>0.04362</v>
      </c>
      <c r="N44" s="0" t="n">
        <v>0.04556</v>
      </c>
    </row>
    <row r="45" customFormat="false" ht="12.75" hidden="false" customHeight="false" outlineLevel="0" collapsed="false">
      <c r="A45" s="20" t="s">
        <v>137</v>
      </c>
      <c r="B45" s="0" t="n">
        <v>0.00451</v>
      </c>
      <c r="C45" s="0" t="n">
        <v>0.00831</v>
      </c>
      <c r="D45" s="0" t="n">
        <v>0.01209</v>
      </c>
      <c r="E45" s="0" t="n">
        <v>0.01583</v>
      </c>
      <c r="F45" s="0" t="n">
        <v>0.01955</v>
      </c>
      <c r="G45" s="0" t="n">
        <v>0.02324</v>
      </c>
      <c r="H45" s="0" t="n">
        <v>0.0269</v>
      </c>
      <c r="I45" s="0" t="n">
        <v>0.03053</v>
      </c>
      <c r="J45" s="0" t="n">
        <v>0.03414</v>
      </c>
      <c r="K45" s="0" t="n">
        <v>0.03772</v>
      </c>
      <c r="L45" s="0" t="n">
        <v>0.04127</v>
      </c>
      <c r="M45" s="0" t="n">
        <v>0.0448</v>
      </c>
      <c r="N45" s="0" t="n">
        <v>0.04699</v>
      </c>
    </row>
    <row r="46" customFormat="false" ht="12.75" hidden="false" customHeight="false" outlineLevel="0" collapsed="false">
      <c r="A46" s="20"/>
    </row>
    <row r="47" customFormat="false" ht="12.75" hidden="false" customHeight="false" outlineLevel="0" collapsed="false">
      <c r="A47" s="20" t="s">
        <v>138</v>
      </c>
      <c r="B47" s="40" t="n">
        <f aca="false">AVERAGE(B50:B53,B38:B45)</f>
        <v>0.0043</v>
      </c>
      <c r="C47" s="40" t="n">
        <f aca="false">AVERAGE(C50:C53,C38:C45)</f>
        <v>0.00757916666666667</v>
      </c>
      <c r="D47" s="40" t="n">
        <f aca="false">AVERAGE(D50:D53,D38:D45)</f>
        <v>0.0102553333333333</v>
      </c>
      <c r="E47" s="40" t="n">
        <f aca="false">AVERAGE(E50:E53,E38:E45)</f>
        <v>0.0141125</v>
      </c>
      <c r="F47" s="40" t="n">
        <f aca="false">AVERAGE(F50:F53,F38:F45)</f>
        <v>0.0173466666666667</v>
      </c>
      <c r="G47" s="40" t="n">
        <f aca="false">AVERAGE(G50:G53,G38:G45)</f>
        <v>0.0205575</v>
      </c>
      <c r="H47" s="40" t="n">
        <f aca="false">AVERAGE(H50:H53,H38:H45)</f>
        <v>0.0237483333333333</v>
      </c>
      <c r="I47" s="40" t="n">
        <f aca="false">AVERAGE(I50:I53,I38:I45)</f>
        <v>0.0269191666666667</v>
      </c>
      <c r="J47" s="40" t="n">
        <f aca="false">AVERAGE(J50:J53,J38:J45)</f>
        <v>0.0300691666666667</v>
      </c>
      <c r="K47" s="40" t="n">
        <f aca="false">AVERAGE(K50:K53,K38:K45)</f>
        <v>0.0331966666666667</v>
      </c>
      <c r="L47" s="40" t="n">
        <f aca="false">AVERAGE(L50:L53,L38:L45)</f>
        <v>0.036305</v>
      </c>
      <c r="M47" s="40" t="n">
        <f aca="false">AVERAGE(M50:M53,M38:M45)</f>
        <v>0.0393933333333333</v>
      </c>
      <c r="N47" s="40" t="n">
        <f aca="false">AVERAGE(N50:N53,N38:N45)</f>
        <v>0.0412558333333333</v>
      </c>
    </row>
    <row r="48" customFormat="false" ht="12.75" hidden="false" customHeight="false" outlineLevel="0" collapsed="false">
      <c r="A48" s="20" t="s">
        <v>142</v>
      </c>
      <c r="B48" s="40" t="n">
        <f aca="false">AVERAGE(B44:B45,B50:B52)</f>
        <v>0.003726</v>
      </c>
      <c r="C48" s="40" t="n">
        <f aca="false">AVERAGE(C44:C45,C50:C52)</f>
        <v>0.007278</v>
      </c>
      <c r="D48" s="40" t="n">
        <f aca="false">AVERAGE(D44:D45,D50:D52)</f>
        <v>0.01081</v>
      </c>
      <c r="E48" s="40" t="n">
        <f aca="false">AVERAGE(E44:E45,E50:E52)</f>
        <v>0.014312</v>
      </c>
      <c r="F48" s="40" t="n">
        <f aca="false">AVERAGE(F44:F45,F50:F52)</f>
        <v>0.017794</v>
      </c>
      <c r="G48" s="40" t="n">
        <f aca="false">AVERAGE(G44:G45,G50:G52)</f>
        <v>0.02125</v>
      </c>
      <c r="H48" s="40" t="n">
        <f aca="false">AVERAGE(H44:H45,H50:H52)</f>
        <v>0.02468</v>
      </c>
      <c r="I48" s="40" t="n">
        <f aca="false">AVERAGE(I44:I45,I50:I52)</f>
        <v>0.028086</v>
      </c>
      <c r="J48" s="40" t="n">
        <f aca="false">AVERAGE(J44:J45,J50:J52)</f>
        <v>0.03147</v>
      </c>
      <c r="K48" s="40" t="n">
        <f aca="false">AVERAGE(K44:K45,K50:K52)</f>
        <v>0.03483</v>
      </c>
      <c r="L48" s="40" t="n">
        <f aca="false">AVERAGE(L44:L45,L50:L52)</f>
        <v>0.038164</v>
      </c>
      <c r="M48" s="40" t="n">
        <f aca="false">AVERAGE(M44:M45,M50:M52)</f>
        <v>0.04148</v>
      </c>
      <c r="N48" s="40" t="n">
        <f aca="false">AVERAGE(N44:N45,N50:N52)</f>
        <v>0.042596</v>
      </c>
    </row>
    <row r="49" customFormat="false" ht="12.75" hidden="false" customHeight="false" outlineLevel="0" collapsed="false">
      <c r="A49" s="113" t="n">
        <v>2000</v>
      </c>
    </row>
    <row r="50" customFormat="false" ht="12.75" hidden="false" customHeight="false" outlineLevel="0" collapsed="false">
      <c r="A50" s="20" t="s">
        <v>139</v>
      </c>
      <c r="B50" s="0" t="n">
        <v>0.00391</v>
      </c>
      <c r="C50" s="0" t="n">
        <v>0.00761</v>
      </c>
      <c r="D50" s="0" t="n">
        <v>0.01128</v>
      </c>
      <c r="E50" s="0" t="n">
        <v>0.01493</v>
      </c>
      <c r="F50" s="0" t="n">
        <v>0.01855</v>
      </c>
      <c r="G50" s="0" t="n">
        <v>0.02215</v>
      </c>
      <c r="H50" s="0" t="n">
        <v>0.02572</v>
      </c>
      <c r="I50" s="0" t="n">
        <v>0.02926</v>
      </c>
      <c r="J50" s="0" t="n">
        <v>0.03278</v>
      </c>
      <c r="K50" s="0" t="n">
        <v>0.03627</v>
      </c>
      <c r="L50" s="0" t="n">
        <v>0.03974</v>
      </c>
      <c r="M50" s="0" t="n">
        <v>0.04318</v>
      </c>
      <c r="N50" s="0" t="n">
        <v>0.04356</v>
      </c>
    </row>
    <row r="51" customFormat="false" ht="12.75" hidden="false" customHeight="false" outlineLevel="0" collapsed="false">
      <c r="A51" s="20" t="s">
        <v>140</v>
      </c>
      <c r="B51" s="0" t="n">
        <v>0.00295</v>
      </c>
      <c r="C51" s="0" t="n">
        <v>0.00646</v>
      </c>
      <c r="D51" s="0" t="n">
        <v>0.00995</v>
      </c>
      <c r="E51" s="0" t="n">
        <v>0.01341</v>
      </c>
      <c r="F51" s="0" t="n">
        <v>0.01685</v>
      </c>
      <c r="G51" s="0" t="n">
        <v>0.02027</v>
      </c>
      <c r="H51" s="0" t="n">
        <v>0.02366</v>
      </c>
      <c r="I51" s="0" t="n">
        <v>0.02702</v>
      </c>
      <c r="J51" s="0" t="n">
        <v>0.03037</v>
      </c>
      <c r="K51" s="0" t="n">
        <v>0.03369</v>
      </c>
      <c r="L51" s="0" t="n">
        <v>0.03699</v>
      </c>
      <c r="M51" s="0" t="n">
        <v>0.04027</v>
      </c>
      <c r="N51" s="0" t="n">
        <v>0.04081</v>
      </c>
    </row>
    <row r="52" customFormat="false" ht="12.75" hidden="false" customHeight="false" outlineLevel="0" collapsed="false">
      <c r="A52" s="20" t="s">
        <v>141</v>
      </c>
      <c r="B52" s="0" t="n">
        <v>0.00297</v>
      </c>
      <c r="C52" s="0" t="n">
        <v>0.00602</v>
      </c>
      <c r="D52" s="0" t="n">
        <v>0.00905</v>
      </c>
      <c r="E52" s="0" t="n">
        <v>0.01206</v>
      </c>
      <c r="F52" s="0" t="n">
        <v>0.01506</v>
      </c>
      <c r="G52" s="0" t="n">
        <v>0.01803</v>
      </c>
      <c r="H52" s="0" t="n">
        <v>0.02099</v>
      </c>
      <c r="I52" s="0" t="n">
        <v>0.02394</v>
      </c>
      <c r="J52" s="0" t="n">
        <v>0.02686</v>
      </c>
      <c r="K52" s="0" t="n">
        <v>0.02977</v>
      </c>
      <c r="L52" s="0" t="n">
        <v>0.03265</v>
      </c>
      <c r="M52" s="0" t="n">
        <v>0.03553</v>
      </c>
      <c r="N52" s="0" t="n">
        <v>0.03606</v>
      </c>
    </row>
    <row r="53" customFormat="false" ht="12.75" hidden="false" customHeight="false" outlineLevel="0" collapsed="false">
      <c r="A53" s="20" t="s">
        <v>129</v>
      </c>
      <c r="B53" s="0" t="n">
        <v>0.00298</v>
      </c>
      <c r="C53" s="0" t="n">
        <v>0.00541</v>
      </c>
      <c r="D53" s="0" t="n">
        <v>0.000804</v>
      </c>
      <c r="E53" s="0" t="n">
        <v>0.01065</v>
      </c>
      <c r="F53" s="0" t="n">
        <v>0.01325</v>
      </c>
      <c r="G53" s="0" t="n">
        <v>0.01583</v>
      </c>
      <c r="H53" s="0" t="n">
        <v>0.0184</v>
      </c>
      <c r="I53" s="0" t="n">
        <v>0.02096</v>
      </c>
      <c r="J53" s="0" t="n">
        <v>0.0235</v>
      </c>
      <c r="K53" s="0" t="n">
        <v>0.02603</v>
      </c>
      <c r="L53" s="0" t="n">
        <v>0.02855</v>
      </c>
      <c r="M53" s="0" t="n">
        <v>0.03105</v>
      </c>
      <c r="N53" s="0" t="n">
        <v>0.03354</v>
      </c>
    </row>
    <row r="54" customFormat="false" ht="12.75" hidden="false" customHeight="false" outlineLevel="0" collapsed="false">
      <c r="A54" s="20" t="s">
        <v>130</v>
      </c>
      <c r="B54" s="0" t="n">
        <v>0.00287</v>
      </c>
      <c r="C54" s="0" t="n">
        <v>0.0056</v>
      </c>
      <c r="D54" s="0" t="n">
        <v>0.00831</v>
      </c>
      <c r="E54" s="0" t="n">
        <v>0.01102</v>
      </c>
      <c r="F54" s="0" t="n">
        <v>0.0137</v>
      </c>
      <c r="G54" s="0" t="n">
        <v>0.01638</v>
      </c>
      <c r="H54" s="0" t="n">
        <v>0.01903</v>
      </c>
      <c r="I54" s="0" t="n">
        <v>0.02168</v>
      </c>
      <c r="J54" s="0" t="n">
        <v>0.02431</v>
      </c>
      <c r="K54" s="0" t="n">
        <v>0.02692</v>
      </c>
      <c r="L54" s="0" t="n">
        <v>0.02953</v>
      </c>
      <c r="M54" s="0" t="n">
        <v>0.03211</v>
      </c>
      <c r="N54" s="0" t="n">
        <v>0.03448</v>
      </c>
    </row>
    <row r="55" customFormat="false" ht="12.75" hidden="false" customHeight="false" outlineLevel="0" collapsed="false">
      <c r="A55" s="20" t="s">
        <v>131</v>
      </c>
      <c r="B55" s="114"/>
    </row>
    <row r="56" customFormat="false" ht="12.75" hidden="false" customHeight="false" outlineLevel="0" collapsed="false">
      <c r="A56" s="20" t="s">
        <v>132</v>
      </c>
      <c r="B56" s="114"/>
    </row>
    <row r="57" customFormat="false" ht="12.75" hidden="false" customHeight="false" outlineLevel="0" collapsed="false">
      <c r="A57" s="20" t="s">
        <v>133</v>
      </c>
      <c r="B57" s="114"/>
    </row>
    <row r="58" customFormat="false" ht="12.75" hidden="false" customHeight="false" outlineLevel="0" collapsed="false">
      <c r="A58" s="20" t="s">
        <v>134</v>
      </c>
      <c r="B58" s="114"/>
    </row>
    <row r="59" customFormat="false" ht="12.75" hidden="false" customHeight="false" outlineLevel="0" collapsed="false">
      <c r="A59" s="20" t="s">
        <v>135</v>
      </c>
      <c r="B59" s="114"/>
    </row>
    <row r="60" customFormat="false" ht="12.75" hidden="false" customHeight="false" outlineLevel="0" collapsed="false">
      <c r="A60" s="20" t="s">
        <v>136</v>
      </c>
      <c r="B60" s="114"/>
    </row>
    <row r="61" customFormat="false" ht="12.75" hidden="false" customHeight="false" outlineLevel="0" collapsed="false">
      <c r="A61" s="20" t="s">
        <v>137</v>
      </c>
      <c r="B61" s="114"/>
    </row>
    <row r="62" customFormat="false" ht="12.75" hidden="false" customHeight="false" outlineLevel="0" collapsed="false">
      <c r="A62" s="20"/>
      <c r="B62" s="114"/>
    </row>
    <row r="63" customFormat="false" ht="12.75" hidden="false" customHeight="false" outlineLevel="0" collapsed="false">
      <c r="A63" s="20"/>
      <c r="B63" s="114"/>
    </row>
    <row r="64" customFormat="false" ht="12.75" hidden="false" customHeight="false" outlineLevel="0" collapsed="false">
      <c r="A64" s="20"/>
      <c r="B64" s="114"/>
    </row>
    <row r="65" customFormat="false" ht="12.75" hidden="false" customHeight="false" outlineLevel="0" collapsed="false">
      <c r="A65" s="20"/>
      <c r="B65" s="114"/>
    </row>
    <row r="66" customFormat="false" ht="12.75" hidden="false" customHeight="false" outlineLevel="0" collapsed="false">
      <c r="B66" s="1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1998-03-22T18:34:53Z</dcterms:created>
  <dc:creator>gstorey</dc:creator>
  <dc:description/>
  <dc:language>en-US</dc:language>
  <cp:lastModifiedBy>rzivic</cp:lastModifiedBy>
  <cp:lastPrinted>2000-08-15T12:44:30Z</cp:lastPrinted>
  <cp:revision>0</cp:revision>
  <dc:subject/>
  <dc:title>Great Lakes Gas - Historical Transporter's Use</dc:title>
</cp:coreProperties>
</file>