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DAILY" sheetId="1" state="visible" r:id="rId3"/>
    <sheet name="Sheet5" sheetId="2" state="visible" r:id="rId4"/>
    <sheet name="STRADDLES" sheetId="3" state="visible" r:id="rId5"/>
    <sheet name="digital" sheetId="4" state="visible" r:id="rId6"/>
    <sheet name="index est" sheetId="5" state="visible" r:id="rId7"/>
    <sheet name="opt calc" sheetId="6" state="visible" r:id="rId8"/>
    <sheet name="NEW SKEW TABLE" sheetId="7" state="visible" r:id="rId9"/>
    <sheet name="pipes" sheetId="8" state="visible" r:id="rId10"/>
    <sheet name="curves" sheetId="9" state="visible" r:id="rId11"/>
    <sheet name="expiry" sheetId="10" state="visible" r:id="rId12"/>
  </sheets>
  <externalReferences>
    <externalReference r:id="rId13"/>
    <externalReference r:id="rId14"/>
  </externalReferences>
  <definedNames>
    <definedName function="false" hidden="false" localSheetId="7" name="_xlnm.Print_Area" vbProcedure="false">pipes!$K$4:$L$15</definedName>
    <definedName function="false" hidden="false" localSheetId="2" name="_xlnm.Print_Area" vbProcedure="false">STRADDLES!$A$1:$AO$25</definedName>
    <definedName function="false" hidden="false" name="accuracy" vbProcedure="false">#REF!</definedName>
    <definedName function="false" hidden="false" name="aproct" vbProcedure="false">#REF!</definedName>
    <definedName function="false" hidden="false" name="b" vbProcedure="false">'NEW SKEW TABLE'!$A$1:$U$39</definedName>
    <definedName function="false" hidden="false" name="Basis" vbProcedure="false">#REF!</definedName>
    <definedName function="false" hidden="false" name="basisyn" vbProcedure="false">#REF!</definedName>
    <definedName function="false" hidden="false" name="BeginDate" vbProcedure="false">#REF!</definedName>
    <definedName function="false" hidden="false" name="BLAHBLAH" vbProcedure="false">#REF!</definedName>
    <definedName function="false" hidden="false" name="CAL7VOL" vbProcedure="false">STRADDLES!$B$107</definedName>
    <definedName function="false" hidden="false" name="CAL8VOL" vbProcedure="false">STRADDLES!$B$108</definedName>
    <definedName function="false" hidden="false" name="CAL9VOL" vbProcedure="false">STRADDLES!$B$109</definedName>
    <definedName function="false" hidden="false" name="CalcMode" vbProcedure="false">#REF!</definedName>
    <definedName function="false" hidden="false" name="CALL1" vbProcedure="false">#REF!</definedName>
    <definedName function="false" hidden="false" name="CALL2" vbProcedure="false">#REF!</definedName>
    <definedName function="false" hidden="false" name="CALL3" vbProcedure="false">#REF!</definedName>
    <definedName function="false" hidden="false" name="CALL4" vbProcedure="false">#REF!</definedName>
    <definedName function="false" hidden="false" name="calldelta1" vbProcedure="false">#REF!</definedName>
    <definedName function="false" hidden="false" name="calldelta2" vbProcedure="false">#REF!</definedName>
    <definedName function="false" hidden="false" name="callgamma1" vbProcedure="false">#REF!</definedName>
    <definedName function="false" hidden="false" name="callgamma2" vbProcedure="false">#REF!</definedName>
    <definedName function="false" hidden="false" name="callprem1" vbProcedure="false">#REF!</definedName>
    <definedName function="false" hidden="false" name="callprem2" vbProcedure="false">#REF!</definedName>
    <definedName function="false" hidden="false" name="CallPut" vbProcedure="false">#REF!</definedName>
    <definedName function="false" hidden="false" name="callvega1" vbProcedure="false">#REF!</definedName>
    <definedName function="false" hidden="false" name="callvega2" vbProcedure="false">#REF!</definedName>
    <definedName function="false" hidden="false" name="CORETABLE" vbProcedure="false">#REF!</definedName>
    <definedName function="false" hidden="false" name="CurveDate" vbProcedure="false">#REF!</definedName>
    <definedName function="false" hidden="false" name="CurveRange" vbProcedure="false">#REF!</definedName>
    <definedName function="false" hidden="false" name="CurveRange2" vbProcedure="false">#REF!</definedName>
    <definedName function="false" hidden="false" name="Curves" vbProcedure="false">#REF!</definedName>
    <definedName function="false" hidden="false" name="curvesettle" vbProcedure="false">curves!$C$1:$BX$312</definedName>
    <definedName function="false" hidden="false" name="CurveTable" vbProcedure="false">#REF!</definedName>
    <definedName function="false" hidden="false" name="CUSTOMVOLUME" vbProcedure="false">#REF!</definedName>
    <definedName function="false" hidden="false" name="DATE" vbProcedure="false">#REF!</definedName>
    <definedName function="false" hidden="false" name="datelook" vbProcedure="false">STRADDLES!$A$23:$B$142</definedName>
    <definedName function="false" hidden="false" name="Dates" vbProcedure="false">#REF!</definedName>
    <definedName function="false" hidden="false" name="DBase" vbProcedure="false">#REF!</definedName>
    <definedName function="false" hidden="false" name="EffDt" vbProcedure="false">#REF!</definedName>
    <definedName function="false" hidden="false" name="EndDate" vbProcedure="false">#REF!</definedName>
    <definedName function="false" hidden="false" name="EXMONTH" vbProcedure="false">[1]STRADDLES!$A$5:$B$41</definedName>
    <definedName function="false" hidden="false" name="ExpDates" vbProcedure="false">expiry!$K$7:$M$414</definedName>
    <definedName function="false" hidden="false" name="expiration" vbProcedure="false">expiry!$G$7:$I$414</definedName>
    <definedName function="false" hidden="false" name="exptype" vbProcedure="false">#REF!</definedName>
    <definedName function="false" hidden="false" name="FPToggle" vbProcedure="false">#REF!</definedName>
    <definedName function="false" hidden="false" name="FwdStFlag" vbProcedure="false">#REF!</definedName>
    <definedName function="false" hidden="false" name="GasDaily" vbProcedure="false">#REF!</definedName>
    <definedName function="false" hidden="false" name="GASDVOLCURVE" vbProcedure="false">#REF!</definedName>
    <definedName function="false" hidden="false" name="GASDVOLCURVES" vbProcedure="false">#REF!</definedName>
    <definedName function="false" hidden="false" name="gdvols" vbProcedure="false">[2]Curves!$B$13:$DQ$348</definedName>
    <definedName function="false" hidden="false" name="GDVolSpread" vbProcedure="false">#REF!</definedName>
    <definedName function="false" hidden="false" name="GDVolTable" vbProcedure="false">#REF!</definedName>
    <definedName function="false" hidden="false" name="impldputcall" vbProcedure="false">#REF!</definedName>
    <definedName function="false" hidden="false" name="impldvolstrike" vbProcedure="false">#REF!</definedName>
    <definedName function="false" hidden="false" name="interest_y_n" vbProcedure="false">#REF!</definedName>
    <definedName function="false" hidden="false" name="maxvol" vbProcedure="false">#REF!</definedName>
    <definedName function="false" hidden="false" name="mktprem" vbProcedure="false">#REF!</definedName>
    <definedName function="false" hidden="false" name="monthlook" vbProcedure="false">#REF!</definedName>
    <definedName function="false" hidden="false" name="MONTHS" vbProcedure="false">#REF!</definedName>
    <definedName function="false" hidden="false" name="notionalvolumes" vbProcedure="false">#REF!</definedName>
    <definedName function="false" hidden="false" name="NYMEXPrices" vbProcedure="false">#REF!</definedName>
    <definedName function="false" hidden="false" name="omicron" vbProcedure="false">[2]Curves!$B$10:$DQ$10</definedName>
    <definedName function="false" hidden="false" name="PARAMS" vbProcedure="false">STRADDLES!$B$151:$K$286</definedName>
    <definedName function="false" hidden="false" name="Password" vbProcedure="false">#REF!</definedName>
    <definedName function="false" hidden="false" name="PEAKERDAYS" vbProcedure="false">#REF!</definedName>
    <definedName function="false" hidden="false" name="PEAKERONOFF" vbProcedure="false">#REF!</definedName>
    <definedName function="false" hidden="false" name="Physical" vbProcedure="false">#REF!</definedName>
    <definedName function="false" hidden="false" name="prompt" vbProcedure="false">#REF!</definedName>
    <definedName function="false" hidden="false" name="Put1" vbProcedure="false">#REF!</definedName>
    <definedName function="false" hidden="false" name="Put2" vbProcedure="false">#REF!</definedName>
    <definedName function="false" hidden="false" name="putdelta1" vbProcedure="false">#REF!</definedName>
    <definedName function="false" hidden="false" name="putdelta2" vbProcedure="false">#REF!</definedName>
    <definedName function="false" hidden="false" name="putgamma1" vbProcedure="false">#REF!</definedName>
    <definedName function="false" hidden="false" name="putgamma2" vbProcedure="false">#REF!</definedName>
    <definedName function="false" hidden="false" name="putprem1" vbProcedure="false">#REF!</definedName>
    <definedName function="false" hidden="false" name="putprem2" vbProcedure="false">#REF!</definedName>
    <definedName function="false" hidden="false" name="putvega1" vbProcedure="false">#REF!</definedName>
    <definedName function="false" hidden="false" name="putvega2" vbProcedure="false">#REF!</definedName>
    <definedName function="false" hidden="false" name="pvvolumes" vbProcedure="false">#REF!</definedName>
    <definedName function="false" hidden="false" name="RATES" vbProcedure="false">STRADDLES!$BA$165:$BC$176</definedName>
    <definedName function="false" hidden="false" name="simvol" vbProcedure="false">#REF!</definedName>
    <definedName function="false" hidden="false" name="skewlook" vbProcedure="false">#REF!</definedName>
    <definedName function="false" hidden="false" name="skewmonthlook" vbProcedure="false">#REF!</definedName>
    <definedName function="false" hidden="false" name="skewtable" vbProcedure="false">#REF!</definedName>
    <definedName function="false" hidden="false" name="SKEWYN" vbProcedure="false">#REF!</definedName>
    <definedName function="false" hidden="false" name="StartDate" vbProcedure="false">#REF!</definedName>
    <definedName function="false" hidden="false" name="STRADDLE" vbProcedure="false">STRADDLES!$B$22:$BA$143</definedName>
    <definedName function="false" hidden="false" name="STRADDLEYN" vbProcedure="false">#REF!</definedName>
    <definedName function="false" hidden="false" name="strike" vbProcedure="false">#REF!</definedName>
    <definedName function="false" hidden="false" name="Strike1" vbProcedure="false">#REF!</definedName>
    <definedName function="false" hidden="false" name="summerstrip" vbProcedure="false">#REF!</definedName>
    <definedName function="false" hidden="false" name="SWAPTIONBASIS1" vbProcedure="false">#REF!</definedName>
    <definedName function="false" hidden="false" name="SWAPTIONBASIS2" vbProcedure="false">#REF!</definedName>
    <definedName function="false" hidden="false" name="SWAPTIONBASIS3" vbProcedure="false">#REF!</definedName>
    <definedName function="false" hidden="false" name="SWAPTIONSWAP1" vbProcedure="false">#REF!</definedName>
    <definedName function="false" hidden="false" name="SWAPTIONSWAP2" vbProcedure="false">#REF!</definedName>
    <definedName function="false" hidden="false" name="SWAPTIONSWAP3" vbProcedure="false">#REF!</definedName>
    <definedName function="false" hidden="false" name="SWAPTIONVOL1" vbProcedure="false">#REF!</definedName>
    <definedName function="false" hidden="false" name="SWAPTIONVOL2" vbProcedure="false">#REF!</definedName>
    <definedName function="false" hidden="false" name="SWAPTIONVOL3" vbProcedure="false">#REF!</definedName>
    <definedName function="false" hidden="false" name="Today" vbProcedure="false">#REF!</definedName>
    <definedName function="false" hidden="false" name="TOTALVOLUME" vbProcedure="false">#REF!</definedName>
    <definedName function="false" hidden="false" name="TSETTLE" vbProcedure="false">STRADDLES!$C$20</definedName>
    <definedName function="false" hidden="false" name="UpperLeftOfCurveTable" vbProcedure="false">#REF!</definedName>
    <definedName function="false" hidden="false" name="UserName" vbProcedure="false">#REF!</definedName>
    <definedName function="false" hidden="false" name="VolAdder" vbProcedure="false">#REF!</definedName>
    <definedName function="false" hidden="false" name="VOLBA" vbProcedure="false">#REF!</definedName>
    <definedName function="false" hidden="false" name="VOLCURVES" vbProcedure="false">#REF!</definedName>
    <definedName function="false" hidden="false" name="VolLookup" vbProcedure="false">#REF!</definedName>
    <definedName function="false" hidden="false" name="VOLS" vbProcedure="false">[1]STRADDLES!$B$5:$K$50</definedName>
    <definedName function="false" hidden="false" name="voltable" vbProcedure="false">#REF!</definedName>
    <definedName function="false" hidden="false" name="Volume" vbProcedure="false">#REF!</definedName>
    <definedName function="false" hidden="false" name="winterstrip" vbProcedure="false">#REF!</definedName>
    <definedName function="true" hidden="false" name="OSTRIP" vbProcedure="true"/>
    <definedName function="true" hidden="false" name="DIGITAL" vbProcedure="true"/>
    <definedName function="true" hidden="false" name="xCalcSkew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<sst xmlns="http://schemas.openxmlformats.org/spreadsheetml/2006/main" count="725" uniqueCount="293">
  <si>
    <t xml:space="preserve">MONTH</t>
  </si>
  <si>
    <t xml:space="preserve">PREMIUM</t>
  </si>
  <si>
    <t xml:space="preserve">DELTA</t>
  </si>
  <si>
    <t xml:space="preserve">GAMMA</t>
  </si>
  <si>
    <t xml:space="preserve">VEGA</t>
  </si>
  <si>
    <t xml:space="preserve">THETA</t>
  </si>
  <si>
    <t xml:space="preserve">      SWAP PRICE:</t>
  </si>
  <si>
    <t xml:space="preserve">OPT 1</t>
  </si>
  <si>
    <t xml:space="preserve">OPT 2</t>
  </si>
  <si>
    <t xml:space="preserve">STRIKE</t>
  </si>
  <si>
    <t xml:space="preserve">OPT TYPE</t>
  </si>
  <si>
    <t xml:space="preserve">VOL ADJ</t>
  </si>
  <si>
    <t xml:space="preserve">FIRST DAY</t>
  </si>
  <si>
    <t xml:space="preserve">LAST DAY</t>
  </si>
  <si>
    <t xml:space="preserve">PRICING DAY</t>
  </si>
  <si>
    <t xml:space="preserve">value</t>
  </si>
  <si>
    <t xml:space="preserve">SWAP</t>
  </si>
  <si>
    <t xml:space="preserve">STRIKE1</t>
  </si>
  <si>
    <t xml:space="preserve">STRIKE2</t>
  </si>
  <si>
    <t xml:space="preserve">vol1</t>
  </si>
  <si>
    <t xml:space="preserve">vol2</t>
  </si>
  <si>
    <t xml:space="preserve">int rate</t>
  </si>
  <si>
    <t xml:space="preserve">days</t>
  </si>
  <si>
    <t xml:space="preserve">START</t>
  </si>
  <si>
    <t xml:space="preserve">END</t>
  </si>
  <si>
    <t xml:space="preserve">Counterparty</t>
  </si>
  <si>
    <t xml:space="preserve">Internal / External</t>
  </si>
  <si>
    <t xml:space="preserve">Deal Num</t>
  </si>
  <si>
    <t xml:space="preserve">Pub Code</t>
  </si>
  <si>
    <t xml:space="preserve">Phy / Fin</t>
  </si>
  <si>
    <t xml:space="preserve">Call / Put</t>
  </si>
  <si>
    <t xml:space="preserve">Period</t>
  </si>
  <si>
    <t xml:space="preserve">Monthly Option Qty</t>
  </si>
  <si>
    <t xml:space="preserve">Strike Price</t>
  </si>
  <si>
    <t xml:space="preserve">Nymex Price</t>
  </si>
  <si>
    <t xml:space="preserve">Basis Price</t>
  </si>
  <si>
    <t xml:space="preserve">Index Price</t>
  </si>
  <si>
    <t xml:space="preserve">Interest Rate</t>
  </si>
  <si>
    <t xml:space="preserve">Nymex Vol</t>
  </si>
  <si>
    <t xml:space="preserve">Index Vol</t>
  </si>
  <si>
    <t xml:space="preserve">Skew Adj Index Vol</t>
  </si>
  <si>
    <t xml:space="preserve">Correlation</t>
  </si>
  <si>
    <t xml:space="preserve">Expiry</t>
  </si>
  <si>
    <t xml:space="preserve">Unit Premium</t>
  </si>
  <si>
    <t xml:space="preserve">Unit Delta</t>
  </si>
  <si>
    <t xml:space="preserve">Unit Basis Delta Offset</t>
  </si>
  <si>
    <t xml:space="preserve">MTM Value</t>
  </si>
  <si>
    <t xml:space="preserve">Delta</t>
  </si>
  <si>
    <t xml:space="preserve">Nymex Equiv Delta</t>
  </si>
  <si>
    <t xml:space="preserve">re</t>
  </si>
  <si>
    <t xml:space="preserve">Contracts</t>
  </si>
  <si>
    <t xml:space="preserve">Index Vol Skew</t>
  </si>
  <si>
    <t xml:space="preserve">Gamma</t>
  </si>
  <si>
    <t xml:space="preserve">Adj Gamma</t>
  </si>
  <si>
    <t xml:space="preserve">Core Vega</t>
  </si>
  <si>
    <t xml:space="preserve">Theta</t>
  </si>
  <si>
    <t xml:space="preserve">Vol A</t>
  </si>
  <si>
    <t xml:space="preserve">Vol B</t>
  </si>
  <si>
    <t xml:space="preserve">Nymex Gamma</t>
  </si>
  <si>
    <t xml:space="preserve">Prior Day</t>
  </si>
  <si>
    <t xml:space="preserve">Shift/Gamma</t>
  </si>
  <si>
    <t xml:space="preserve">Rho</t>
  </si>
  <si>
    <t xml:space="preserve">Drift</t>
  </si>
  <si>
    <t xml:space="preserve">Vega</t>
  </si>
  <si>
    <t xml:space="preserve">Skew</t>
  </si>
  <si>
    <t xml:space="preserve">Total Change</t>
  </si>
  <si>
    <t xml:space="preserve">Today Curve Row</t>
  </si>
  <si>
    <t xml:space="preserve">Correlation Row</t>
  </si>
  <si>
    <t xml:space="preserve">Previous Nymex</t>
  </si>
  <si>
    <t xml:space="preserve">Previous Index</t>
  </si>
  <si>
    <t xml:space="preserve">Previous IntRate</t>
  </si>
  <si>
    <t xml:space="preserve">Previous NG Vol</t>
  </si>
  <si>
    <t xml:space="preserve">Previous Index Vol</t>
  </si>
  <si>
    <t xml:space="preserve">Previous Correlation</t>
  </si>
  <si>
    <t xml:space="preserve">Previous Skew</t>
  </si>
  <si>
    <t xml:space="preserve">Previous SkewAdj Vol</t>
  </si>
  <si>
    <t xml:space="preserve">Previous Day MTM</t>
  </si>
  <si>
    <t xml:space="preserve">Days to Expiry</t>
  </si>
  <si>
    <t xml:space="preserve">Days to Expiry(Prior)</t>
  </si>
  <si>
    <t xml:space="preserve">Previous Strike</t>
  </si>
  <si>
    <t xml:space="preserve">Today Discount</t>
  </si>
  <si>
    <t xml:space="preserve">Prior Discount</t>
  </si>
  <si>
    <t xml:space="preserve">Index</t>
  </si>
  <si>
    <t xml:space="preserve">Skew Lookup</t>
  </si>
  <si>
    <t xml:space="preserve">DEUTSCHEBANAKT</t>
  </si>
  <si>
    <t xml:space="preserve">E</t>
  </si>
  <si>
    <t xml:space="preserve">YC7510.1</t>
  </si>
  <si>
    <t xml:space="preserve">NGI-SOCAL</t>
  </si>
  <si>
    <t xml:space="preserve">F</t>
  </si>
  <si>
    <t xml:space="preserve">C</t>
  </si>
  <si>
    <t xml:space="preserve">37257NGI-SOCAL</t>
  </si>
  <si>
    <t xml:space="preserve">NGI-SOCAL0102</t>
  </si>
  <si>
    <t xml:space="preserve">37288NGI-SOCAL</t>
  </si>
  <si>
    <t xml:space="preserve">NGI-SOCAL0202</t>
  </si>
  <si>
    <t xml:space="preserve">37316NGI-SOCAL</t>
  </si>
  <si>
    <t xml:space="preserve">NGI-SOCAL0302</t>
  </si>
  <si>
    <t xml:space="preserve">37347NGI-SOCAL</t>
  </si>
  <si>
    <t xml:space="preserve">NGI-SOCAL0402</t>
  </si>
  <si>
    <t xml:space="preserve">37377NGI-SOCAL</t>
  </si>
  <si>
    <t xml:space="preserve">NGI-SOCAL0502</t>
  </si>
  <si>
    <t xml:space="preserve">37408NGI-SOCAL</t>
  </si>
  <si>
    <t xml:space="preserve">NGI-SOCAL0602</t>
  </si>
  <si>
    <t xml:space="preserve">37438NGI-SOCAL</t>
  </si>
  <si>
    <t xml:space="preserve">NGI-SOCAL0702</t>
  </si>
  <si>
    <t xml:space="preserve">37469NGI-SOCAL</t>
  </si>
  <si>
    <t xml:space="preserve">NGI-SOCAL0802</t>
  </si>
  <si>
    <t xml:space="preserve">37500NGI-SOCAL</t>
  </si>
  <si>
    <t xml:space="preserve">NGI-SOCAL0902</t>
  </si>
  <si>
    <t xml:space="preserve">37530NGI-SOCAL</t>
  </si>
  <si>
    <t xml:space="preserve">NGI-SOCAL1002</t>
  </si>
  <si>
    <t xml:space="preserve">37561NGI-SOCAL</t>
  </si>
  <si>
    <t xml:space="preserve">NGI-SOCAL1102</t>
  </si>
  <si>
    <t xml:space="preserve">37591NGI-SOCAL</t>
  </si>
  <si>
    <t xml:space="preserve">NGI-SOCAL1202</t>
  </si>
  <si>
    <t xml:space="preserve">PRICE</t>
  </si>
  <si>
    <t xml:space="preserve">settle, last or eol?</t>
  </si>
  <si>
    <t xml:space="preserve">LAST</t>
  </si>
  <si>
    <t xml:space="preserve">Today</t>
  </si>
  <si>
    <t xml:space="preserve">VOL</t>
  </si>
  <si>
    <t xml:space="preserve">Settle,Straddles,Custom?</t>
  </si>
  <si>
    <t xml:space="preserve">STRADDLES</t>
  </si>
  <si>
    <t xml:space="preserve">PIPE OPT</t>
  </si>
  <si>
    <t xml:space="preserve">MARKET</t>
  </si>
  <si>
    <t xml:space="preserve">SETTLE</t>
  </si>
  <si>
    <t xml:space="preserve">CHANGE</t>
  </si>
  <si>
    <t xml:space="preserve">PIPE</t>
  </si>
  <si>
    <t xml:space="preserve">nymex</t>
  </si>
  <si>
    <t xml:space="preserve">G</t>
  </si>
  <si>
    <t xml:space="preserve">MONTH1</t>
  </si>
  <si>
    <t xml:space="preserve">H</t>
  </si>
  <si>
    <t xml:space="preserve">MONTH2</t>
  </si>
  <si>
    <t xml:space="preserve">J-V</t>
  </si>
  <si>
    <t xml:space="preserve">NUMBER OF DAYS IN STRIP</t>
  </si>
  <si>
    <t xml:space="preserve">NYMEX</t>
  </si>
  <si>
    <t xml:space="preserve">X</t>
  </si>
  <si>
    <t xml:space="preserve">PEAKER DAYS</t>
  </si>
  <si>
    <t xml:space="preserve">FWD ST FLAG</t>
  </si>
  <si>
    <t xml:space="preserve">STRIKE SET</t>
  </si>
  <si>
    <t xml:space="preserve">BASIS</t>
  </si>
  <si>
    <t xml:space="preserve">Z</t>
  </si>
  <si>
    <t xml:space="preserve">PRICE FOR REGULAR</t>
  </si>
  <si>
    <t xml:space="preserve">price adj</t>
  </si>
  <si>
    <t xml:space="preserve">CAL3</t>
  </si>
  <si>
    <t xml:space="preserve">FULL PREMIUM</t>
  </si>
  <si>
    <t xml:space="preserve">CAL4</t>
  </si>
  <si>
    <t xml:space="preserve">PERCENTAGE DAYS</t>
  </si>
  <si>
    <t xml:space="preserve">SKEW</t>
  </si>
  <si>
    <t xml:space="preserve">CAL5</t>
  </si>
  <si>
    <t xml:space="preserve">PERCENTAGE CHARGED</t>
  </si>
  <si>
    <t xml:space="preserve">PEAKER PREMIUM</t>
  </si>
  <si>
    <t xml:space="preserve">1=call, 2=put, 3=straddle</t>
  </si>
  <si>
    <t xml:space="preserve">CURRENT </t>
  </si>
  <si>
    <t xml:space="preserve">STRADDLE</t>
  </si>
  <si>
    <t xml:space="preserve">ADJ. </t>
  </si>
  <si>
    <t xml:space="preserve">PRICES</t>
  </si>
  <si>
    <t xml:space="preserve">VOL CHANGE</t>
  </si>
  <si>
    <t xml:space="preserve">implied by current vol</t>
  </si>
  <si>
    <t xml:space="preserve">EXPIRATION</t>
  </si>
  <si>
    <t xml:space="preserve">RATE</t>
  </si>
  <si>
    <t xml:space="preserve">gas daily premiums</t>
  </si>
  <si>
    <t xml:space="preserve">DELTA IN CONTRACTS</t>
  </si>
  <si>
    <t xml:space="preserve">PAYOFF</t>
  </si>
  <si>
    <t xml:space="preserve">UNDERLYING</t>
  </si>
  <si>
    <t xml:space="preserve">YIELD</t>
  </si>
  <si>
    <t xml:space="preserve">DAYS</t>
  </si>
  <si>
    <t xml:space="preserve">EXP</t>
  </si>
  <si>
    <t xml:space="preserve">CALL/PUT</t>
  </si>
  <si>
    <t xml:space="preserve">est</t>
  </si>
  <si>
    <t xml:space="preserve">current</t>
  </si>
  <si>
    <t xml:space="preserve">prior</t>
  </si>
  <si>
    <t xml:space="preserve">pecent</t>
  </si>
  <si>
    <t xml:space="preserve">fixed/float</t>
  </si>
  <si>
    <t xml:space="preserve">index</t>
  </si>
  <si>
    <t xml:space="preserve">physical</t>
  </si>
  <si>
    <t xml:space="preserve">phy</t>
  </si>
  <si>
    <t xml:space="preserve">set</t>
  </si>
  <si>
    <t xml:space="preserve">nwpl</t>
  </si>
  <si>
    <t xml:space="preserve">sj</t>
  </si>
  <si>
    <t xml:space="preserve">socal</t>
  </si>
  <si>
    <t xml:space="preserve">ep perm</t>
  </si>
  <si>
    <t xml:space="preserve">summer</t>
  </si>
  <si>
    <t xml:space="preserve">DATE</t>
  </si>
  <si>
    <t xml:space="preserve">winter</t>
  </si>
  <si>
    <t xml:space="preserve">IF-HPL/SHPCHAN</t>
  </si>
  <si>
    <t xml:space="preserve">BASIS POINT</t>
  </si>
  <si>
    <t xml:space="preserve">OPT 3</t>
  </si>
  <si>
    <t xml:space="preserve">OPT 4</t>
  </si>
  <si>
    <t xml:space="preserve">FIRST MONTH</t>
  </si>
  <si>
    <t xml:space="preserve">LAST MONTH</t>
  </si>
  <si>
    <t xml:space="preserve">NYMEX SWAP</t>
  </si>
  <si>
    <t xml:space="preserve">IF-CGT/APPALAC</t>
  </si>
  <si>
    <t xml:space="preserve">NYMEX ADJ</t>
  </si>
  <si>
    <t xml:space="preserve">BASIS ADJ</t>
  </si>
  <si>
    <t xml:space="preserve">SKEW ON/OFF</t>
  </si>
  <si>
    <t xml:space="preserve">1=call,2=put,3=straddle</t>
  </si>
  <si>
    <t xml:space="preserve">OPT1</t>
  </si>
  <si>
    <t xml:space="preserve">OPT2</t>
  </si>
  <si>
    <t xml:space="preserve">OPT3</t>
  </si>
  <si>
    <t xml:space="preserve">OPT4</t>
  </si>
  <si>
    <t xml:space="preserve">GREEK</t>
  </si>
  <si>
    <t xml:space="preserve">CUSTOM</t>
  </si>
  <si>
    <t xml:space="preserve">ADJ SWAP</t>
  </si>
  <si>
    <t xml:space="preserve">      ADJ SWAP PRICE:</t>
  </si>
  <si>
    <t xml:space="preserve">IMPVOL</t>
  </si>
  <si>
    <t xml:space="preserve">ADJ VOL1</t>
  </si>
  <si>
    <t xml:space="preserve">SKEW 1</t>
  </si>
  <si>
    <t xml:space="preserve">ADJ VOL2</t>
  </si>
  <si>
    <t xml:space="preserve">SKEW 2</t>
  </si>
  <si>
    <t xml:space="preserve">ADJ VOL3</t>
  </si>
  <si>
    <t xml:space="preserve">SKEW 3</t>
  </si>
  <si>
    <t xml:space="preserve">STRIKE3</t>
  </si>
  <si>
    <t xml:space="preserve">ADJ VOL4</t>
  </si>
  <si>
    <t xml:space="preserve">SKEW 4</t>
  </si>
  <si>
    <t xml:space="preserve">STRIKE4</t>
  </si>
  <si>
    <t xml:space="preserve">PIPE EXP</t>
  </si>
  <si>
    <t xml:space="preserve">OPT EXP</t>
  </si>
  <si>
    <t xml:space="preserve">VOLUME</t>
  </si>
  <si>
    <t xml:space="preserve">\</t>
  </si>
  <si>
    <t xml:space="preserve">+</t>
  </si>
  <si>
    <t xml:space="preserve">-</t>
  </si>
  <si>
    <t xml:space="preserve">DJ/BASIN/CIG</t>
  </si>
  <si>
    <t xml:space="preserve">IF-HEHUB</t>
  </si>
  <si>
    <t xml:space="preserve">IF-ANR/LA</t>
  </si>
  <si>
    <t xml:space="preserve">IF-ANR/OK</t>
  </si>
  <si>
    <t xml:space="preserve">IF-PAN/TX/OK</t>
  </si>
  <si>
    <t xml:space="preserve">IF-CIG/RKYMTN</t>
  </si>
  <si>
    <t xml:space="preserve">IF-SONAT/LA</t>
  </si>
  <si>
    <t xml:space="preserve">IF-NWPL_ROCKY_M</t>
  </si>
  <si>
    <t xml:space="preserve">IF-CNG/APPALACH</t>
  </si>
  <si>
    <t xml:space="preserve">IF-TETCO/ELA</t>
  </si>
  <si>
    <t xml:space="preserve">IF-ELPO/PERMIAN</t>
  </si>
  <si>
    <t xml:space="preserve">IF-COLGULF/LA</t>
  </si>
  <si>
    <t xml:space="preserve">IF-TRUNKL/LA</t>
  </si>
  <si>
    <t xml:space="preserve">IF-ELPO/SJ</t>
  </si>
  <si>
    <t xml:space="preserve">IF-TRANSCO/Z6</t>
  </si>
  <si>
    <t xml:space="preserve">NGI/CHI. GATE</t>
  </si>
  <si>
    <t xml:space="preserve">IF-FGT/Z1</t>
  </si>
  <si>
    <t xml:space="preserve">NGI-PGE/CG</t>
  </si>
  <si>
    <t xml:space="preserve">IF-FGT/Z2</t>
  </si>
  <si>
    <t xml:space="preserve">IF-FGT/Z3</t>
  </si>
  <si>
    <t xml:space="preserve">NGI-MALIN</t>
  </si>
  <si>
    <t xml:space="preserve">IF-KATY</t>
  </si>
  <si>
    <t xml:space="preserve">IF-NGPL/LA</t>
  </si>
  <si>
    <t xml:space="preserve">IF-TGT/Z1</t>
  </si>
  <si>
    <t xml:space="preserve">IF-NGPL/MIDCON</t>
  </si>
  <si>
    <t xml:space="preserve">IF-NORAM/EAST</t>
  </si>
  <si>
    <t xml:space="preserve">IF-NGPLTXOK</t>
  </si>
  <si>
    <t xml:space="preserve">IF-TENN/LA</t>
  </si>
  <si>
    <t xml:space="preserve">IF-NNG/DEMARCAT</t>
  </si>
  <si>
    <t xml:space="preserve">IF-NNG/TOK</t>
  </si>
  <si>
    <t xml:space="preserve">IF-NNG/VENT</t>
  </si>
  <si>
    <t xml:space="preserve">IF-NTHWST/CANBR</t>
  </si>
  <si>
    <t xml:space="preserve">IF-ONG/OKLAHOMA</t>
  </si>
  <si>
    <t xml:space="preserve">IF-QUESTAR</t>
  </si>
  <si>
    <t xml:space="preserve">IF-TENN/LA_OFF</t>
  </si>
  <si>
    <t xml:space="preserve">IF-TENN/TX</t>
  </si>
  <si>
    <t xml:space="preserve">MICH_CG-GD</t>
  </si>
  <si>
    <t xml:space="preserve">IF-TETCO/STX</t>
  </si>
  <si>
    <t xml:space="preserve">IF-TETCO/WLA</t>
  </si>
  <si>
    <t xml:space="preserve">IF-TGT/ZSL</t>
  </si>
  <si>
    <t xml:space="preserve">IF-TRANSCO/Z1</t>
  </si>
  <si>
    <t xml:space="preserve">IF-TRANSCO/Z2</t>
  </si>
  <si>
    <t xml:space="preserve">IF-TRANSCO/Z3</t>
  </si>
  <si>
    <t xml:space="preserve">IF-TRUNKL/FLDZN</t>
  </si>
  <si>
    <t xml:space="preserve">IF-TRUNKL/TX</t>
  </si>
  <si>
    <t xml:space="preserve">IF-VALERO/TX</t>
  </si>
  <si>
    <t xml:space="preserve">IF-WAHA-TX</t>
  </si>
  <si>
    <t xml:space="preserve">IF-WNG/TOK</t>
  </si>
  <si>
    <t xml:space="preserve">ML7/CG</t>
  </si>
  <si>
    <t xml:space="preserve">IF-TETCO/M3</t>
  </si>
  <si>
    <t xml:space="preserve">Curve Code</t>
  </si>
  <si>
    <t xml:space="preserve">NG</t>
  </si>
  <si>
    <t xml:space="preserve">INTNS</t>
  </si>
  <si>
    <t xml:space="preserve">GDM-DAWN</t>
  </si>
  <si>
    <t xml:space="preserve">ANR/ML7-GDM</t>
  </si>
  <si>
    <t xml:space="preserve">MICH/CONS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</si>
  <si>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</si>
  <si>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</si>
  <si>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</si>
  <si>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</si>
  <si>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</si>
  <si>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</si>
  <si>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</si>
  <si>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D</t>
  </si>
  <si>
    <t xml:space="preserve">I</t>
  </si>
  <si>
    <t xml:space="preserve">Expiration Dates</t>
  </si>
  <si>
    <t xml:space="preserve">Updated on 6/26/97</t>
  </si>
  <si>
    <t xml:space="preserve">NG Futures</t>
  </si>
  <si>
    <t xml:space="preserve">NG Option</t>
  </si>
  <si>
    <t xml:space="preserve">Delivery</t>
  </si>
  <si>
    <t xml:space="preserve">Expiration</t>
  </si>
  <si>
    <t xml:space="preserve">Month</t>
  </si>
  <si>
    <t xml:space="preserve">Date</t>
  </si>
</sst>
</file>

<file path=xl/styles.xml><?xml version="1.0" encoding="utf-8"?>
<styleSheet xmlns="http://schemas.openxmlformats.org/spreadsheetml/2006/main">
  <numFmts count="37">
    <numFmt numFmtId="164" formatCode="General"/>
    <numFmt numFmtId="165" formatCode="0"/>
    <numFmt numFmtId="166" formatCode="0.00%"/>
    <numFmt numFmtId="167" formatCode="[$-409]mmm\-yy"/>
    <numFmt numFmtId="168" formatCode="[$-409]m/d/yyyy"/>
    <numFmt numFmtId="169" formatCode="0.0000"/>
    <numFmt numFmtId="170" formatCode="0.00"/>
    <numFmt numFmtId="171" formatCode="0.000"/>
    <numFmt numFmtId="172" formatCode="\$#,##0"/>
    <numFmt numFmtId="173" formatCode="#,##0"/>
    <numFmt numFmtId="174" formatCode="[$-409]d\-mmm\-yy"/>
    <numFmt numFmtId="175" formatCode="0.00000"/>
    <numFmt numFmtId="176" formatCode="#,##0_ ;[RED]\-#,##0\ "/>
    <numFmt numFmtId="177" formatCode="\$#,##0.0000;[RED]&quot;-$&quot;#,##0.0000"/>
    <numFmt numFmtId="178" formatCode="0.0000%"/>
    <numFmt numFmtId="179" formatCode="#,##0.0000_ ;[RED]\-#,##0.0000\ "/>
    <numFmt numFmtId="180" formatCode="\$#,##0;[RED]&quot;-$&quot;#,##0"/>
    <numFmt numFmtId="181" formatCode="\$#,##0.0000"/>
    <numFmt numFmtId="182" formatCode="0_);[RED]\(0\)"/>
    <numFmt numFmtId="183" formatCode="0.0000_);[RED]\(0.0000\)"/>
    <numFmt numFmtId="184" formatCode="0.000_);[RED]\(0.000\)"/>
    <numFmt numFmtId="185" formatCode="#,##0.00"/>
    <numFmt numFmtId="186" formatCode="0%"/>
    <numFmt numFmtId="187" formatCode="0.00_);[RED]\(0.00\)"/>
    <numFmt numFmtId="188" formatCode="#,##0.0000"/>
    <numFmt numFmtId="189" formatCode="\$#,##0.000"/>
    <numFmt numFmtId="190" formatCode="\$#,##0.000_);[RED]&quot;($&quot;#,##0.000\)"/>
    <numFmt numFmtId="191" formatCode="[$-409]#,##0.00_);[RED]\(#,##0.00\)"/>
    <numFmt numFmtId="192" formatCode="\$#,##0_);[RED]&quot;($&quot;#,##0\)"/>
    <numFmt numFmtId="193" formatCode="\$#,##0.00_);[RED]&quot;($&quot;#,##0.00\)"/>
    <numFmt numFmtId="194" formatCode="#,##0.000_);[RED]\(#,##0.000\)"/>
    <numFmt numFmtId="195" formatCode="0.000%"/>
    <numFmt numFmtId="196" formatCode="0.0"/>
    <numFmt numFmtId="197" formatCode="mmm\-yyyy"/>
    <numFmt numFmtId="198" formatCode="0.00E+00"/>
    <numFmt numFmtId="199" formatCode="[$-409]#,##0_);\(#,##0\)"/>
    <numFmt numFmtId="200" formatCode="dd\-mmm\-yy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6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6"/>
      <name val="MS Sans Serif"/>
      <family val="0"/>
    </font>
    <font>
      <b val="true"/>
      <sz val="8"/>
      <name val="MS Sans Serif"/>
      <family val="0"/>
    </font>
    <font>
      <b val="true"/>
      <sz val="8"/>
      <color rgb="FF000000"/>
      <name val="Arial"/>
      <family val="0"/>
    </font>
    <font>
      <b val="true"/>
      <sz val="8"/>
      <color rgb="FFFF0000"/>
      <name val="MS Sans Serif"/>
      <family val="2"/>
    </font>
    <font>
      <b val="true"/>
      <sz val="6"/>
      <color rgb="FF000000"/>
      <name val="Arial"/>
      <family val="0"/>
    </font>
    <font>
      <b val="true"/>
      <sz val="8"/>
      <color rgb="FFFF0000"/>
      <name val="Arial"/>
      <family val="0"/>
    </font>
    <font>
      <b val="true"/>
      <sz val="10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b val="true"/>
      <sz val="16"/>
      <color rgb="FFFF0000"/>
      <name val="Arial"/>
      <family val="2"/>
    </font>
    <font>
      <b val="true"/>
      <i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i val="true"/>
      <sz val="14"/>
      <color rgb="FF000080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000080"/>
      <name val="MS Sans Serif"/>
      <family val="0"/>
    </font>
    <font>
      <b val="true"/>
      <sz val="10"/>
      <color rgb="FF000080"/>
      <name val="Arial"/>
      <family val="2"/>
    </font>
    <font>
      <b val="true"/>
      <sz val="10"/>
      <color rgb="FF000080"/>
      <name val="MS Sans Serif"/>
      <family val="2"/>
    </font>
    <font>
      <b val="true"/>
      <sz val="8"/>
      <name val="Arial"/>
      <family val="2"/>
    </font>
    <font>
      <b val="true"/>
      <sz val="6"/>
      <color rgb="FFFF0000"/>
      <name val="Arial"/>
      <family val="0"/>
    </font>
    <font>
      <b val="true"/>
      <sz val="8"/>
      <color rgb="FFFF0000"/>
      <name val="MS Sans Serif"/>
      <family val="0"/>
    </font>
    <font>
      <b val="true"/>
      <sz val="6"/>
      <color rgb="FFFF0000"/>
      <name val="Arial"/>
      <family val="2"/>
    </font>
    <font>
      <b val="true"/>
      <sz val="8"/>
      <name val="MS Sans Serif"/>
      <family val="2"/>
    </font>
    <font>
      <b val="true"/>
      <sz val="6"/>
      <color rgb="FF00008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MS Sans Serif"/>
      <family val="0"/>
    </font>
    <font>
      <b val="true"/>
      <sz val="10"/>
      <color rgb="FF000080"/>
      <name val="Arial"/>
      <family val="0"/>
    </font>
    <font>
      <b val="true"/>
      <sz val="6"/>
      <color rgb="FFFF0000"/>
      <name val="MS Sans Serif"/>
      <family val="0"/>
    </font>
    <font>
      <sz val="10"/>
      <name val="MS Sans Serif"/>
      <family val="2"/>
    </font>
    <font>
      <b val="true"/>
      <sz val="10"/>
      <name val="MS Sans Serif"/>
      <family val="2"/>
    </font>
    <font>
      <b val="true"/>
      <sz val="12"/>
      <name val="Arial"/>
      <family val="2"/>
    </font>
    <font>
      <b val="true"/>
      <sz val="6"/>
      <name val="MS Sans Serif"/>
      <family val="2"/>
    </font>
    <font>
      <b val="true"/>
      <sz val="6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Times New Roman"/>
      <family val="1"/>
    </font>
    <font>
      <b val="true"/>
      <sz val="8"/>
      <color rgb="FF800000"/>
      <name val="Times New Roman"/>
      <family val="1"/>
    </font>
    <font>
      <sz val="8"/>
      <color rgb="FF000080"/>
      <name val="Times New Roman"/>
      <family val="1"/>
    </font>
    <font>
      <b val="true"/>
      <sz val="8"/>
      <name val="Times New Roman"/>
      <family val="1"/>
    </font>
    <font>
      <sz val="8"/>
      <name val="Courier New"/>
      <family val="0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A6CAF0"/>
        <bgColor rgb="FFC0C0C0"/>
      </patternFill>
    </fill>
    <fill>
      <patternFill patternType="solid">
        <fgColor rgb="FFE3E3E3"/>
        <bgColor rgb="FFCCFFCC"/>
      </patternFill>
    </fill>
    <fill>
      <patternFill patternType="solid">
        <fgColor rgb="FF00CCFF"/>
        <bgColor rgb="FF33CCCC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4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8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5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14" fillId="6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9" fontId="14" fillId="6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80" fontId="14" fillId="3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7" borderId="1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9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0" fontId="14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81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8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5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6" fontId="1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6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8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6" fillId="8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6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6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6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6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8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6" fontId="38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8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4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8" fillId="8" borderId="4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4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4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8" fillId="8" borderId="4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8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2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8" fillId="8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9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3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8" fillId="8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38" fillId="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8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5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8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9" fillId="5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38" fillId="5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42" fillId="0" borderId="4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4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2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7" fillId="0" borderId="3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7" fillId="0" borderId="49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5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5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1" fillId="0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5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4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2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3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5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1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urves" xfId="20"/>
    <cellStyle name="Normal_June Options 97" xfId="21"/>
    <cellStyle name="Normal_modelmark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OPTIONMO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enehou/houston/Global_Trading/Gasdaily/GD%20Vol%20Curves/New%20Vol%20Load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READ OPTION"/>
      <sheetName val="PIPE OPTION"/>
      <sheetName val="SPREAD STRIPS"/>
      <sheetName val="BS STRIPS"/>
      <sheetName val="STRADD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OLS"/>
      <sheetName val="Curves"/>
      <sheetName val="Curve Load"/>
      <sheetName val="Prior VOLS"/>
      <sheetName val="Difference"/>
      <sheetName val="CHANGE"/>
      <sheetName val="Data"/>
      <sheetName val="Copy Pipe Vo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7"/>
    <col collapsed="false" customWidth="true" hidden="false" outlineLevel="0" max="4" min="2" style="1" width="9.14"/>
    <col collapsed="false" customWidth="true" hidden="false" outlineLevel="0" max="5" min="5" style="1" width="10.13"/>
    <col collapsed="false" customWidth="true" hidden="false" outlineLevel="0" max="13" min="6" style="1" width="9.14"/>
    <col collapsed="false" customWidth="true" hidden="false" outlineLevel="0" max="14" min="14" style="1" width="10.13"/>
    <col collapsed="false" customWidth="true" hidden="false" outlineLevel="0" max="34" min="15" style="1" width="9.14"/>
  </cols>
  <sheetData>
    <row r="1" customFormat="false" ht="12.75" hidden="false" customHeight="false" outlineLevel="0" collapsed="false">
      <c r="A1" s="2"/>
      <c r="B1" s="3"/>
      <c r="C1" s="2"/>
      <c r="D1" s="2" t="s">
        <v>0</v>
      </c>
      <c r="E1" s="2"/>
      <c r="F1" s="2"/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AQ1" s="1"/>
      <c r="AR1" s="1"/>
      <c r="AS1" s="1"/>
      <c r="AT1" s="1"/>
      <c r="AU1" s="1"/>
      <c r="AV1" s="1"/>
      <c r="AW1" s="1"/>
      <c r="AX1" s="1"/>
    </row>
    <row r="2" customFormat="false" ht="12.75" hidden="false" customHeight="false" outlineLevel="0" collapsed="false">
      <c r="A2" s="5"/>
      <c r="B2" s="3"/>
      <c r="C2" s="6"/>
      <c r="D2" s="7" t="n">
        <v>36892</v>
      </c>
      <c r="E2" s="2"/>
      <c r="F2" s="2"/>
      <c r="H2" s="8" t="e">
        <f aca="false">AE20</f>
        <v>#VALUE!</v>
      </c>
      <c r="I2" s="8" t="e">
        <f aca="false">AF20</f>
        <v>#VALUE!</v>
      </c>
      <c r="J2" s="8" t="e">
        <f aca="false">AG20</f>
        <v>#VALUE!</v>
      </c>
      <c r="K2" s="8" t="e">
        <f aca="false">AH20</f>
        <v>#VALUE!</v>
      </c>
      <c r="L2" s="8" t="e">
        <f aca="false">AI20</f>
        <v>#VALUE!</v>
      </c>
      <c r="O2" s="9"/>
      <c r="P2" s="4"/>
      <c r="Q2" s="10"/>
      <c r="R2" s="1" t="e">
        <f aca="false">IF(#REF!=3,IF(B7=1,"CALL","PUT"),"STRADDLE")</f>
        <v>#REF!</v>
      </c>
      <c r="S2" s="10"/>
      <c r="T2" s="10"/>
      <c r="U2" s="10"/>
      <c r="V2" s="10"/>
      <c r="W2" s="10"/>
      <c r="X2" s="10"/>
      <c r="Y2" s="11"/>
      <c r="Z2" s="10"/>
      <c r="AA2" s="11"/>
      <c r="AB2" s="10"/>
      <c r="AQ2" s="1"/>
      <c r="AR2" s="1"/>
      <c r="AS2" s="1"/>
      <c r="AT2" s="1"/>
      <c r="AU2" s="1"/>
      <c r="AV2" s="1"/>
      <c r="AW2" s="1"/>
      <c r="AX2" s="1"/>
    </row>
    <row r="3" customFormat="false" ht="12.75" hidden="false" customHeight="false" outlineLevel="0" collapsed="false">
      <c r="A3" s="12" t="s">
        <v>6</v>
      </c>
      <c r="B3" s="13" t="n">
        <v>4.46</v>
      </c>
      <c r="D3" s="2"/>
      <c r="E3" s="2"/>
      <c r="F3" s="2"/>
      <c r="H3" s="14"/>
      <c r="I3" s="15"/>
      <c r="J3" s="15"/>
      <c r="K3" s="14"/>
      <c r="L3" s="14"/>
      <c r="O3" s="9"/>
      <c r="P3" s="4"/>
      <c r="Q3" s="10"/>
      <c r="R3" s="1" t="e">
        <f aca="false">IF(#REF!=3,IF(C7=1,"CALL","PUT"),"STRADDLE")</f>
        <v>#REF!</v>
      </c>
      <c r="S3" s="10"/>
      <c r="T3" s="10"/>
      <c r="U3" s="10"/>
      <c r="V3" s="10"/>
      <c r="W3" s="10"/>
      <c r="X3" s="10"/>
      <c r="Y3" s="11"/>
      <c r="Z3" s="10"/>
      <c r="AA3" s="11"/>
      <c r="AB3" s="10"/>
      <c r="AQ3" s="1"/>
      <c r="AR3" s="1"/>
      <c r="AS3" s="1"/>
      <c r="AT3" s="1"/>
      <c r="AU3" s="1"/>
      <c r="AV3" s="1"/>
      <c r="AW3" s="1"/>
      <c r="AX3" s="1"/>
    </row>
    <row r="4" customFormat="false" ht="12.75" hidden="false" customHeight="false" outlineLevel="0" collapsed="false">
      <c r="A4" s="6"/>
      <c r="B4" s="16"/>
      <c r="C4" s="2"/>
      <c r="D4" s="2"/>
      <c r="E4" s="2"/>
      <c r="F4" s="2"/>
      <c r="H4" s="14"/>
      <c r="I4" s="14"/>
      <c r="J4" s="14"/>
      <c r="K4" s="14"/>
      <c r="L4" s="14"/>
      <c r="O4" s="9"/>
      <c r="P4" s="4"/>
      <c r="Q4" s="10"/>
      <c r="R4" s="10"/>
      <c r="S4" s="10"/>
      <c r="T4" s="10"/>
      <c r="U4" s="10"/>
      <c r="V4" s="10"/>
      <c r="W4" s="10"/>
      <c r="X4" s="10"/>
      <c r="Y4" s="11"/>
      <c r="Z4" s="10"/>
      <c r="AA4" s="11"/>
      <c r="AB4" s="10"/>
      <c r="AQ4" s="1"/>
      <c r="AR4" s="1"/>
      <c r="AS4" s="1"/>
      <c r="AT4" s="1"/>
      <c r="AU4" s="1"/>
      <c r="AV4" s="1"/>
      <c r="AW4" s="1"/>
      <c r="AX4" s="1"/>
    </row>
    <row r="5" customFormat="false" ht="12.75" hidden="false" customHeight="false" outlineLevel="0" collapsed="false">
      <c r="A5" s="2"/>
      <c r="B5" s="2" t="s">
        <v>7</v>
      </c>
      <c r="C5" s="2" t="s">
        <v>8</v>
      </c>
      <c r="D5" s="2"/>
      <c r="E5" s="2"/>
      <c r="F5" s="2"/>
      <c r="H5" s="4" t="s">
        <v>1</v>
      </c>
      <c r="I5" s="4" t="s">
        <v>2</v>
      </c>
      <c r="J5" s="4" t="s">
        <v>3</v>
      </c>
      <c r="K5" s="4" t="s">
        <v>4</v>
      </c>
      <c r="L5" s="4" t="s">
        <v>5</v>
      </c>
      <c r="O5" s="9"/>
      <c r="P5" s="4"/>
      <c r="Q5" s="10"/>
      <c r="R5" s="10"/>
      <c r="S5" s="10"/>
      <c r="T5" s="10"/>
      <c r="U5" s="10"/>
      <c r="V5" s="10"/>
      <c r="W5" s="10"/>
      <c r="X5" s="10"/>
      <c r="Y5" s="11"/>
      <c r="Z5" s="10"/>
      <c r="AA5" s="11"/>
      <c r="AB5" s="10"/>
      <c r="AQ5" s="1"/>
      <c r="AR5" s="1"/>
      <c r="AS5" s="1"/>
      <c r="AT5" s="1"/>
      <c r="AU5" s="1"/>
      <c r="AV5" s="1"/>
      <c r="AW5" s="1"/>
      <c r="AX5" s="1"/>
    </row>
    <row r="6" customFormat="false" ht="12.75" hidden="false" customHeight="false" outlineLevel="0" collapsed="false">
      <c r="A6" s="2" t="s">
        <v>9</v>
      </c>
      <c r="B6" s="13" t="n">
        <v>4.37</v>
      </c>
      <c r="C6" s="13" t="n">
        <v>4.39</v>
      </c>
      <c r="D6" s="2"/>
      <c r="E6" s="2"/>
      <c r="F6" s="2"/>
      <c r="H6" s="8" t="e">
        <f aca="false">AL20</f>
        <v>#VALUE!</v>
      </c>
      <c r="I6" s="8" t="e">
        <f aca="false">AM20</f>
        <v>#VALUE!</v>
      </c>
      <c r="J6" s="8" t="e">
        <f aca="false">AN20</f>
        <v>#VALUE!</v>
      </c>
      <c r="K6" s="8" t="e">
        <f aca="false">AO20</f>
        <v>#VALUE!</v>
      </c>
      <c r="L6" s="8" t="e">
        <f aca="false">AP20</f>
        <v>#VALUE!</v>
      </c>
      <c r="O6" s="9"/>
      <c r="P6" s="4"/>
      <c r="Q6" s="10"/>
      <c r="R6" s="10"/>
      <c r="S6" s="10"/>
      <c r="T6" s="10"/>
      <c r="U6" s="10"/>
      <c r="V6" s="10"/>
      <c r="W6" s="10"/>
      <c r="X6" s="10"/>
      <c r="Y6" s="11"/>
      <c r="Z6" s="10"/>
      <c r="AA6" s="11"/>
      <c r="AB6" s="10"/>
      <c r="AQ6" s="1"/>
      <c r="AR6" s="1"/>
      <c r="AS6" s="1"/>
      <c r="AT6" s="1"/>
      <c r="AU6" s="1"/>
      <c r="AV6" s="1"/>
      <c r="AW6" s="1"/>
      <c r="AX6" s="1"/>
    </row>
    <row r="7" customFormat="false" ht="12.75" hidden="false" customHeight="false" outlineLevel="0" collapsed="false">
      <c r="A7" s="2" t="s">
        <v>10</v>
      </c>
      <c r="B7" s="17" t="n">
        <v>3</v>
      </c>
      <c r="C7" s="17" t="n">
        <v>2</v>
      </c>
      <c r="D7" s="2"/>
      <c r="E7" s="2"/>
      <c r="F7" s="2"/>
      <c r="H7" s="14"/>
      <c r="I7" s="15"/>
      <c r="J7" s="15"/>
      <c r="K7" s="14"/>
      <c r="L7" s="14"/>
      <c r="O7" s="9"/>
      <c r="P7" s="4"/>
      <c r="Q7" s="10"/>
      <c r="R7" s="10"/>
      <c r="S7" s="10"/>
      <c r="T7" s="10"/>
      <c r="U7" s="10"/>
      <c r="W7" s="10"/>
      <c r="X7" s="10"/>
      <c r="Y7" s="11"/>
      <c r="Z7" s="10"/>
      <c r="AA7" s="11"/>
      <c r="AB7" s="10"/>
      <c r="AQ7" s="18"/>
      <c r="AR7" s="18"/>
      <c r="AS7" s="1"/>
      <c r="AT7" s="1"/>
      <c r="AU7" s="1"/>
      <c r="AV7" s="1"/>
      <c r="AW7" s="1"/>
      <c r="AX7" s="1"/>
    </row>
    <row r="8" customFormat="false" ht="12.75" hidden="false" customHeight="false" outlineLevel="0" collapsed="false">
      <c r="A8" s="2" t="s">
        <v>11</v>
      </c>
      <c r="B8" s="19" t="n">
        <v>0.51</v>
      </c>
      <c r="C8" s="19" t="n">
        <v>0.48</v>
      </c>
      <c r="D8" s="2"/>
      <c r="E8" s="2"/>
      <c r="F8" s="2"/>
      <c r="G8" s="2"/>
      <c r="O8" s="9"/>
      <c r="P8" s="4"/>
      <c r="Q8" s="10"/>
      <c r="R8" s="10"/>
      <c r="S8" s="10"/>
      <c r="T8" s="10"/>
      <c r="U8" s="10"/>
      <c r="W8" s="10"/>
      <c r="X8" s="10"/>
      <c r="Y8" s="11"/>
      <c r="Z8" s="10"/>
      <c r="AA8" s="11"/>
      <c r="AB8" s="10"/>
      <c r="AQ8" s="18"/>
      <c r="AR8" s="18"/>
      <c r="AS8" s="1"/>
      <c r="AT8" s="1"/>
      <c r="AU8" s="1"/>
      <c r="AV8" s="1"/>
      <c r="AW8" s="1"/>
      <c r="AX8" s="1"/>
    </row>
    <row r="9" customFormat="false" ht="12.75" hidden="false" customHeight="false" outlineLevel="0" collapsed="false">
      <c r="A9" s="2"/>
      <c r="B9" s="20"/>
      <c r="C9" s="20"/>
      <c r="D9" s="2"/>
      <c r="E9" s="2"/>
      <c r="F9" s="2"/>
      <c r="G9" s="2"/>
      <c r="O9" s="9"/>
      <c r="P9" s="4"/>
      <c r="Q9" s="10"/>
      <c r="R9" s="10"/>
      <c r="S9" s="10"/>
      <c r="T9" s="10"/>
      <c r="U9" s="10"/>
      <c r="W9" s="10"/>
      <c r="X9" s="10"/>
      <c r="Y9" s="11"/>
      <c r="Z9" s="10"/>
      <c r="AA9" s="11"/>
      <c r="AB9" s="10"/>
      <c r="AQ9" s="18"/>
      <c r="AR9" s="18"/>
      <c r="AS9" s="1"/>
      <c r="AT9" s="1"/>
      <c r="AU9" s="1"/>
      <c r="AV9" s="1"/>
      <c r="AW9" s="1"/>
      <c r="AX9" s="1"/>
    </row>
    <row r="10" customFormat="false" ht="12.75" hidden="false" customHeight="false" outlineLevel="0" collapsed="false">
      <c r="A10" s="1" t="s">
        <v>12</v>
      </c>
      <c r="B10" s="21" t="n">
        <v>36678</v>
      </c>
      <c r="C10" s="22"/>
      <c r="D10" s="2"/>
      <c r="E10" s="2"/>
      <c r="F10" s="2"/>
      <c r="G10" s="2"/>
      <c r="I10" s="1" t="e">
        <f aca="false">3*L22*I2</f>
        <v>#VALUE!</v>
      </c>
      <c r="O10" s="9"/>
      <c r="P10" s="4"/>
      <c r="Q10" s="10"/>
      <c r="R10" s="10"/>
      <c r="S10" s="10"/>
      <c r="T10" s="10"/>
      <c r="U10" s="10"/>
      <c r="W10" s="10"/>
      <c r="X10" s="10"/>
      <c r="Y10" s="11"/>
      <c r="Z10" s="10"/>
      <c r="AA10" s="11"/>
      <c r="AB10" s="10"/>
      <c r="AQ10" s="18"/>
      <c r="AR10" s="18"/>
      <c r="AS10" s="1"/>
      <c r="AT10" s="1"/>
      <c r="AU10" s="1"/>
      <c r="AV10" s="1"/>
      <c r="AW10" s="1"/>
      <c r="AX10" s="1"/>
    </row>
    <row r="11" customFormat="false" ht="12.75" hidden="false" customHeight="false" outlineLevel="0" collapsed="false">
      <c r="A11" s="1" t="s">
        <v>13</v>
      </c>
      <c r="B11" s="21" t="n">
        <v>36707</v>
      </c>
      <c r="C11" s="23"/>
      <c r="D11" s="2"/>
      <c r="E11" s="2"/>
      <c r="F11" s="2"/>
      <c r="G11" s="2"/>
      <c r="O11" s="9"/>
      <c r="P11" s="4"/>
      <c r="Q11" s="10"/>
      <c r="R11" s="10"/>
      <c r="S11" s="10"/>
      <c r="T11" s="10"/>
      <c r="U11" s="10"/>
      <c r="W11" s="10"/>
      <c r="X11" s="10"/>
      <c r="Y11" s="11"/>
      <c r="Z11" s="10"/>
      <c r="AA11" s="11"/>
      <c r="AB11" s="10"/>
      <c r="AQ11" s="18"/>
      <c r="AR11" s="18"/>
      <c r="AS11" s="1"/>
      <c r="AT11" s="1"/>
      <c r="AU11" s="1"/>
      <c r="AV11" s="1"/>
      <c r="AW11" s="1"/>
      <c r="AX11" s="1"/>
    </row>
    <row r="12" customFormat="false" ht="12.75" hidden="false" customHeight="false" outlineLevel="0" collapsed="false">
      <c r="A12" s="1" t="s">
        <v>14</v>
      </c>
      <c r="B12" s="21" t="n">
        <v>36698</v>
      </c>
      <c r="C12" s="24"/>
      <c r="D12" s="2"/>
      <c r="E12" s="2"/>
      <c r="F12" s="2"/>
      <c r="G12" s="2"/>
      <c r="O12" s="9"/>
      <c r="P12" s="4"/>
      <c r="Q12" s="10"/>
      <c r="R12" s="10"/>
      <c r="S12" s="10"/>
      <c r="T12" s="10"/>
      <c r="U12" s="10"/>
      <c r="W12" s="10"/>
      <c r="X12" s="10"/>
      <c r="Y12" s="11"/>
      <c r="Z12" s="10"/>
      <c r="AA12" s="11"/>
      <c r="AB12" s="10"/>
      <c r="AQ12" s="18"/>
      <c r="AR12" s="18"/>
      <c r="AS12" s="1"/>
      <c r="AT12" s="1"/>
      <c r="AU12" s="1"/>
      <c r="AV12" s="1"/>
      <c r="AW12" s="1"/>
      <c r="AX12" s="1"/>
    </row>
    <row r="13" customFormat="false" ht="12.75" hidden="false" customHeight="false" outlineLevel="0" collapsed="false">
      <c r="A13" s="25"/>
      <c r="B13" s="26"/>
      <c r="D13" s="2"/>
      <c r="E13" s="2"/>
      <c r="F13" s="2"/>
      <c r="G13" s="2"/>
      <c r="O13" s="9"/>
      <c r="P13" s="4"/>
      <c r="Q13" s="10"/>
      <c r="R13" s="10"/>
      <c r="S13" s="10"/>
      <c r="T13" s="10"/>
      <c r="U13" s="10"/>
      <c r="W13" s="10"/>
      <c r="X13" s="10"/>
      <c r="Y13" s="11"/>
      <c r="Z13" s="10"/>
      <c r="AA13" s="11"/>
      <c r="AB13" s="10"/>
      <c r="AD13" s="1" t="e">
        <f aca="false">AD20/Z22</f>
        <v>#DIV/0!</v>
      </c>
      <c r="AQ13" s="18"/>
      <c r="AR13" s="18"/>
      <c r="AS13" s="1"/>
      <c r="AT13" s="1"/>
      <c r="AU13" s="1"/>
      <c r="AV13" s="1"/>
      <c r="AW13" s="1"/>
      <c r="AX13" s="1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1" t="n">
        <f aca="false">((62.5/25)*24)-(1.5*24)</f>
        <v>24</v>
      </c>
      <c r="K14" s="1" t="e">
        <f aca="false">L22*3*I2</f>
        <v>#VALUE!</v>
      </c>
      <c r="O14" s="27"/>
      <c r="P14" s="28"/>
      <c r="Q14" s="10"/>
      <c r="R14" s="10"/>
      <c r="S14" s="10"/>
      <c r="T14" s="10"/>
      <c r="U14" s="10"/>
      <c r="W14" s="10"/>
      <c r="X14" s="10"/>
      <c r="Y14" s="11"/>
      <c r="Z14" s="10"/>
      <c r="AA14" s="11"/>
      <c r="AB14" s="10"/>
      <c r="AQ14" s="18"/>
      <c r="AR14" s="18"/>
      <c r="AS14" s="1"/>
      <c r="AT14" s="1"/>
      <c r="AU14" s="1"/>
      <c r="AV14" s="1"/>
      <c r="AW14" s="1"/>
      <c r="AX14" s="1"/>
    </row>
    <row r="15" customFormat="false" ht="12.75" hidden="false" customHeight="false" outlineLevel="0" collapsed="false">
      <c r="G15" s="2"/>
      <c r="H15" s="14"/>
      <c r="I15" s="14"/>
      <c r="J15" s="14"/>
      <c r="K15" s="14"/>
      <c r="O15" s="29"/>
      <c r="P15" s="28"/>
      <c r="Q15" s="10"/>
      <c r="R15" s="10"/>
      <c r="S15" s="10"/>
      <c r="T15" s="10"/>
      <c r="U15" s="10"/>
      <c r="W15" s="10"/>
      <c r="X15" s="10"/>
      <c r="Y15" s="11"/>
      <c r="Z15" s="10"/>
      <c r="AA15" s="11"/>
      <c r="AB15" s="10"/>
      <c r="AE15" s="1" t="e">
        <f aca="false">AE20/31</f>
        <v>#VALUE!</v>
      </c>
      <c r="AL15" s="0" t="e">
        <f aca="false">AL20/AE20</f>
        <v>#VALUE!</v>
      </c>
      <c r="AQ15" s="18"/>
      <c r="AR15" s="18"/>
      <c r="AS15" s="1"/>
      <c r="AT15" s="1"/>
      <c r="AU15" s="1"/>
      <c r="AV15" s="1"/>
      <c r="AW15" s="1"/>
      <c r="AX15" s="1"/>
    </row>
    <row r="16" customFormat="false" ht="12.75" hidden="false" customHeight="false" outlineLevel="0" collapsed="false">
      <c r="G16" s="2"/>
      <c r="O16" s="29"/>
      <c r="P16" s="28"/>
      <c r="Q16" s="10"/>
      <c r="R16" s="10"/>
      <c r="S16" s="10"/>
      <c r="T16" s="10"/>
      <c r="U16" s="10"/>
      <c r="W16" s="10"/>
      <c r="X16" s="10"/>
      <c r="Y16" s="11"/>
      <c r="Z16" s="10"/>
      <c r="AA16" s="11"/>
      <c r="AB16" s="10"/>
      <c r="AQ16" s="18"/>
      <c r="AR16" s="18"/>
      <c r="AS16" s="1"/>
      <c r="AT16" s="1"/>
      <c r="AU16" s="1"/>
      <c r="AV16" s="1"/>
      <c r="AW16" s="1"/>
      <c r="AX16" s="1"/>
    </row>
    <row r="17" customFormat="false" ht="12.75" hidden="false" customHeight="false" outlineLevel="0" collapsed="false">
      <c r="G17" s="2"/>
      <c r="L17" s="29"/>
      <c r="M17" s="29"/>
      <c r="N17" s="28"/>
      <c r="O17" s="10"/>
      <c r="P17" s="10"/>
      <c r="Q17" s="10"/>
      <c r="R17" s="10"/>
      <c r="S17" s="10"/>
      <c r="U17" s="10"/>
      <c r="V17" s="10"/>
      <c r="W17" s="11"/>
      <c r="X17" s="10"/>
      <c r="Y17" s="11"/>
      <c r="Z17" s="10"/>
      <c r="AG17" s="0"/>
      <c r="AH17" s="0"/>
      <c r="AO17" s="18"/>
      <c r="AP17" s="18"/>
      <c r="AQ17" s="1"/>
      <c r="AR17" s="1"/>
      <c r="AS17" s="1"/>
      <c r="AT17" s="1"/>
      <c r="AU17" s="1"/>
      <c r="AV17" s="1"/>
    </row>
    <row r="18" customFormat="false" ht="12.75" hidden="false" customHeight="false" outlineLevel="0" collapsed="false">
      <c r="G18" s="2"/>
      <c r="L18" s="29"/>
      <c r="M18" s="29"/>
      <c r="N18" s="28"/>
      <c r="O18" s="10"/>
      <c r="P18" s="10"/>
      <c r="Q18" s="10"/>
      <c r="R18" s="10"/>
      <c r="S18" s="10"/>
      <c r="U18" s="10"/>
      <c r="V18" s="10"/>
      <c r="W18" s="11"/>
      <c r="X18" s="10"/>
      <c r="Y18" s="11"/>
      <c r="Z18" s="10"/>
      <c r="AG18" s="0"/>
      <c r="AH18" s="0"/>
      <c r="AO18" s="18"/>
      <c r="AP18" s="18"/>
      <c r="AQ18" s="1"/>
      <c r="AR18" s="1"/>
      <c r="AS18" s="1"/>
      <c r="AT18" s="1"/>
      <c r="AU18" s="1"/>
      <c r="AV18" s="1"/>
    </row>
    <row r="19" customFormat="false" ht="12.75" hidden="false" customHeight="false" outlineLevel="0" collapsed="false">
      <c r="G19" s="2"/>
      <c r="L19" s="29"/>
      <c r="M19" s="29"/>
      <c r="N19" s="28"/>
      <c r="O19" s="10"/>
      <c r="P19" s="10"/>
      <c r="Q19" s="10"/>
      <c r="R19" s="10"/>
      <c r="S19" s="10"/>
      <c r="U19" s="10"/>
      <c r="V19" s="10"/>
      <c r="W19" s="10"/>
      <c r="X19" s="10"/>
      <c r="Y19" s="11"/>
      <c r="Z19" s="10"/>
      <c r="AG19" s="0"/>
      <c r="AH19" s="0"/>
      <c r="AO19" s="18"/>
      <c r="AP19" s="18"/>
      <c r="AQ19" s="1"/>
      <c r="AR19" s="1"/>
      <c r="AS19" s="1"/>
      <c r="AT19" s="1"/>
      <c r="AU19" s="1"/>
      <c r="AV19" s="1"/>
    </row>
    <row r="20" customFormat="false" ht="12.75" hidden="false" customHeight="false" outlineLevel="0" collapsed="false">
      <c r="H20" s="30"/>
      <c r="I20" s="31"/>
      <c r="J20" s="31"/>
      <c r="K20" s="31"/>
      <c r="L20" s="32"/>
      <c r="M20" s="32"/>
      <c r="N20" s="4" t="s">
        <v>7</v>
      </c>
      <c r="O20" s="10" t="s">
        <v>8</v>
      </c>
      <c r="P20" s="4" t="s">
        <v>7</v>
      </c>
      <c r="Q20" s="10" t="s">
        <v>8</v>
      </c>
      <c r="R20" s="4" t="s">
        <v>7</v>
      </c>
      <c r="S20" s="10" t="s">
        <v>8</v>
      </c>
      <c r="T20" s="4" t="s">
        <v>7</v>
      </c>
      <c r="U20" s="10" t="s">
        <v>8</v>
      </c>
      <c r="V20" s="4" t="s">
        <v>7</v>
      </c>
      <c r="W20" s="10" t="s">
        <v>8</v>
      </c>
      <c r="X20" s="10"/>
      <c r="Y20" s="11"/>
      <c r="Z20" s="10"/>
      <c r="AC20" s="33"/>
      <c r="AD20" s="33"/>
      <c r="AE20" s="33" t="e">
        <f aca="false">SUM(AE25:AE55)/$L22</f>
        <v>#VALUE!</v>
      </c>
      <c r="AF20" s="33" t="e">
        <f aca="false">SUM(AF25:AF55)/$L22</f>
        <v>#VALUE!</v>
      </c>
      <c r="AG20" s="33" t="e">
        <f aca="false">SUM(AG25:AG55)/$L22</f>
        <v>#VALUE!</v>
      </c>
      <c r="AH20" s="33" t="e">
        <f aca="false">SUM(AH25:AH55)/$L22</f>
        <v>#VALUE!</v>
      </c>
      <c r="AI20" s="33" t="e">
        <f aca="false">SUM(AI25:AI55)/$L22</f>
        <v>#VALUE!</v>
      </c>
      <c r="AK20" s="33"/>
      <c r="AL20" s="33" t="e">
        <f aca="false">SUM(AL25:AL55)/$L22</f>
        <v>#VALUE!</v>
      </c>
      <c r="AM20" s="33" t="e">
        <f aca="false">SUM(AM25:AM55)/$L22</f>
        <v>#VALUE!</v>
      </c>
      <c r="AN20" s="33" t="e">
        <f aca="false">SUM(AN25:AN55)/$L22</f>
        <v>#VALUE!</v>
      </c>
      <c r="AO20" s="33" t="e">
        <f aca="false">SUM(AO25:AO55)/$L22</f>
        <v>#VALUE!</v>
      </c>
      <c r="AP20" s="33" t="e">
        <f aca="false">SUM(AP25:AP55)/$L22</f>
        <v>#VALUE!</v>
      </c>
      <c r="AQ20" s="1"/>
      <c r="AR20" s="1"/>
      <c r="AS20" s="1"/>
      <c r="AT20" s="1"/>
      <c r="AU20" s="1"/>
      <c r="AV20" s="1"/>
    </row>
    <row r="21" customFormat="false" ht="12.75" hidden="false" customHeight="false" outlineLevel="0" collapsed="false">
      <c r="G21" s="4"/>
      <c r="N21" s="10" t="s">
        <v>15</v>
      </c>
      <c r="O21" s="10" t="s">
        <v>15</v>
      </c>
      <c r="P21" s="10" t="s">
        <v>2</v>
      </c>
      <c r="Q21" s="10" t="s">
        <v>2</v>
      </c>
      <c r="R21" s="11" t="s">
        <v>3</v>
      </c>
      <c r="S21" s="11" t="s">
        <v>3</v>
      </c>
      <c r="T21" s="10" t="s">
        <v>5</v>
      </c>
      <c r="U21" s="10" t="s">
        <v>5</v>
      </c>
      <c r="V21" s="11" t="s">
        <v>4</v>
      </c>
      <c r="W21" s="11" t="s">
        <v>4</v>
      </c>
      <c r="X21" s="10"/>
      <c r="Y21" s="11"/>
      <c r="Z21" s="10"/>
      <c r="AG21" s="0"/>
      <c r="AH21" s="0"/>
      <c r="AK21" s="1"/>
      <c r="AL21" s="1"/>
      <c r="AM21" s="1"/>
      <c r="AQ21" s="1"/>
      <c r="AR21" s="1"/>
      <c r="AS21" s="1"/>
      <c r="AT21" s="1"/>
      <c r="AU21" s="1"/>
      <c r="AV21" s="1"/>
    </row>
    <row r="22" customFormat="false" ht="12.75" hidden="false" customHeight="false" outlineLevel="0" collapsed="false">
      <c r="D22" s="34"/>
      <c r="E22" s="24"/>
      <c r="F22" s="34"/>
      <c r="G22" s="34"/>
      <c r="L22" s="32" t="n">
        <f aca="false">SUM(L25:L55)</f>
        <v>9</v>
      </c>
      <c r="M22" s="32"/>
      <c r="N22" s="10" t="n">
        <f aca="false">$B7</f>
        <v>3</v>
      </c>
      <c r="O22" s="10" t="n">
        <f aca="false">$C7</f>
        <v>2</v>
      </c>
      <c r="P22" s="10" t="n">
        <f aca="false">$B7</f>
        <v>3</v>
      </c>
      <c r="Q22" s="10" t="n">
        <f aca="false">$C7</f>
        <v>2</v>
      </c>
      <c r="R22" s="10" t="n">
        <f aca="false">$B7</f>
        <v>3</v>
      </c>
      <c r="S22" s="10" t="n">
        <f aca="false">$C7</f>
        <v>2</v>
      </c>
      <c r="T22" s="10" t="n">
        <f aca="false">$B7</f>
        <v>3</v>
      </c>
      <c r="U22" s="10" t="n">
        <f aca="false">$C7</f>
        <v>2</v>
      </c>
      <c r="V22" s="10" t="n">
        <f aca="false">$B7</f>
        <v>3</v>
      </c>
      <c r="W22" s="10" t="n">
        <f aca="false">$C7</f>
        <v>2</v>
      </c>
      <c r="Y22" s="11"/>
      <c r="Z22" s="35"/>
      <c r="AG22" s="0"/>
      <c r="AH22" s="0"/>
      <c r="AK22" s="1"/>
      <c r="AL22" s="1"/>
      <c r="AM22" s="1"/>
      <c r="AQ22" s="4"/>
      <c r="AR22" s="4"/>
      <c r="AS22" s="4"/>
      <c r="AT22" s="4"/>
      <c r="AU22" s="4"/>
      <c r="AV22" s="4"/>
    </row>
    <row r="23" customFormat="false" ht="13.5" hidden="false" customHeight="false" outlineLevel="0" collapsed="false">
      <c r="B23" s="36"/>
      <c r="C23" s="36"/>
      <c r="D23" s="36"/>
      <c r="E23" s="36"/>
      <c r="F23" s="36"/>
      <c r="G23" s="36"/>
      <c r="H23" s="10"/>
      <c r="I23" s="10"/>
      <c r="J23" s="10"/>
      <c r="K23" s="10"/>
      <c r="L23" s="10"/>
      <c r="M23" s="10"/>
      <c r="N23" s="1" t="n">
        <v>1</v>
      </c>
      <c r="O23" s="1" t="n">
        <v>1</v>
      </c>
      <c r="P23" s="1" t="n">
        <v>2</v>
      </c>
      <c r="Q23" s="1" t="n">
        <v>2</v>
      </c>
      <c r="R23" s="1" t="n">
        <v>3</v>
      </c>
      <c r="S23" s="1" t="n">
        <v>3</v>
      </c>
      <c r="T23" s="1" t="n">
        <v>5</v>
      </c>
      <c r="U23" s="1" t="n">
        <v>5</v>
      </c>
      <c r="V23" s="1" t="n">
        <v>4</v>
      </c>
      <c r="W23" s="1" t="n">
        <v>4</v>
      </c>
      <c r="AD23" s="23"/>
      <c r="AE23" s="4" t="s">
        <v>1</v>
      </c>
      <c r="AF23" s="4" t="s">
        <v>2</v>
      </c>
      <c r="AG23" s="4" t="s">
        <v>3</v>
      </c>
      <c r="AH23" s="4" t="s">
        <v>4</v>
      </c>
      <c r="AI23" s="4" t="s">
        <v>5</v>
      </c>
      <c r="AK23" s="23"/>
      <c r="AL23" s="4" t="s">
        <v>1</v>
      </c>
      <c r="AM23" s="4" t="s">
        <v>2</v>
      </c>
      <c r="AN23" s="4" t="s">
        <v>3</v>
      </c>
      <c r="AO23" s="4" t="s">
        <v>4</v>
      </c>
      <c r="AP23" s="4" t="s">
        <v>5</v>
      </c>
      <c r="AQ23" s="10"/>
      <c r="AR23" s="10"/>
      <c r="AS23" s="11"/>
      <c r="AT23" s="1"/>
      <c r="AU23" s="1"/>
      <c r="AV23" s="1"/>
    </row>
    <row r="24" customFormat="false" ht="14.25" hidden="false" customHeight="false" outlineLevel="0" collapsed="false">
      <c r="A24" s="37" t="s">
        <v>0</v>
      </c>
      <c r="B24" s="37" t="s">
        <v>16</v>
      </c>
      <c r="C24" s="37" t="s">
        <v>17</v>
      </c>
      <c r="D24" s="37" t="s">
        <v>18</v>
      </c>
      <c r="E24" s="37" t="s">
        <v>19</v>
      </c>
      <c r="F24" s="37" t="s">
        <v>20</v>
      </c>
      <c r="H24" s="37" t="s">
        <v>21</v>
      </c>
      <c r="I24" s="38"/>
      <c r="J24" s="38"/>
      <c r="K24" s="38"/>
      <c r="L24" s="10"/>
      <c r="M24" s="10" t="s">
        <v>22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D24" s="11"/>
      <c r="AG24" s="0"/>
      <c r="AH24" s="0"/>
      <c r="AK24" s="11"/>
      <c r="AL24" s="1"/>
      <c r="AM24" s="1"/>
      <c r="AQ24" s="10"/>
      <c r="AR24" s="10"/>
      <c r="AS24" s="11"/>
      <c r="AT24" s="10"/>
      <c r="AU24" s="1"/>
      <c r="AV24" s="11"/>
    </row>
    <row r="25" customFormat="false" ht="13.5" hidden="false" customHeight="false" outlineLevel="0" collapsed="false">
      <c r="A25" s="39" t="n">
        <v>1</v>
      </c>
      <c r="B25" s="40" t="n">
        <f aca="false">B3</f>
        <v>4.46</v>
      </c>
      <c r="C25" s="41" t="n">
        <f aca="false">B$6</f>
        <v>4.37</v>
      </c>
      <c r="D25" s="41" t="n">
        <f aca="false">C$6</f>
        <v>4.39</v>
      </c>
      <c r="E25" s="4" t="n">
        <f aca="false">B$8</f>
        <v>0.51</v>
      </c>
      <c r="F25" s="4" t="n">
        <f aca="false">C$8</f>
        <v>0.48</v>
      </c>
      <c r="H25" s="4" t="e">
        <f aca="false">VLOOKUP(D2,STRADDLE,14,FALSE())</f>
        <v>#N/A</v>
      </c>
      <c r="I25" s="42" t="n">
        <f aca="false">B10</f>
        <v>36678</v>
      </c>
      <c r="J25" s="42" t="n">
        <f aca="false">IF(K25=6,I25-1,IF(K25=7,I25-2,I25))</f>
        <v>36678</v>
      </c>
      <c r="K25" s="43" t="n">
        <f aca="false">WEEKDAY(B10,2)</f>
        <v>4</v>
      </c>
      <c r="L25" s="43" t="n">
        <f aca="false">IF(I25&gt;B$11,0,IF(M25&lt;1,0,1))</f>
        <v>0</v>
      </c>
      <c r="M25" s="43" t="n">
        <f aca="false">J25-B$12</f>
        <v>-20</v>
      </c>
      <c r="N25" s="44" t="n">
        <f aca="false">IF($L25=0,0,bsd(N$23,N$22,$B25,$C25,$M25,$E25,$H25,0.1))</f>
        <v>0</v>
      </c>
      <c r="O25" s="44" t="n">
        <f aca="false">IF($L25=0,0,bsd(O$23,O$22,$B25,$D25,$M25,$F25,$H25,0.1))</f>
        <v>0</v>
      </c>
      <c r="P25" s="44" t="n">
        <f aca="false">IF($L25=0,0,bsd(P$23,P$22,$B25,$C25,$M25,$E25,$H25,0.1))</f>
        <v>0</v>
      </c>
      <c r="Q25" s="44" t="n">
        <f aca="false">IF($L25=0,0,bsd(Q$23,Q$22,$B25,$D25,$M25,$F25,$H25,0.1))</f>
        <v>0</v>
      </c>
      <c r="R25" s="44" t="n">
        <f aca="false">IF($L25=0,0,bsd(R$23,R$22,$B25,$C25,$M25,$E25,$H25,0.1))</f>
        <v>0</v>
      </c>
      <c r="S25" s="44" t="n">
        <f aca="false">IF($L25=0,0,bsd(S$23,S$22,$B25,$D25,$M25,$F25,$H25,0.1))</f>
        <v>0</v>
      </c>
      <c r="T25" s="44" t="n">
        <f aca="false">IF($L25=0,0,bsd(T$23,T$22,$B25,$C25,$M25,$E25,$H25,0.1))</f>
        <v>0</v>
      </c>
      <c r="U25" s="44" t="n">
        <f aca="false">IF($L25=0,0,bsd(U$23,U$22,$B25,$D25,$M25,$F25,$H25,0.1))</f>
        <v>0</v>
      </c>
      <c r="V25" s="44" t="n">
        <f aca="false">IF($L25=0,0,bsd(V$23,V$22,$B25,$C25,$M25,$E25,$H25,0.1))</f>
        <v>0</v>
      </c>
      <c r="W25" s="44" t="n">
        <f aca="false">IF($L25=0,0,bsd(W$23,W$22,$B25,$D25,$M25,$F25,$H25,0.1))</f>
        <v>0</v>
      </c>
      <c r="Y25" s="9"/>
      <c r="Z25" s="9"/>
      <c r="AA25" s="39"/>
      <c r="AD25" s="33"/>
      <c r="AE25" s="45" t="n">
        <f aca="false">$L25*N25</f>
        <v>0</v>
      </c>
      <c r="AF25" s="45" t="n">
        <f aca="false">$L25*P25</f>
        <v>0</v>
      </c>
      <c r="AG25" s="45" t="n">
        <f aca="false">$L25*R25</f>
        <v>0</v>
      </c>
      <c r="AH25" s="45" t="n">
        <f aca="false">$L25*T25</f>
        <v>0</v>
      </c>
      <c r="AI25" s="45" t="n">
        <f aca="false">$L25*V25</f>
        <v>0</v>
      </c>
      <c r="AK25" s="33"/>
      <c r="AL25" s="45" t="n">
        <f aca="false">$L25*O25</f>
        <v>0</v>
      </c>
      <c r="AM25" s="45" t="n">
        <f aca="false">$L25*Q25</f>
        <v>0</v>
      </c>
      <c r="AN25" s="45" t="n">
        <f aca="false">$L25*S25</f>
        <v>0</v>
      </c>
      <c r="AO25" s="45" t="n">
        <f aca="false">$L25*U25</f>
        <v>0</v>
      </c>
      <c r="AP25" s="45" t="n">
        <f aca="false">$L25*W25</f>
        <v>0</v>
      </c>
      <c r="AQ25" s="46"/>
      <c r="AR25" s="45"/>
      <c r="AS25" s="46"/>
      <c r="AT25" s="47"/>
      <c r="AU25" s="47"/>
      <c r="AV25" s="47"/>
    </row>
    <row r="26" customFormat="false" ht="12.75" hidden="false" customHeight="false" outlineLevel="0" collapsed="false">
      <c r="A26" s="39" t="n">
        <f aca="false">A25+1</f>
        <v>2</v>
      </c>
      <c r="B26" s="40" t="n">
        <f aca="false">B25</f>
        <v>4.46</v>
      </c>
      <c r="C26" s="41" t="n">
        <f aca="false">B$6</f>
        <v>4.37</v>
      </c>
      <c r="D26" s="41" t="n">
        <f aca="false">C$6</f>
        <v>4.39</v>
      </c>
      <c r="E26" s="4" t="n">
        <f aca="false">B$8</f>
        <v>0.51</v>
      </c>
      <c r="F26" s="4" t="n">
        <f aca="false">C$8</f>
        <v>0.48</v>
      </c>
      <c r="H26" s="4" t="e">
        <f aca="false">H25</f>
        <v>#N/A</v>
      </c>
      <c r="I26" s="42" t="n">
        <f aca="false">I25+1</f>
        <v>36679</v>
      </c>
      <c r="J26" s="42" t="n">
        <f aca="false">IF(K26=6,I26-1,IF(K26=7,I26-2,I26))</f>
        <v>36679</v>
      </c>
      <c r="K26" s="43" t="n">
        <f aca="false">WEEKDAY(I26,2)</f>
        <v>5</v>
      </c>
      <c r="L26" s="43" t="n">
        <f aca="false">IF(I26&gt;B$11,0,IF(M26&lt;1,0,1))</f>
        <v>0</v>
      </c>
      <c r="M26" s="43" t="n">
        <f aca="false">J26-B$12</f>
        <v>-19</v>
      </c>
      <c r="N26" s="44" t="n">
        <f aca="false">IF($L26=0,0,bsd(N$23,N$22,$B26,$C26,$M26,$E26,$H26,0.1))</f>
        <v>0</v>
      </c>
      <c r="O26" s="44" t="n">
        <f aca="false">IF($L26=0,0,bsd(O$23,O$22,$B26,$D26,$M26,$F26,$H26,0.1))</f>
        <v>0</v>
      </c>
      <c r="P26" s="44" t="n">
        <f aca="false">IF($L26=0,0,bsd(P$23,P$22,$B26,$C26,$M26,$E26,$H26,0.1))</f>
        <v>0</v>
      </c>
      <c r="Q26" s="44" t="n">
        <f aca="false">IF($L26=0,0,bsd(Q$23,Q$22,$B26,$D26,$M26,$F26,$H26,0.1))</f>
        <v>0</v>
      </c>
      <c r="R26" s="44" t="n">
        <f aca="false">IF($L26=0,0,bsd(R$23,R$22,$B26,$C26,$M26,$E26,$H26,0.1))</f>
        <v>0</v>
      </c>
      <c r="S26" s="44" t="n">
        <f aca="false">IF($L26=0,0,bsd(S$23,S$22,$B26,$D26,$M26,$F26,$H26,0.1))</f>
        <v>0</v>
      </c>
      <c r="T26" s="44" t="n">
        <f aca="false">IF($L26=0,0,bsd(T$23,T$22,$B26,$C26,$M26,$E26,$H26,0.1))</f>
        <v>0</v>
      </c>
      <c r="U26" s="44" t="n">
        <f aca="false">IF($L26=0,0,bsd(U$23,U$22,$B26,$D26,$M26,$F26,$H26,0.1))</f>
        <v>0</v>
      </c>
      <c r="V26" s="44" t="n">
        <f aca="false">IF($L26=0,0,bsd(V$23,V$22,$B26,$C26,$M26,$E26,$H26,0.1))</f>
        <v>0</v>
      </c>
      <c r="W26" s="44" t="n">
        <f aca="false">IF($L26=0,0,bsd(W$23,W$22,$B26,$D26,$M26,$F26,$H26,0.1))</f>
        <v>0</v>
      </c>
      <c r="Y26" s="9"/>
      <c r="Z26" s="9"/>
      <c r="AA26" s="39"/>
      <c r="AD26" s="33"/>
      <c r="AE26" s="45" t="n">
        <f aca="false">$L26*N26</f>
        <v>0</v>
      </c>
      <c r="AF26" s="45" t="n">
        <f aca="false">$L26*P26</f>
        <v>0</v>
      </c>
      <c r="AG26" s="45" t="n">
        <f aca="false">$L26*R26</f>
        <v>0</v>
      </c>
      <c r="AH26" s="45" t="n">
        <f aca="false">$L26*T26</f>
        <v>0</v>
      </c>
      <c r="AI26" s="45" t="n">
        <f aca="false">$L26*V26</f>
        <v>0</v>
      </c>
      <c r="AK26" s="33"/>
      <c r="AL26" s="45" t="n">
        <f aca="false">$L26*O26</f>
        <v>0</v>
      </c>
      <c r="AM26" s="45" t="n">
        <f aca="false">$L26*Q26</f>
        <v>0</v>
      </c>
      <c r="AN26" s="45" t="n">
        <f aca="false">$L26*S26</f>
        <v>0</v>
      </c>
      <c r="AO26" s="45" t="n">
        <f aca="false">$L26*U26</f>
        <v>0</v>
      </c>
      <c r="AP26" s="45" t="n">
        <f aca="false">$L26*W26</f>
        <v>0</v>
      </c>
      <c r="AQ26" s="46"/>
      <c r="AR26" s="45"/>
      <c r="AS26" s="46"/>
      <c r="AT26" s="47"/>
      <c r="AU26" s="47"/>
      <c r="AV26" s="47"/>
    </row>
    <row r="27" customFormat="false" ht="12.75" hidden="false" customHeight="false" outlineLevel="0" collapsed="false">
      <c r="A27" s="39" t="n">
        <f aca="false">A26+1</f>
        <v>3</v>
      </c>
      <c r="B27" s="40" t="n">
        <f aca="false">B26</f>
        <v>4.46</v>
      </c>
      <c r="C27" s="41" t="n">
        <f aca="false">B$6</f>
        <v>4.37</v>
      </c>
      <c r="D27" s="41" t="n">
        <f aca="false">C$6</f>
        <v>4.39</v>
      </c>
      <c r="E27" s="4" t="n">
        <f aca="false">B$8</f>
        <v>0.51</v>
      </c>
      <c r="F27" s="4" t="n">
        <f aca="false">C$8</f>
        <v>0.48</v>
      </c>
      <c r="H27" s="4" t="e">
        <f aca="false">H26</f>
        <v>#N/A</v>
      </c>
      <c r="I27" s="42" t="n">
        <f aca="false">I26+1</f>
        <v>36680</v>
      </c>
      <c r="J27" s="42" t="n">
        <f aca="false">IF(K27=6,I27-1,IF(K27=7,I27-2,I27))</f>
        <v>36679</v>
      </c>
      <c r="K27" s="43" t="n">
        <f aca="false">WEEKDAY(I27,2)</f>
        <v>6</v>
      </c>
      <c r="L27" s="43" t="n">
        <f aca="false">IF(I27&gt;B$11,0,IF(M27&lt;1,0,1))</f>
        <v>0</v>
      </c>
      <c r="M27" s="43" t="n">
        <f aca="false">J27-B$12</f>
        <v>-19</v>
      </c>
      <c r="N27" s="44" t="n">
        <f aca="false">IF($L27=0,0,bsd(N$23,N$22,$B27,$C27,$M27,$E27,$H27,0.1))</f>
        <v>0</v>
      </c>
      <c r="O27" s="44" t="n">
        <f aca="false">IF($L27=0,0,bsd(O$23,O$22,$B27,$D27,$M27,$F27,$H27,0.1))</f>
        <v>0</v>
      </c>
      <c r="P27" s="44" t="n">
        <f aca="false">IF($L27=0,0,bsd(P$23,P$22,$B27,$C27,$M27,$E27,$H27,0.1))</f>
        <v>0</v>
      </c>
      <c r="Q27" s="44" t="n">
        <f aca="false">IF($L27=0,0,bsd(Q$23,Q$22,$B27,$D27,$M27,$F27,$H27,0.1))</f>
        <v>0</v>
      </c>
      <c r="R27" s="44" t="n">
        <f aca="false">IF($L27=0,0,bsd(R$23,R$22,$B27,$C27,$M27,$E27,$H27,0.1))</f>
        <v>0</v>
      </c>
      <c r="S27" s="44" t="n">
        <f aca="false">IF($L27=0,0,bsd(S$23,S$22,$B27,$D27,$M27,$F27,$H27,0.1))</f>
        <v>0</v>
      </c>
      <c r="T27" s="44" t="n">
        <f aca="false">IF($L27=0,0,bsd(T$23,T$22,$B27,$C27,$M27,$E27,$H27,0.1))</f>
        <v>0</v>
      </c>
      <c r="U27" s="44" t="n">
        <f aca="false">IF($L27=0,0,bsd(U$23,U$22,$B27,$D27,$M27,$F27,$H27,0.1))</f>
        <v>0</v>
      </c>
      <c r="V27" s="44" t="n">
        <f aca="false">IF($L27=0,0,bsd(V$23,V$22,$B27,$C27,$M27,$E27,$H27,0.1))</f>
        <v>0</v>
      </c>
      <c r="W27" s="44" t="n">
        <f aca="false">IF($L27=0,0,bsd(W$23,W$22,$B27,$D27,$M27,$F27,$H27,0.1))</f>
        <v>0</v>
      </c>
      <c r="Y27" s="9"/>
      <c r="Z27" s="9"/>
      <c r="AA27" s="39"/>
      <c r="AD27" s="33"/>
      <c r="AE27" s="45" t="n">
        <f aca="false">$L27*N27</f>
        <v>0</v>
      </c>
      <c r="AF27" s="45" t="n">
        <f aca="false">$L27*P27</f>
        <v>0</v>
      </c>
      <c r="AG27" s="45" t="n">
        <f aca="false">$L27*R27</f>
        <v>0</v>
      </c>
      <c r="AH27" s="45" t="n">
        <f aca="false">$L27*T27</f>
        <v>0</v>
      </c>
      <c r="AI27" s="45" t="n">
        <f aca="false">$L27*V27</f>
        <v>0</v>
      </c>
      <c r="AK27" s="33"/>
      <c r="AL27" s="45" t="n">
        <f aca="false">$L27*O27</f>
        <v>0</v>
      </c>
      <c r="AM27" s="45" t="n">
        <f aca="false">$L27*Q27</f>
        <v>0</v>
      </c>
      <c r="AN27" s="45" t="n">
        <f aca="false">$L27*S27</f>
        <v>0</v>
      </c>
      <c r="AO27" s="45" t="n">
        <f aca="false">$L27*U27</f>
        <v>0</v>
      </c>
      <c r="AP27" s="45" t="n">
        <f aca="false">$L27*W27</f>
        <v>0</v>
      </c>
      <c r="AQ27" s="46"/>
      <c r="AR27" s="45"/>
      <c r="AS27" s="46"/>
      <c r="AT27" s="47"/>
      <c r="AU27" s="47"/>
      <c r="AV27" s="47"/>
    </row>
    <row r="28" customFormat="false" ht="12.75" hidden="false" customHeight="false" outlineLevel="0" collapsed="false">
      <c r="A28" s="39" t="n">
        <f aca="false">A27+1</f>
        <v>4</v>
      </c>
      <c r="B28" s="40" t="n">
        <f aca="false">B27</f>
        <v>4.46</v>
      </c>
      <c r="C28" s="41" t="n">
        <f aca="false">B$6</f>
        <v>4.37</v>
      </c>
      <c r="D28" s="41" t="n">
        <f aca="false">C$6</f>
        <v>4.39</v>
      </c>
      <c r="E28" s="4" t="n">
        <f aca="false">B$8</f>
        <v>0.51</v>
      </c>
      <c r="F28" s="4" t="n">
        <f aca="false">C$8</f>
        <v>0.48</v>
      </c>
      <c r="H28" s="4" t="e">
        <f aca="false">H27</f>
        <v>#N/A</v>
      </c>
      <c r="I28" s="42" t="n">
        <f aca="false">I27+1</f>
        <v>36681</v>
      </c>
      <c r="J28" s="42" t="n">
        <f aca="false">IF(K28=6,I28-1,IF(K28=7,I28-2,I28))</f>
        <v>36679</v>
      </c>
      <c r="K28" s="43" t="n">
        <f aca="false">WEEKDAY(I28,2)</f>
        <v>7</v>
      </c>
      <c r="L28" s="43" t="n">
        <f aca="false">IF(I28&gt;B$11,0,IF(M28&lt;1,0,1))</f>
        <v>0</v>
      </c>
      <c r="M28" s="43" t="n">
        <f aca="false">J28-B$12</f>
        <v>-19</v>
      </c>
      <c r="N28" s="44" t="n">
        <f aca="false">IF($L28=0,0,bsd(N$23,N$22,$B28,$C28,$M28,$E28,$H28,0.1))</f>
        <v>0</v>
      </c>
      <c r="O28" s="44" t="n">
        <f aca="false">IF($L28=0,0,bsd(O$23,O$22,$B28,$D28,$M28,$F28,$H28,0.1))</f>
        <v>0</v>
      </c>
      <c r="P28" s="44" t="n">
        <f aca="false">IF($L28=0,0,bsd(P$23,P$22,$B28,$C28,$M28,$E28,$H28,0.1))</f>
        <v>0</v>
      </c>
      <c r="Q28" s="44" t="n">
        <f aca="false">IF($L28=0,0,bsd(Q$23,Q$22,$B28,$D28,$M28,$F28,$H28,0.1))</f>
        <v>0</v>
      </c>
      <c r="R28" s="44" t="n">
        <f aca="false">IF($L28=0,0,bsd(R$23,R$22,$B28,$C28,$M28,$E28,$H28,0.1))</f>
        <v>0</v>
      </c>
      <c r="S28" s="44" t="n">
        <f aca="false">IF($L28=0,0,bsd(S$23,S$22,$B28,$D28,$M28,$F28,$H28,0.1))</f>
        <v>0</v>
      </c>
      <c r="T28" s="44" t="n">
        <f aca="false">IF($L28=0,0,bsd(T$23,T$22,$B28,$C28,$M28,$E28,$H28,0.1))</f>
        <v>0</v>
      </c>
      <c r="U28" s="44" t="n">
        <f aca="false">IF($L28=0,0,bsd(U$23,U$22,$B28,$D28,$M28,$F28,$H28,0.1))</f>
        <v>0</v>
      </c>
      <c r="V28" s="44" t="n">
        <f aca="false">IF($L28=0,0,bsd(V$23,V$22,$B28,$C28,$M28,$E28,$H28,0.1))</f>
        <v>0</v>
      </c>
      <c r="W28" s="44" t="n">
        <f aca="false">IF($L28=0,0,bsd(W$23,W$22,$B28,$D28,$M28,$F28,$H28,0.1))</f>
        <v>0</v>
      </c>
      <c r="Y28" s="9"/>
      <c r="Z28" s="9"/>
      <c r="AA28" s="39"/>
      <c r="AD28" s="33"/>
      <c r="AE28" s="45" t="n">
        <f aca="false">$L28*N28</f>
        <v>0</v>
      </c>
      <c r="AF28" s="45" t="n">
        <f aca="false">$L28*P28</f>
        <v>0</v>
      </c>
      <c r="AG28" s="45" t="n">
        <f aca="false">$L28*R28</f>
        <v>0</v>
      </c>
      <c r="AH28" s="45" t="n">
        <f aca="false">$L28*T28</f>
        <v>0</v>
      </c>
      <c r="AI28" s="45" t="n">
        <f aca="false">$L28*V28</f>
        <v>0</v>
      </c>
      <c r="AK28" s="33"/>
      <c r="AL28" s="45" t="n">
        <f aca="false">$L28*O28</f>
        <v>0</v>
      </c>
      <c r="AM28" s="45" t="n">
        <f aca="false">$L28*Q28</f>
        <v>0</v>
      </c>
      <c r="AN28" s="45" t="n">
        <f aca="false">$L28*S28</f>
        <v>0</v>
      </c>
      <c r="AO28" s="45" t="n">
        <f aca="false">$L28*U28</f>
        <v>0</v>
      </c>
      <c r="AP28" s="45" t="n">
        <f aca="false">$L28*W28</f>
        <v>0</v>
      </c>
      <c r="AQ28" s="46"/>
      <c r="AR28" s="45"/>
      <c r="AS28" s="46"/>
      <c r="AT28" s="47"/>
      <c r="AU28" s="47"/>
      <c r="AV28" s="47"/>
    </row>
    <row r="29" customFormat="false" ht="12.75" hidden="false" customHeight="false" outlineLevel="0" collapsed="false">
      <c r="A29" s="39" t="n">
        <f aca="false">A28+1</f>
        <v>5</v>
      </c>
      <c r="B29" s="40" t="n">
        <f aca="false">B28</f>
        <v>4.46</v>
      </c>
      <c r="C29" s="41" t="n">
        <f aca="false">B$6</f>
        <v>4.37</v>
      </c>
      <c r="D29" s="41" t="n">
        <f aca="false">C$6</f>
        <v>4.39</v>
      </c>
      <c r="E29" s="4" t="n">
        <f aca="false">B$8</f>
        <v>0.51</v>
      </c>
      <c r="F29" s="4" t="n">
        <f aca="false">C$8</f>
        <v>0.48</v>
      </c>
      <c r="H29" s="4" t="e">
        <f aca="false">H28</f>
        <v>#N/A</v>
      </c>
      <c r="I29" s="42" t="n">
        <f aca="false">I28+1</f>
        <v>36682</v>
      </c>
      <c r="J29" s="42" t="n">
        <f aca="false">IF(K29=6,I29-1,IF(K29=7,I29-2,I29))</f>
        <v>36682</v>
      </c>
      <c r="K29" s="43" t="n">
        <f aca="false">WEEKDAY(I29,2)</f>
        <v>1</v>
      </c>
      <c r="L29" s="43" t="n">
        <f aca="false">IF(I29&gt;B$11,0,IF(M29&lt;1,0,1))</f>
        <v>0</v>
      </c>
      <c r="M29" s="43" t="n">
        <f aca="false">J29-B$12</f>
        <v>-16</v>
      </c>
      <c r="N29" s="44" t="n">
        <f aca="false">IF($L29=0,0,bsd(N$23,N$22,$B29,$C29,$M29,$E29,$H29,0.1))</f>
        <v>0</v>
      </c>
      <c r="O29" s="44" t="n">
        <f aca="false">IF($L29=0,0,bsd(O$23,O$22,$B29,$D29,$M29,$F29,$H29,0.1))</f>
        <v>0</v>
      </c>
      <c r="P29" s="44" t="n">
        <f aca="false">IF($L29=0,0,bsd(P$23,P$22,$B29,$C29,$M29,$E29,$H29,0.1))</f>
        <v>0</v>
      </c>
      <c r="Q29" s="44" t="n">
        <f aca="false">IF($L29=0,0,bsd(Q$23,Q$22,$B29,$D29,$M29,$F29,$H29,0.1))</f>
        <v>0</v>
      </c>
      <c r="R29" s="44" t="n">
        <f aca="false">IF($L29=0,0,bsd(R$23,R$22,$B29,$C29,$M29,$E29,$H29,0.1))</f>
        <v>0</v>
      </c>
      <c r="S29" s="44" t="n">
        <f aca="false">IF($L29=0,0,bsd(S$23,S$22,$B29,$D29,$M29,$F29,$H29,0.1))</f>
        <v>0</v>
      </c>
      <c r="T29" s="44" t="n">
        <f aca="false">IF($L29=0,0,bsd(T$23,T$22,$B29,$C29,$M29,$E29,$H29,0.1))</f>
        <v>0</v>
      </c>
      <c r="U29" s="44" t="n">
        <f aca="false">IF($L29=0,0,bsd(U$23,U$22,$B29,$D29,$M29,$F29,$H29,0.1))</f>
        <v>0</v>
      </c>
      <c r="V29" s="44" t="n">
        <f aca="false">IF($L29=0,0,bsd(V$23,V$22,$B29,$C29,$M29,$E29,$H29,0.1))</f>
        <v>0</v>
      </c>
      <c r="W29" s="44" t="n">
        <f aca="false">IF($L29=0,0,bsd(W$23,W$22,$B29,$D29,$M29,$F29,$H29,0.1))</f>
        <v>0</v>
      </c>
      <c r="Y29" s="9"/>
      <c r="Z29" s="9"/>
      <c r="AA29" s="39"/>
      <c r="AD29" s="33"/>
      <c r="AE29" s="45" t="n">
        <f aca="false">$L29*N29</f>
        <v>0</v>
      </c>
      <c r="AF29" s="45" t="n">
        <f aca="false">$L29*P29</f>
        <v>0</v>
      </c>
      <c r="AG29" s="45" t="n">
        <f aca="false">$L29*R29</f>
        <v>0</v>
      </c>
      <c r="AH29" s="45" t="n">
        <f aca="false">$L29*T29</f>
        <v>0</v>
      </c>
      <c r="AI29" s="45" t="n">
        <f aca="false">$L29*V29</f>
        <v>0</v>
      </c>
      <c r="AK29" s="33"/>
      <c r="AL29" s="45" t="n">
        <f aca="false">$L29*O29</f>
        <v>0</v>
      </c>
      <c r="AM29" s="45" t="n">
        <f aca="false">$L29*Q29</f>
        <v>0</v>
      </c>
      <c r="AN29" s="45" t="n">
        <f aca="false">$L29*S29</f>
        <v>0</v>
      </c>
      <c r="AO29" s="45" t="n">
        <f aca="false">$L29*U29</f>
        <v>0</v>
      </c>
      <c r="AP29" s="45" t="n">
        <f aca="false">$L29*W29</f>
        <v>0</v>
      </c>
      <c r="AQ29" s="46"/>
      <c r="AR29" s="45"/>
      <c r="AS29" s="46"/>
      <c r="AT29" s="47"/>
      <c r="AU29" s="47"/>
      <c r="AV29" s="47"/>
    </row>
    <row r="30" customFormat="false" ht="12.75" hidden="false" customHeight="false" outlineLevel="0" collapsed="false">
      <c r="A30" s="39" t="n">
        <f aca="false">A29+1</f>
        <v>6</v>
      </c>
      <c r="B30" s="40" t="n">
        <f aca="false">B29</f>
        <v>4.46</v>
      </c>
      <c r="C30" s="41" t="n">
        <f aca="false">B$6</f>
        <v>4.37</v>
      </c>
      <c r="D30" s="41" t="n">
        <f aca="false">C$6</f>
        <v>4.39</v>
      </c>
      <c r="E30" s="4" t="n">
        <f aca="false">B$8</f>
        <v>0.51</v>
      </c>
      <c r="F30" s="4" t="n">
        <f aca="false">C$8</f>
        <v>0.48</v>
      </c>
      <c r="H30" s="4" t="e">
        <f aca="false">H29</f>
        <v>#N/A</v>
      </c>
      <c r="I30" s="42" t="n">
        <f aca="false">I29+1</f>
        <v>36683</v>
      </c>
      <c r="J30" s="42" t="n">
        <f aca="false">IF(K30=6,I30-1,IF(K30=7,I30-2,I30))</f>
        <v>36683</v>
      </c>
      <c r="K30" s="43" t="n">
        <f aca="false">WEEKDAY(I30,2)</f>
        <v>2</v>
      </c>
      <c r="L30" s="43" t="n">
        <f aca="false">IF(I30&gt;B$11,0,IF(M30&lt;1,0,1))</f>
        <v>0</v>
      </c>
      <c r="M30" s="43" t="n">
        <f aca="false">J30-B$12</f>
        <v>-15</v>
      </c>
      <c r="N30" s="44" t="n">
        <f aca="false">IF($L30=0,0,bsd(N$23,N$22,$B30,$C30,$M30,$E30,$H30,0.1))</f>
        <v>0</v>
      </c>
      <c r="O30" s="44" t="n">
        <f aca="false">IF($L30=0,0,bsd(O$23,O$22,$B30,$D30,$M30,$F30,$H30,0.1))</f>
        <v>0</v>
      </c>
      <c r="P30" s="44" t="n">
        <f aca="false">IF($L30=0,0,bsd(P$23,P$22,$B30,$C30,$M30,$E30,$H30,0.1))</f>
        <v>0</v>
      </c>
      <c r="Q30" s="44" t="n">
        <f aca="false">IF($L30=0,0,bsd(Q$23,Q$22,$B30,$D30,$M30,$F30,$H30,0.1))</f>
        <v>0</v>
      </c>
      <c r="R30" s="44" t="n">
        <f aca="false">IF($L30=0,0,bsd(R$23,R$22,$B30,$C30,$M30,$E30,$H30,0.1))</f>
        <v>0</v>
      </c>
      <c r="S30" s="44" t="n">
        <f aca="false">IF($L30=0,0,bsd(S$23,S$22,$B30,$D30,$M30,$F30,$H30,0.1))</f>
        <v>0</v>
      </c>
      <c r="T30" s="44" t="n">
        <f aca="false">IF($L30=0,0,bsd(T$23,T$22,$B30,$C30,$M30,$E30,$H30,0.1))</f>
        <v>0</v>
      </c>
      <c r="U30" s="44" t="n">
        <f aca="false">IF($L30=0,0,bsd(U$23,U$22,$B30,$D30,$M30,$F30,$H30,0.1))</f>
        <v>0</v>
      </c>
      <c r="V30" s="44" t="n">
        <f aca="false">IF($L30=0,0,bsd(V$23,V$22,$B30,$C30,$M30,$E30,$H30,0.1))</f>
        <v>0</v>
      </c>
      <c r="W30" s="44" t="n">
        <f aca="false">IF($L30=0,0,bsd(W$23,W$22,$B30,$D30,$M30,$F30,$H30,0.1))</f>
        <v>0</v>
      </c>
      <c r="Y30" s="9"/>
      <c r="Z30" s="9"/>
      <c r="AA30" s="39"/>
      <c r="AD30" s="33"/>
      <c r="AE30" s="45" t="n">
        <f aca="false">$L30*N30</f>
        <v>0</v>
      </c>
      <c r="AF30" s="45" t="n">
        <f aca="false">$L30*P30</f>
        <v>0</v>
      </c>
      <c r="AG30" s="45" t="n">
        <f aca="false">$L30*R30</f>
        <v>0</v>
      </c>
      <c r="AH30" s="45" t="n">
        <f aca="false">$L30*T30</f>
        <v>0</v>
      </c>
      <c r="AI30" s="45" t="n">
        <f aca="false">$L30*V30</f>
        <v>0</v>
      </c>
      <c r="AK30" s="33"/>
      <c r="AL30" s="45" t="n">
        <f aca="false">$L30*O30</f>
        <v>0</v>
      </c>
      <c r="AM30" s="45" t="n">
        <f aca="false">$L30*Q30</f>
        <v>0</v>
      </c>
      <c r="AN30" s="45" t="n">
        <f aca="false">$L30*S30</f>
        <v>0</v>
      </c>
      <c r="AO30" s="45" t="n">
        <f aca="false">$L30*U30</f>
        <v>0</v>
      </c>
      <c r="AP30" s="45" t="n">
        <f aca="false">$L30*W30</f>
        <v>0</v>
      </c>
      <c r="AQ30" s="46"/>
      <c r="AR30" s="45"/>
      <c r="AS30" s="46"/>
      <c r="AT30" s="47"/>
      <c r="AU30" s="47"/>
      <c r="AV30" s="47"/>
    </row>
    <row r="31" customFormat="false" ht="12.75" hidden="false" customHeight="false" outlineLevel="0" collapsed="false">
      <c r="A31" s="39" t="n">
        <f aca="false">A30+1</f>
        <v>7</v>
      </c>
      <c r="B31" s="40" t="n">
        <f aca="false">B30</f>
        <v>4.46</v>
      </c>
      <c r="C31" s="41" t="n">
        <f aca="false">B$6</f>
        <v>4.37</v>
      </c>
      <c r="D31" s="41" t="n">
        <f aca="false">C$6</f>
        <v>4.39</v>
      </c>
      <c r="E31" s="4" t="n">
        <f aca="false">B$8</f>
        <v>0.51</v>
      </c>
      <c r="F31" s="4" t="n">
        <f aca="false">C$8</f>
        <v>0.48</v>
      </c>
      <c r="H31" s="4" t="e">
        <f aca="false">H30</f>
        <v>#N/A</v>
      </c>
      <c r="I31" s="42" t="n">
        <f aca="false">I30+1</f>
        <v>36684</v>
      </c>
      <c r="J31" s="42" t="n">
        <f aca="false">IF(K31=6,I31-1,IF(K31=7,I31-2,I31))</f>
        <v>36684</v>
      </c>
      <c r="K31" s="43" t="n">
        <f aca="false">WEEKDAY(I31,2)</f>
        <v>3</v>
      </c>
      <c r="L31" s="43" t="n">
        <f aca="false">IF(I31&gt;B$11,0,IF(M31&lt;1,0,1))</f>
        <v>0</v>
      </c>
      <c r="M31" s="43" t="n">
        <f aca="false">J31-B$12</f>
        <v>-14</v>
      </c>
      <c r="N31" s="44" t="n">
        <f aca="false">IF($L31=0,0,bsd(N$23,N$22,$B31,$C31,$M31,$E31,$H31,0.1))</f>
        <v>0</v>
      </c>
      <c r="O31" s="44" t="n">
        <f aca="false">IF($L31=0,0,bsd(O$23,O$22,$B31,$D31,$M31,$F31,$H31,0.1))</f>
        <v>0</v>
      </c>
      <c r="P31" s="44" t="n">
        <f aca="false">IF($L31=0,0,bsd(P$23,P$22,$B31,$C31,$M31,$E31,$H31,0.1))</f>
        <v>0</v>
      </c>
      <c r="Q31" s="44" t="n">
        <f aca="false">IF($L31=0,0,bsd(Q$23,Q$22,$B31,$D31,$M31,$F31,$H31,0.1))</f>
        <v>0</v>
      </c>
      <c r="R31" s="44" t="n">
        <f aca="false">IF($L31=0,0,bsd(R$23,R$22,$B31,$C31,$M31,$E31,$H31,0.1))</f>
        <v>0</v>
      </c>
      <c r="S31" s="44" t="n">
        <f aca="false">IF($L31=0,0,bsd(S$23,S$22,$B31,$D31,$M31,$F31,$H31,0.1))</f>
        <v>0</v>
      </c>
      <c r="T31" s="44" t="n">
        <f aca="false">IF($L31=0,0,bsd(T$23,T$22,$B31,$C31,$M31,$E31,$H31,0.1))</f>
        <v>0</v>
      </c>
      <c r="U31" s="44" t="n">
        <f aca="false">IF($L31=0,0,bsd(U$23,U$22,$B31,$D31,$M31,$F31,$H31,0.1))</f>
        <v>0</v>
      </c>
      <c r="V31" s="44" t="n">
        <f aca="false">IF($L31=0,0,bsd(V$23,V$22,$B31,$C31,$M31,$E31,$H31,0.1))</f>
        <v>0</v>
      </c>
      <c r="W31" s="44" t="n">
        <f aca="false">IF($L31=0,0,bsd(W$23,W$22,$B31,$D31,$M31,$F31,$H31,0.1))</f>
        <v>0</v>
      </c>
      <c r="Y31" s="9"/>
      <c r="Z31" s="9"/>
      <c r="AA31" s="39"/>
      <c r="AD31" s="33"/>
      <c r="AE31" s="45" t="n">
        <f aca="false">$L31*N31</f>
        <v>0</v>
      </c>
      <c r="AF31" s="45" t="n">
        <f aca="false">$L31*P31</f>
        <v>0</v>
      </c>
      <c r="AG31" s="45" t="n">
        <f aca="false">$L31*R31</f>
        <v>0</v>
      </c>
      <c r="AH31" s="45" t="n">
        <f aca="false">$L31*T31</f>
        <v>0</v>
      </c>
      <c r="AI31" s="45" t="n">
        <f aca="false">$L31*V31</f>
        <v>0</v>
      </c>
      <c r="AK31" s="33"/>
      <c r="AL31" s="45" t="n">
        <f aca="false">$L31*O31</f>
        <v>0</v>
      </c>
      <c r="AM31" s="45" t="n">
        <f aca="false">$L31*Q31</f>
        <v>0</v>
      </c>
      <c r="AN31" s="45" t="n">
        <f aca="false">$L31*S31</f>
        <v>0</v>
      </c>
      <c r="AO31" s="45" t="n">
        <f aca="false">$L31*U31</f>
        <v>0</v>
      </c>
      <c r="AP31" s="45" t="n">
        <f aca="false">$L31*W31</f>
        <v>0</v>
      </c>
      <c r="AQ31" s="46"/>
      <c r="AR31" s="45"/>
      <c r="AS31" s="46"/>
      <c r="AT31" s="47"/>
      <c r="AU31" s="47"/>
      <c r="AV31" s="47"/>
    </row>
    <row r="32" customFormat="false" ht="12.75" hidden="false" customHeight="false" outlineLevel="0" collapsed="false">
      <c r="A32" s="39" t="n">
        <f aca="false">A31+1</f>
        <v>8</v>
      </c>
      <c r="B32" s="40" t="n">
        <f aca="false">B31</f>
        <v>4.46</v>
      </c>
      <c r="C32" s="41" t="n">
        <f aca="false">B$6</f>
        <v>4.37</v>
      </c>
      <c r="D32" s="41" t="n">
        <f aca="false">C$6</f>
        <v>4.39</v>
      </c>
      <c r="E32" s="4" t="n">
        <f aca="false">B$8</f>
        <v>0.51</v>
      </c>
      <c r="F32" s="4" t="n">
        <f aca="false">C$8</f>
        <v>0.48</v>
      </c>
      <c r="H32" s="4" t="e">
        <f aca="false">H31</f>
        <v>#N/A</v>
      </c>
      <c r="I32" s="42" t="n">
        <f aca="false">I31+1</f>
        <v>36685</v>
      </c>
      <c r="J32" s="42" t="n">
        <f aca="false">IF(K32=6,I32-1,IF(K32=7,I32-2,I32))</f>
        <v>36685</v>
      </c>
      <c r="K32" s="43" t="n">
        <f aca="false">WEEKDAY(I32,2)</f>
        <v>4</v>
      </c>
      <c r="L32" s="43" t="n">
        <f aca="false">IF(I32&gt;B$11,0,IF(M32&lt;1,0,1))</f>
        <v>0</v>
      </c>
      <c r="M32" s="43" t="n">
        <f aca="false">J32-B$12</f>
        <v>-13</v>
      </c>
      <c r="N32" s="44" t="n">
        <f aca="false">IF($L32=0,0,bsd(N$23,N$22,$B32,$C32,$M32,$E32,$H32,0.1))</f>
        <v>0</v>
      </c>
      <c r="O32" s="44" t="n">
        <f aca="false">IF($L32=0,0,bsd(O$23,O$22,$B32,$D32,$M32,$F32,$H32,0.1))</f>
        <v>0</v>
      </c>
      <c r="P32" s="44" t="n">
        <f aca="false">IF($L32=0,0,bsd(P$23,P$22,$B32,$C32,$M32,$E32,$H32,0.1))</f>
        <v>0</v>
      </c>
      <c r="Q32" s="44" t="n">
        <f aca="false">IF($L32=0,0,bsd(Q$23,Q$22,$B32,$D32,$M32,$F32,$H32,0.1))</f>
        <v>0</v>
      </c>
      <c r="R32" s="44" t="n">
        <f aca="false">IF($L32=0,0,bsd(R$23,R$22,$B32,$C32,$M32,$E32,$H32,0.1))</f>
        <v>0</v>
      </c>
      <c r="S32" s="44" t="n">
        <f aca="false">IF($L32=0,0,bsd(S$23,S$22,$B32,$D32,$M32,$F32,$H32,0.1))</f>
        <v>0</v>
      </c>
      <c r="T32" s="44" t="n">
        <f aca="false">IF($L32=0,0,bsd(T$23,T$22,$B32,$C32,$M32,$E32,$H32,0.1))</f>
        <v>0</v>
      </c>
      <c r="U32" s="44" t="n">
        <f aca="false">IF($L32=0,0,bsd(U$23,U$22,$B32,$D32,$M32,$F32,$H32,0.1))</f>
        <v>0</v>
      </c>
      <c r="V32" s="44" t="n">
        <f aca="false">IF($L32=0,0,bsd(V$23,V$22,$B32,$C32,$M32,$E32,$H32,0.1))</f>
        <v>0</v>
      </c>
      <c r="W32" s="44" t="n">
        <f aca="false">IF($L32=0,0,bsd(W$23,W$22,$B32,$D32,$M32,$F32,$H32,0.1))</f>
        <v>0</v>
      </c>
      <c r="Y32" s="9"/>
      <c r="Z32" s="9"/>
      <c r="AA32" s="39"/>
      <c r="AD32" s="33"/>
      <c r="AE32" s="45" t="n">
        <f aca="false">$L32*N32</f>
        <v>0</v>
      </c>
      <c r="AF32" s="45" t="n">
        <f aca="false">$L32*P32</f>
        <v>0</v>
      </c>
      <c r="AG32" s="45" t="n">
        <f aca="false">$L32*R32</f>
        <v>0</v>
      </c>
      <c r="AH32" s="45" t="n">
        <f aca="false">$L32*T32</f>
        <v>0</v>
      </c>
      <c r="AI32" s="45" t="n">
        <f aca="false">$L32*V32</f>
        <v>0</v>
      </c>
      <c r="AK32" s="33"/>
      <c r="AL32" s="45" t="n">
        <f aca="false">$L32*O32</f>
        <v>0</v>
      </c>
      <c r="AM32" s="45" t="n">
        <f aca="false">$L32*Q32</f>
        <v>0</v>
      </c>
      <c r="AN32" s="45" t="n">
        <f aca="false">$L32*S32</f>
        <v>0</v>
      </c>
      <c r="AO32" s="45" t="n">
        <f aca="false">$L32*U32</f>
        <v>0</v>
      </c>
      <c r="AP32" s="45" t="n">
        <f aca="false">$L32*W32</f>
        <v>0</v>
      </c>
      <c r="AQ32" s="46"/>
      <c r="AR32" s="45"/>
      <c r="AS32" s="46"/>
      <c r="AT32" s="47"/>
      <c r="AU32" s="47"/>
      <c r="AV32" s="47"/>
    </row>
    <row r="33" customFormat="false" ht="12.75" hidden="false" customHeight="false" outlineLevel="0" collapsed="false">
      <c r="A33" s="39" t="n">
        <f aca="false">A32+1</f>
        <v>9</v>
      </c>
      <c r="B33" s="40" t="n">
        <f aca="false">B32</f>
        <v>4.46</v>
      </c>
      <c r="C33" s="41" t="n">
        <f aca="false">B$6</f>
        <v>4.37</v>
      </c>
      <c r="D33" s="41" t="n">
        <f aca="false">C$6</f>
        <v>4.39</v>
      </c>
      <c r="E33" s="4" t="n">
        <f aca="false">B$8</f>
        <v>0.51</v>
      </c>
      <c r="F33" s="4" t="n">
        <f aca="false">C$8</f>
        <v>0.48</v>
      </c>
      <c r="H33" s="4" t="e">
        <f aca="false">H32</f>
        <v>#N/A</v>
      </c>
      <c r="I33" s="42" t="n">
        <f aca="false">I32+1</f>
        <v>36686</v>
      </c>
      <c r="J33" s="42" t="n">
        <f aca="false">IF(K33=6,I33-1,IF(K33=7,I33-2,I33))</f>
        <v>36686</v>
      </c>
      <c r="K33" s="43" t="n">
        <f aca="false">WEEKDAY(I33,2)</f>
        <v>5</v>
      </c>
      <c r="L33" s="43" t="n">
        <f aca="false">IF(I33&gt;B$11,0,IF(M33&lt;1,0,1))</f>
        <v>0</v>
      </c>
      <c r="M33" s="43" t="n">
        <f aca="false">J33-B$12</f>
        <v>-12</v>
      </c>
      <c r="N33" s="44" t="n">
        <f aca="false">IF($L33=0,0,bsd(N$23,N$22,$B33,$C33,$M33,$E33,$H33,0.1))</f>
        <v>0</v>
      </c>
      <c r="O33" s="44" t="n">
        <f aca="false">IF($L33=0,0,bsd(O$23,O$22,$B33,$D33,$M33,$F33,$H33,0.1))</f>
        <v>0</v>
      </c>
      <c r="P33" s="44" t="n">
        <f aca="false">IF($L33=0,0,bsd(P$23,P$22,$B33,$C33,$M33,$E33,$H33,0.1))</f>
        <v>0</v>
      </c>
      <c r="Q33" s="44" t="n">
        <f aca="false">IF($L33=0,0,bsd(Q$23,Q$22,$B33,$D33,$M33,$F33,$H33,0.1))</f>
        <v>0</v>
      </c>
      <c r="R33" s="44" t="n">
        <f aca="false">IF($L33=0,0,bsd(R$23,R$22,$B33,$C33,$M33,$E33,$H33,0.1))</f>
        <v>0</v>
      </c>
      <c r="S33" s="44" t="n">
        <f aca="false">IF($L33=0,0,bsd(S$23,S$22,$B33,$D33,$M33,$F33,$H33,0.1))</f>
        <v>0</v>
      </c>
      <c r="T33" s="44" t="n">
        <f aca="false">IF($L33=0,0,bsd(T$23,T$22,$B33,$C33,$M33,$E33,$H33,0.1))</f>
        <v>0</v>
      </c>
      <c r="U33" s="44" t="n">
        <f aca="false">IF($L33=0,0,bsd(U$23,U$22,$B33,$D33,$M33,$F33,$H33,0.1))</f>
        <v>0</v>
      </c>
      <c r="V33" s="44" t="n">
        <f aca="false">IF($L33=0,0,bsd(V$23,V$22,$B33,$C33,$M33,$E33,$H33,0.1))</f>
        <v>0</v>
      </c>
      <c r="W33" s="44" t="n">
        <f aca="false">IF($L33=0,0,bsd(W$23,W$22,$B33,$D33,$M33,$F33,$H33,0.1))</f>
        <v>0</v>
      </c>
      <c r="Y33" s="9"/>
      <c r="Z33" s="9"/>
      <c r="AA33" s="39"/>
      <c r="AD33" s="33"/>
      <c r="AE33" s="45" t="n">
        <f aca="false">$L33*N33</f>
        <v>0</v>
      </c>
      <c r="AF33" s="45" t="n">
        <f aca="false">$L33*P33</f>
        <v>0</v>
      </c>
      <c r="AG33" s="45" t="n">
        <f aca="false">$L33*R33</f>
        <v>0</v>
      </c>
      <c r="AH33" s="45" t="n">
        <f aca="false">$L33*T33</f>
        <v>0</v>
      </c>
      <c r="AI33" s="45" t="n">
        <f aca="false">$L33*V33</f>
        <v>0</v>
      </c>
      <c r="AK33" s="33"/>
      <c r="AL33" s="45" t="n">
        <f aca="false">$L33*O33</f>
        <v>0</v>
      </c>
      <c r="AM33" s="45" t="n">
        <f aca="false">$L33*Q33</f>
        <v>0</v>
      </c>
      <c r="AN33" s="45" t="n">
        <f aca="false">$L33*S33</f>
        <v>0</v>
      </c>
      <c r="AO33" s="45" t="n">
        <f aca="false">$L33*U33</f>
        <v>0</v>
      </c>
      <c r="AP33" s="45" t="n">
        <f aca="false">$L33*W33</f>
        <v>0</v>
      </c>
      <c r="AQ33" s="46"/>
      <c r="AR33" s="45"/>
      <c r="AS33" s="46"/>
      <c r="AT33" s="47"/>
      <c r="AU33" s="47"/>
      <c r="AV33" s="47"/>
    </row>
    <row r="34" customFormat="false" ht="12.75" hidden="false" customHeight="false" outlineLevel="0" collapsed="false">
      <c r="A34" s="39" t="n">
        <f aca="false">A33+1</f>
        <v>10</v>
      </c>
      <c r="B34" s="40" t="n">
        <f aca="false">B33</f>
        <v>4.46</v>
      </c>
      <c r="C34" s="41" t="n">
        <f aca="false">B$6</f>
        <v>4.37</v>
      </c>
      <c r="D34" s="41" t="n">
        <f aca="false">C$6</f>
        <v>4.39</v>
      </c>
      <c r="E34" s="4" t="n">
        <f aca="false">B$8</f>
        <v>0.51</v>
      </c>
      <c r="F34" s="4" t="n">
        <f aca="false">C$8</f>
        <v>0.48</v>
      </c>
      <c r="H34" s="4" t="e">
        <f aca="false">H33</f>
        <v>#N/A</v>
      </c>
      <c r="I34" s="42" t="n">
        <f aca="false">I33+1</f>
        <v>36687</v>
      </c>
      <c r="J34" s="42" t="n">
        <f aca="false">IF(K34=6,I34-1,IF(K34=7,I34-2,I34))</f>
        <v>36686</v>
      </c>
      <c r="K34" s="43" t="n">
        <f aca="false">WEEKDAY(I34,2)</f>
        <v>6</v>
      </c>
      <c r="L34" s="43" t="n">
        <f aca="false">IF(I34&gt;B$11,0,IF(M34&lt;1,0,1))</f>
        <v>0</v>
      </c>
      <c r="M34" s="43" t="n">
        <f aca="false">J34-B$12</f>
        <v>-12</v>
      </c>
      <c r="N34" s="44" t="n">
        <f aca="false">IF($L34=0,0,bsd(N$23,N$22,$B34,$C34,$M34,$E34,$H34,0.1))</f>
        <v>0</v>
      </c>
      <c r="O34" s="44" t="n">
        <f aca="false">IF($L34=0,0,bsd(O$23,O$22,$B34,$D34,$M34,$F34,$H34,0.1))</f>
        <v>0</v>
      </c>
      <c r="P34" s="44" t="n">
        <f aca="false">IF($L34=0,0,bsd(P$23,P$22,$B34,$C34,$M34,$E34,$H34,0.1))</f>
        <v>0</v>
      </c>
      <c r="Q34" s="44" t="n">
        <f aca="false">IF($L34=0,0,bsd(Q$23,Q$22,$B34,$D34,$M34,$F34,$H34,0.1))</f>
        <v>0</v>
      </c>
      <c r="R34" s="44" t="n">
        <f aca="false">IF($L34=0,0,bsd(R$23,R$22,$B34,$C34,$M34,$E34,$H34,0.1))</f>
        <v>0</v>
      </c>
      <c r="S34" s="44" t="n">
        <f aca="false">IF($L34=0,0,bsd(S$23,S$22,$B34,$D34,$M34,$F34,$H34,0.1))</f>
        <v>0</v>
      </c>
      <c r="T34" s="44" t="n">
        <f aca="false">IF($L34=0,0,bsd(T$23,T$22,$B34,$C34,$M34,$E34,$H34,0.1))</f>
        <v>0</v>
      </c>
      <c r="U34" s="44" t="n">
        <f aca="false">IF($L34=0,0,bsd(U$23,U$22,$B34,$D34,$M34,$F34,$H34,0.1))</f>
        <v>0</v>
      </c>
      <c r="V34" s="44" t="n">
        <f aca="false">IF($L34=0,0,bsd(V$23,V$22,$B34,$C34,$M34,$E34,$H34,0.1))</f>
        <v>0</v>
      </c>
      <c r="W34" s="44" t="n">
        <f aca="false">IF($L34=0,0,bsd(W$23,W$22,$B34,$D34,$M34,$F34,$H34,0.1))</f>
        <v>0</v>
      </c>
      <c r="Y34" s="9"/>
      <c r="Z34" s="9"/>
      <c r="AA34" s="39"/>
      <c r="AD34" s="33"/>
      <c r="AE34" s="45" t="n">
        <f aca="false">$L34*N34</f>
        <v>0</v>
      </c>
      <c r="AF34" s="45" t="n">
        <f aca="false">$L34*P34</f>
        <v>0</v>
      </c>
      <c r="AG34" s="45" t="n">
        <f aca="false">$L34*R34</f>
        <v>0</v>
      </c>
      <c r="AH34" s="45" t="n">
        <f aca="false">$L34*T34</f>
        <v>0</v>
      </c>
      <c r="AI34" s="45" t="n">
        <f aca="false">$L34*V34</f>
        <v>0</v>
      </c>
      <c r="AK34" s="33"/>
      <c r="AL34" s="45" t="n">
        <f aca="false">$L34*O34</f>
        <v>0</v>
      </c>
      <c r="AM34" s="45" t="n">
        <f aca="false">$L34*Q34</f>
        <v>0</v>
      </c>
      <c r="AN34" s="45" t="n">
        <f aca="false">$L34*S34</f>
        <v>0</v>
      </c>
      <c r="AO34" s="45" t="n">
        <f aca="false">$L34*U34</f>
        <v>0</v>
      </c>
      <c r="AP34" s="45" t="n">
        <f aca="false">$L34*W34</f>
        <v>0</v>
      </c>
      <c r="AQ34" s="46"/>
      <c r="AR34" s="45"/>
      <c r="AS34" s="46"/>
      <c r="AT34" s="47"/>
      <c r="AU34" s="47"/>
      <c r="AV34" s="47"/>
    </row>
    <row r="35" customFormat="false" ht="12.75" hidden="false" customHeight="false" outlineLevel="0" collapsed="false">
      <c r="A35" s="39" t="n">
        <f aca="false">A34+1</f>
        <v>11</v>
      </c>
      <c r="B35" s="40" t="n">
        <f aca="false">B34</f>
        <v>4.46</v>
      </c>
      <c r="C35" s="41" t="n">
        <f aca="false">B$6</f>
        <v>4.37</v>
      </c>
      <c r="D35" s="41" t="n">
        <f aca="false">C$6</f>
        <v>4.39</v>
      </c>
      <c r="E35" s="4" t="n">
        <f aca="false">B$8</f>
        <v>0.51</v>
      </c>
      <c r="F35" s="4" t="n">
        <f aca="false">C$8</f>
        <v>0.48</v>
      </c>
      <c r="H35" s="4" t="e">
        <f aca="false">H34</f>
        <v>#N/A</v>
      </c>
      <c r="I35" s="42" t="n">
        <f aca="false">I34+1</f>
        <v>36688</v>
      </c>
      <c r="J35" s="42" t="n">
        <f aca="false">IF(K35=6,I35-1,IF(K35=7,I35-2,I35))</f>
        <v>36686</v>
      </c>
      <c r="K35" s="43" t="n">
        <f aca="false">WEEKDAY(I35,2)</f>
        <v>7</v>
      </c>
      <c r="L35" s="43" t="n">
        <f aca="false">IF(I35&gt;B$11,0,IF(M35&lt;1,0,1))</f>
        <v>0</v>
      </c>
      <c r="M35" s="43" t="n">
        <f aca="false">J35-B$12</f>
        <v>-12</v>
      </c>
      <c r="N35" s="44" t="n">
        <f aca="false">IF($L35=0,0,bsd(N$23,N$22,$B35,$C35,$M35,$E35,$H35,0.1))</f>
        <v>0</v>
      </c>
      <c r="O35" s="44" t="n">
        <f aca="false">IF($L35=0,0,bsd(O$23,O$22,$B35,$D35,$M35,$F35,$H35,0.1))</f>
        <v>0</v>
      </c>
      <c r="P35" s="44" t="n">
        <f aca="false">IF($L35=0,0,bsd(P$23,P$22,$B35,$C35,$M35,$E35,$H35,0.1))</f>
        <v>0</v>
      </c>
      <c r="Q35" s="44" t="n">
        <f aca="false">IF($L35=0,0,bsd(Q$23,Q$22,$B35,$D35,$M35,$F35,$H35,0.1))</f>
        <v>0</v>
      </c>
      <c r="R35" s="44" t="n">
        <f aca="false">IF($L35=0,0,bsd(R$23,R$22,$B35,$C35,$M35,$E35,$H35,0.1))</f>
        <v>0</v>
      </c>
      <c r="S35" s="44" t="n">
        <f aca="false">IF($L35=0,0,bsd(S$23,S$22,$B35,$D35,$M35,$F35,$H35,0.1))</f>
        <v>0</v>
      </c>
      <c r="T35" s="44" t="n">
        <f aca="false">IF($L35=0,0,bsd(T$23,T$22,$B35,$C35,$M35,$E35,$H35,0.1))</f>
        <v>0</v>
      </c>
      <c r="U35" s="44" t="n">
        <f aca="false">IF($L35=0,0,bsd(U$23,U$22,$B35,$D35,$M35,$F35,$H35,0.1))</f>
        <v>0</v>
      </c>
      <c r="V35" s="44" t="n">
        <f aca="false">IF($L35=0,0,bsd(V$23,V$22,$B35,$C35,$M35,$E35,$H35,0.1))</f>
        <v>0</v>
      </c>
      <c r="W35" s="44" t="n">
        <f aca="false">IF($L35=0,0,bsd(W$23,W$22,$B35,$D35,$M35,$F35,$H35,0.1))</f>
        <v>0</v>
      </c>
      <c r="Y35" s="9"/>
      <c r="Z35" s="9"/>
      <c r="AA35" s="39"/>
      <c r="AD35" s="33"/>
      <c r="AE35" s="45" t="n">
        <f aca="false">$L35*N35</f>
        <v>0</v>
      </c>
      <c r="AF35" s="45" t="n">
        <f aca="false">$L35*P35</f>
        <v>0</v>
      </c>
      <c r="AG35" s="45" t="n">
        <f aca="false">$L35*R35</f>
        <v>0</v>
      </c>
      <c r="AH35" s="45" t="n">
        <f aca="false">$L35*T35</f>
        <v>0</v>
      </c>
      <c r="AI35" s="45" t="n">
        <f aca="false">$L35*V35</f>
        <v>0</v>
      </c>
      <c r="AK35" s="33"/>
      <c r="AL35" s="45" t="n">
        <f aca="false">$L35*O35</f>
        <v>0</v>
      </c>
      <c r="AM35" s="45" t="n">
        <f aca="false">$L35*Q35</f>
        <v>0</v>
      </c>
      <c r="AN35" s="45" t="n">
        <f aca="false">$L35*S35</f>
        <v>0</v>
      </c>
      <c r="AO35" s="45" t="n">
        <f aca="false">$L35*U35</f>
        <v>0</v>
      </c>
      <c r="AP35" s="45" t="n">
        <f aca="false">$L35*W35</f>
        <v>0</v>
      </c>
      <c r="AQ35" s="46"/>
      <c r="AR35" s="45"/>
      <c r="AS35" s="46"/>
      <c r="AT35" s="47"/>
      <c r="AU35" s="47"/>
      <c r="AV35" s="47"/>
    </row>
    <row r="36" customFormat="false" ht="12.75" hidden="false" customHeight="false" outlineLevel="0" collapsed="false">
      <c r="A36" s="39" t="n">
        <f aca="false">A35+1</f>
        <v>12</v>
      </c>
      <c r="B36" s="40" t="n">
        <f aca="false">B35</f>
        <v>4.46</v>
      </c>
      <c r="C36" s="41" t="n">
        <f aca="false">B$6</f>
        <v>4.37</v>
      </c>
      <c r="D36" s="41" t="n">
        <f aca="false">C$6</f>
        <v>4.39</v>
      </c>
      <c r="E36" s="4" t="n">
        <f aca="false">B$8</f>
        <v>0.51</v>
      </c>
      <c r="F36" s="4" t="n">
        <f aca="false">C$8</f>
        <v>0.48</v>
      </c>
      <c r="H36" s="4" t="e">
        <f aca="false">H35</f>
        <v>#N/A</v>
      </c>
      <c r="I36" s="42" t="n">
        <f aca="false">I35+1</f>
        <v>36689</v>
      </c>
      <c r="J36" s="42" t="n">
        <f aca="false">IF(K36=6,I36-1,IF(K36=7,I36-2,I36))</f>
        <v>36689</v>
      </c>
      <c r="K36" s="43" t="n">
        <f aca="false">WEEKDAY(I36,2)</f>
        <v>1</v>
      </c>
      <c r="L36" s="43" t="n">
        <f aca="false">IF(I36&gt;B$11,0,IF(M36&lt;1,0,1))</f>
        <v>0</v>
      </c>
      <c r="M36" s="43" t="n">
        <f aca="false">J36-B$12</f>
        <v>-9</v>
      </c>
      <c r="N36" s="44" t="n">
        <f aca="false">IF($L36=0,0,bsd(N$23,N$22,$B36,$C36,$M36,$E36,$H36,0.1))</f>
        <v>0</v>
      </c>
      <c r="O36" s="44" t="n">
        <f aca="false">IF($L36=0,0,bsd(O$23,O$22,$B36,$D36,$M36,$F36,$H36,0.1))</f>
        <v>0</v>
      </c>
      <c r="P36" s="44" t="n">
        <f aca="false">IF($L36=0,0,bsd(P$23,P$22,$B36,$C36,$M36,$E36,$H36,0.1))</f>
        <v>0</v>
      </c>
      <c r="Q36" s="44" t="n">
        <f aca="false">IF($L36=0,0,bsd(Q$23,Q$22,$B36,$D36,$M36,$F36,$H36,0.1))</f>
        <v>0</v>
      </c>
      <c r="R36" s="44" t="n">
        <f aca="false">IF($L36=0,0,bsd(R$23,R$22,$B36,$C36,$M36,$E36,$H36,0.1))</f>
        <v>0</v>
      </c>
      <c r="S36" s="44" t="n">
        <f aca="false">IF($L36=0,0,bsd(S$23,S$22,$B36,$D36,$M36,$F36,$H36,0.1))</f>
        <v>0</v>
      </c>
      <c r="T36" s="44" t="n">
        <f aca="false">IF($L36=0,0,bsd(T$23,T$22,$B36,$C36,$M36,$E36,$H36,0.1))</f>
        <v>0</v>
      </c>
      <c r="U36" s="44" t="n">
        <f aca="false">IF($L36=0,0,bsd(U$23,U$22,$B36,$D36,$M36,$F36,$H36,0.1))</f>
        <v>0</v>
      </c>
      <c r="V36" s="44" t="n">
        <f aca="false">IF($L36=0,0,bsd(V$23,V$22,$B36,$C36,$M36,$E36,$H36,0.1))</f>
        <v>0</v>
      </c>
      <c r="W36" s="44" t="n">
        <f aca="false">IF($L36=0,0,bsd(W$23,W$22,$B36,$D36,$M36,$F36,$H36,0.1))</f>
        <v>0</v>
      </c>
      <c r="Y36" s="9"/>
      <c r="Z36" s="9"/>
      <c r="AA36" s="39"/>
      <c r="AD36" s="33"/>
      <c r="AE36" s="45" t="n">
        <f aca="false">$L36*N36</f>
        <v>0</v>
      </c>
      <c r="AF36" s="45" t="n">
        <f aca="false">$L36*P36</f>
        <v>0</v>
      </c>
      <c r="AG36" s="45" t="n">
        <f aca="false">$L36*R36</f>
        <v>0</v>
      </c>
      <c r="AH36" s="45" t="n">
        <f aca="false">$L36*T36</f>
        <v>0</v>
      </c>
      <c r="AI36" s="45" t="n">
        <f aca="false">$L36*V36</f>
        <v>0</v>
      </c>
      <c r="AK36" s="33"/>
      <c r="AL36" s="45" t="n">
        <f aca="false">$L36*O36</f>
        <v>0</v>
      </c>
      <c r="AM36" s="45" t="n">
        <f aca="false">$L36*Q36</f>
        <v>0</v>
      </c>
      <c r="AN36" s="45" t="n">
        <f aca="false">$L36*S36</f>
        <v>0</v>
      </c>
      <c r="AO36" s="45" t="n">
        <f aca="false">$L36*U36</f>
        <v>0</v>
      </c>
      <c r="AP36" s="45" t="n">
        <f aca="false">$L36*W36</f>
        <v>0</v>
      </c>
      <c r="AQ36" s="46"/>
      <c r="AR36" s="45"/>
      <c r="AS36" s="46"/>
      <c r="AT36" s="47"/>
      <c r="AU36" s="47"/>
      <c r="AV36" s="47"/>
    </row>
    <row r="37" customFormat="false" ht="12.75" hidden="false" customHeight="false" outlineLevel="0" collapsed="false">
      <c r="A37" s="39" t="n">
        <f aca="false">A36+1</f>
        <v>13</v>
      </c>
      <c r="B37" s="40" t="n">
        <f aca="false">B36</f>
        <v>4.46</v>
      </c>
      <c r="C37" s="41" t="n">
        <f aca="false">B$6</f>
        <v>4.37</v>
      </c>
      <c r="D37" s="41" t="n">
        <f aca="false">C$6</f>
        <v>4.39</v>
      </c>
      <c r="E37" s="4" t="n">
        <f aca="false">B$8</f>
        <v>0.51</v>
      </c>
      <c r="F37" s="4" t="n">
        <f aca="false">C$8</f>
        <v>0.48</v>
      </c>
      <c r="H37" s="4" t="e">
        <f aca="false">H36</f>
        <v>#N/A</v>
      </c>
      <c r="I37" s="42" t="n">
        <f aca="false">I36+1</f>
        <v>36690</v>
      </c>
      <c r="J37" s="42" t="n">
        <f aca="false">IF(K37=6,I37-1,IF(K37=7,I37-2,I37))</f>
        <v>36690</v>
      </c>
      <c r="K37" s="43" t="n">
        <f aca="false">WEEKDAY(I37,2)</f>
        <v>2</v>
      </c>
      <c r="L37" s="43" t="n">
        <f aca="false">IF(I37&gt;B$11,0,IF(M37&lt;1,0,1))</f>
        <v>0</v>
      </c>
      <c r="M37" s="43" t="n">
        <f aca="false">J37-B$12</f>
        <v>-8</v>
      </c>
      <c r="N37" s="44" t="n">
        <f aca="false">IF($L37=0,0,bsd(N$23,N$22,$B37,$C37,$M37,$E37,$H37,0.1))</f>
        <v>0</v>
      </c>
      <c r="O37" s="44" t="n">
        <f aca="false">IF($L37=0,0,bsd(O$23,O$22,$B37,$D37,$M37,$F37,$H37,0.1))</f>
        <v>0</v>
      </c>
      <c r="P37" s="44" t="n">
        <f aca="false">IF($L37=0,0,bsd(P$23,P$22,$B37,$C37,$M37,$E37,$H37,0.1))</f>
        <v>0</v>
      </c>
      <c r="Q37" s="44" t="n">
        <f aca="false">IF($L37=0,0,bsd(Q$23,Q$22,$B37,$D37,$M37,$F37,$H37,0.1))</f>
        <v>0</v>
      </c>
      <c r="R37" s="44" t="n">
        <f aca="false">IF($L37=0,0,bsd(R$23,R$22,$B37,$C37,$M37,$E37,$H37,0.1))</f>
        <v>0</v>
      </c>
      <c r="S37" s="44" t="n">
        <f aca="false">IF($L37=0,0,bsd(S$23,S$22,$B37,$D37,$M37,$F37,$H37,0.1))</f>
        <v>0</v>
      </c>
      <c r="T37" s="44" t="n">
        <f aca="false">IF($L37=0,0,bsd(T$23,T$22,$B37,$C37,$M37,$E37,$H37,0.1))</f>
        <v>0</v>
      </c>
      <c r="U37" s="44" t="n">
        <f aca="false">IF($L37=0,0,bsd(U$23,U$22,$B37,$D37,$M37,$F37,$H37,0.1))</f>
        <v>0</v>
      </c>
      <c r="V37" s="44" t="n">
        <f aca="false">IF($L37=0,0,bsd(V$23,V$22,$B37,$C37,$M37,$E37,$H37,0.1))</f>
        <v>0</v>
      </c>
      <c r="W37" s="44" t="n">
        <f aca="false">IF($L37=0,0,bsd(W$23,W$22,$B37,$D37,$M37,$F37,$H37,0.1))</f>
        <v>0</v>
      </c>
      <c r="Y37" s="9"/>
      <c r="Z37" s="9"/>
      <c r="AA37" s="39"/>
      <c r="AD37" s="33"/>
      <c r="AE37" s="45" t="n">
        <f aca="false">$L37*N37</f>
        <v>0</v>
      </c>
      <c r="AF37" s="45" t="n">
        <f aca="false">$L37*P37</f>
        <v>0</v>
      </c>
      <c r="AG37" s="45" t="n">
        <f aca="false">$L37*R37</f>
        <v>0</v>
      </c>
      <c r="AH37" s="45" t="n">
        <f aca="false">$L37*T37</f>
        <v>0</v>
      </c>
      <c r="AI37" s="45" t="n">
        <f aca="false">$L37*V37</f>
        <v>0</v>
      </c>
      <c r="AK37" s="33"/>
      <c r="AL37" s="45" t="n">
        <f aca="false">$L37*O37</f>
        <v>0</v>
      </c>
      <c r="AM37" s="45" t="n">
        <f aca="false">$L37*Q37</f>
        <v>0</v>
      </c>
      <c r="AN37" s="45" t="n">
        <f aca="false">$L37*S37</f>
        <v>0</v>
      </c>
      <c r="AO37" s="45" t="n">
        <f aca="false">$L37*U37</f>
        <v>0</v>
      </c>
      <c r="AP37" s="45" t="n">
        <f aca="false">$L37*W37</f>
        <v>0</v>
      </c>
      <c r="AQ37" s="46"/>
      <c r="AR37" s="45"/>
      <c r="AS37" s="46"/>
      <c r="AT37" s="47"/>
      <c r="AU37" s="47"/>
      <c r="AV37" s="47"/>
    </row>
    <row r="38" customFormat="false" ht="12.75" hidden="false" customHeight="false" outlineLevel="0" collapsed="false">
      <c r="A38" s="39" t="n">
        <f aca="false">A37+1</f>
        <v>14</v>
      </c>
      <c r="B38" s="40" t="n">
        <f aca="false">B37</f>
        <v>4.46</v>
      </c>
      <c r="C38" s="41" t="n">
        <f aca="false">B$6</f>
        <v>4.37</v>
      </c>
      <c r="D38" s="41" t="n">
        <f aca="false">C$6</f>
        <v>4.39</v>
      </c>
      <c r="E38" s="4" t="n">
        <f aca="false">B$8</f>
        <v>0.51</v>
      </c>
      <c r="F38" s="4" t="n">
        <f aca="false">C$8</f>
        <v>0.48</v>
      </c>
      <c r="H38" s="4" t="e">
        <f aca="false">H37</f>
        <v>#N/A</v>
      </c>
      <c r="I38" s="42" t="n">
        <f aca="false">I37+1</f>
        <v>36691</v>
      </c>
      <c r="J38" s="42" t="n">
        <f aca="false">IF(K38=6,I38-1,IF(K38=7,I38-2,I38))</f>
        <v>36691</v>
      </c>
      <c r="K38" s="43" t="n">
        <f aca="false">WEEKDAY(I38,2)</f>
        <v>3</v>
      </c>
      <c r="L38" s="43" t="n">
        <f aca="false">IF(I38&gt;B$11,0,IF(M38&lt;1,0,1))</f>
        <v>0</v>
      </c>
      <c r="M38" s="43" t="n">
        <f aca="false">J38-B$12</f>
        <v>-7</v>
      </c>
      <c r="N38" s="44" t="n">
        <f aca="false">IF($L38=0,0,bsd(N$23,N$22,$B38,$C38,$M38,$E38,$H38,0.1))</f>
        <v>0</v>
      </c>
      <c r="O38" s="44" t="n">
        <f aca="false">IF($L38=0,0,bsd(O$23,O$22,$B38,$D38,$M38,$F38,$H38,0.1))</f>
        <v>0</v>
      </c>
      <c r="P38" s="44" t="n">
        <f aca="false">IF($L38=0,0,bsd(P$23,P$22,$B38,$C38,$M38,$E38,$H38,0.1))</f>
        <v>0</v>
      </c>
      <c r="Q38" s="44" t="n">
        <f aca="false">IF($L38=0,0,bsd(Q$23,Q$22,$B38,$D38,$M38,$F38,$H38,0.1))</f>
        <v>0</v>
      </c>
      <c r="R38" s="44" t="n">
        <f aca="false">IF($L38=0,0,bsd(R$23,R$22,$B38,$C38,$M38,$E38,$H38,0.1))</f>
        <v>0</v>
      </c>
      <c r="S38" s="44" t="n">
        <f aca="false">IF($L38=0,0,bsd(S$23,S$22,$B38,$D38,$M38,$F38,$H38,0.1))</f>
        <v>0</v>
      </c>
      <c r="T38" s="44" t="n">
        <f aca="false">IF($L38=0,0,bsd(T$23,T$22,$B38,$C38,$M38,$E38,$H38,0.1))</f>
        <v>0</v>
      </c>
      <c r="U38" s="44" t="n">
        <f aca="false">IF($L38=0,0,bsd(U$23,U$22,$B38,$D38,$M38,$F38,$H38,0.1))</f>
        <v>0</v>
      </c>
      <c r="V38" s="44" t="n">
        <f aca="false">IF($L38=0,0,bsd(V$23,V$22,$B38,$C38,$M38,$E38,$H38,0.1))</f>
        <v>0</v>
      </c>
      <c r="W38" s="44" t="n">
        <f aca="false">IF($L38=0,0,bsd(W$23,W$22,$B38,$D38,$M38,$F38,$H38,0.1))</f>
        <v>0</v>
      </c>
      <c r="Y38" s="9"/>
      <c r="Z38" s="9"/>
      <c r="AA38" s="39"/>
      <c r="AD38" s="33"/>
      <c r="AE38" s="45" t="n">
        <f aca="false">$L38*N38</f>
        <v>0</v>
      </c>
      <c r="AF38" s="45" t="n">
        <f aca="false">$L38*P38</f>
        <v>0</v>
      </c>
      <c r="AG38" s="45" t="n">
        <f aca="false">$L38*R38</f>
        <v>0</v>
      </c>
      <c r="AH38" s="45" t="n">
        <f aca="false">$L38*T38</f>
        <v>0</v>
      </c>
      <c r="AI38" s="45" t="n">
        <f aca="false">$L38*V38</f>
        <v>0</v>
      </c>
      <c r="AK38" s="33"/>
      <c r="AL38" s="45" t="n">
        <f aca="false">$L38*O38</f>
        <v>0</v>
      </c>
      <c r="AM38" s="45" t="n">
        <f aca="false">$L38*Q38</f>
        <v>0</v>
      </c>
      <c r="AN38" s="45" t="n">
        <f aca="false">$L38*S38</f>
        <v>0</v>
      </c>
      <c r="AO38" s="45" t="n">
        <f aca="false">$L38*U38</f>
        <v>0</v>
      </c>
      <c r="AP38" s="45" t="n">
        <f aca="false">$L38*W38</f>
        <v>0</v>
      </c>
      <c r="AQ38" s="46"/>
      <c r="AR38" s="45"/>
      <c r="AS38" s="46"/>
      <c r="AT38" s="47"/>
      <c r="AU38" s="47"/>
      <c r="AV38" s="47"/>
    </row>
    <row r="39" customFormat="false" ht="12.75" hidden="false" customHeight="false" outlineLevel="0" collapsed="false">
      <c r="A39" s="39" t="n">
        <f aca="false">A38+1</f>
        <v>15</v>
      </c>
      <c r="B39" s="40" t="n">
        <f aca="false">B38</f>
        <v>4.46</v>
      </c>
      <c r="C39" s="41" t="n">
        <f aca="false">B$6</f>
        <v>4.37</v>
      </c>
      <c r="D39" s="41" t="n">
        <f aca="false">C$6</f>
        <v>4.39</v>
      </c>
      <c r="E39" s="4" t="n">
        <f aca="false">B$8</f>
        <v>0.51</v>
      </c>
      <c r="F39" s="4" t="n">
        <f aca="false">C$8</f>
        <v>0.48</v>
      </c>
      <c r="H39" s="4" t="e">
        <f aca="false">H38</f>
        <v>#N/A</v>
      </c>
      <c r="I39" s="42" t="n">
        <f aca="false">I38+1</f>
        <v>36692</v>
      </c>
      <c r="J39" s="42" t="n">
        <f aca="false">IF(K39=6,I39-1,IF(K39=7,I39-2,I39))</f>
        <v>36692</v>
      </c>
      <c r="K39" s="43" t="n">
        <f aca="false">WEEKDAY(I39,2)</f>
        <v>4</v>
      </c>
      <c r="L39" s="43" t="n">
        <f aca="false">IF(I39&gt;B$11,0,IF(M39&lt;1,0,1))</f>
        <v>0</v>
      </c>
      <c r="M39" s="43" t="n">
        <f aca="false">J39-B$12</f>
        <v>-6</v>
      </c>
      <c r="N39" s="44" t="n">
        <f aca="false">IF($L39=0,0,bsd(N$23,N$22,$B39,$C39,$M39,$E39,$H39,0.1))</f>
        <v>0</v>
      </c>
      <c r="O39" s="44" t="n">
        <f aca="false">IF($L39=0,0,bsd(O$23,O$22,$B39,$D39,$M39,$F39,$H39,0.1))</f>
        <v>0</v>
      </c>
      <c r="P39" s="44" t="n">
        <f aca="false">IF($L39=0,0,bsd(P$23,P$22,$B39,$C39,$M39,$E39,$H39,0.1))</f>
        <v>0</v>
      </c>
      <c r="Q39" s="44" t="n">
        <f aca="false">IF($L39=0,0,bsd(Q$23,Q$22,$B39,$D39,$M39,$F39,$H39,0.1))</f>
        <v>0</v>
      </c>
      <c r="R39" s="44" t="n">
        <f aca="false">IF($L39=0,0,bsd(R$23,R$22,$B39,$C39,$M39,$E39,$H39,0.1))</f>
        <v>0</v>
      </c>
      <c r="S39" s="44" t="n">
        <f aca="false">IF($L39=0,0,bsd(S$23,S$22,$B39,$D39,$M39,$F39,$H39,0.1))</f>
        <v>0</v>
      </c>
      <c r="T39" s="44" t="n">
        <f aca="false">IF($L39=0,0,bsd(T$23,T$22,$B39,$C39,$M39,$E39,$H39,0.1))</f>
        <v>0</v>
      </c>
      <c r="U39" s="44" t="n">
        <f aca="false">IF($L39=0,0,bsd(U$23,U$22,$B39,$D39,$M39,$F39,$H39,0.1))</f>
        <v>0</v>
      </c>
      <c r="V39" s="44" t="n">
        <f aca="false">IF($L39=0,0,bsd(V$23,V$22,$B39,$C39,$M39,$E39,$H39,0.1))</f>
        <v>0</v>
      </c>
      <c r="W39" s="44" t="n">
        <f aca="false">IF($L39=0,0,bsd(W$23,W$22,$B39,$D39,$M39,$F39,$H39,0.1))</f>
        <v>0</v>
      </c>
      <c r="Y39" s="9"/>
      <c r="Z39" s="9"/>
      <c r="AA39" s="39"/>
      <c r="AD39" s="33"/>
      <c r="AE39" s="45" t="n">
        <f aca="false">$L39*N39</f>
        <v>0</v>
      </c>
      <c r="AF39" s="45" t="n">
        <f aca="false">$L39*P39</f>
        <v>0</v>
      </c>
      <c r="AG39" s="45" t="n">
        <f aca="false">$L39*R39</f>
        <v>0</v>
      </c>
      <c r="AH39" s="45" t="n">
        <f aca="false">$L39*T39</f>
        <v>0</v>
      </c>
      <c r="AI39" s="45" t="n">
        <f aca="false">$L39*V39</f>
        <v>0</v>
      </c>
      <c r="AK39" s="33"/>
      <c r="AL39" s="45" t="n">
        <f aca="false">$L39*O39</f>
        <v>0</v>
      </c>
      <c r="AM39" s="45" t="n">
        <f aca="false">$L39*Q39</f>
        <v>0</v>
      </c>
      <c r="AN39" s="45" t="n">
        <f aca="false">$L39*S39</f>
        <v>0</v>
      </c>
      <c r="AO39" s="45" t="n">
        <f aca="false">$L39*U39</f>
        <v>0</v>
      </c>
      <c r="AP39" s="45" t="n">
        <f aca="false">$L39*W39</f>
        <v>0</v>
      </c>
      <c r="AQ39" s="46"/>
      <c r="AR39" s="45"/>
      <c r="AS39" s="46"/>
      <c r="AT39" s="47"/>
      <c r="AU39" s="47"/>
      <c r="AV39" s="47"/>
    </row>
    <row r="40" customFormat="false" ht="12.75" hidden="false" customHeight="false" outlineLevel="0" collapsed="false">
      <c r="A40" s="39" t="n">
        <f aca="false">A39+1</f>
        <v>16</v>
      </c>
      <c r="B40" s="40" t="n">
        <f aca="false">B39</f>
        <v>4.46</v>
      </c>
      <c r="C40" s="41" t="n">
        <f aca="false">B$6</f>
        <v>4.37</v>
      </c>
      <c r="D40" s="41" t="n">
        <f aca="false">C$6</f>
        <v>4.39</v>
      </c>
      <c r="E40" s="4" t="n">
        <f aca="false">B$8</f>
        <v>0.51</v>
      </c>
      <c r="F40" s="4" t="n">
        <f aca="false">C$8</f>
        <v>0.48</v>
      </c>
      <c r="H40" s="4" t="e">
        <f aca="false">H39</f>
        <v>#N/A</v>
      </c>
      <c r="I40" s="42" t="n">
        <f aca="false">I39+1</f>
        <v>36693</v>
      </c>
      <c r="J40" s="42" t="n">
        <f aca="false">IF(K40=6,I40-1,IF(K40=7,I40-2,I40))</f>
        <v>36693</v>
      </c>
      <c r="K40" s="43" t="n">
        <f aca="false">WEEKDAY(I40,2)</f>
        <v>5</v>
      </c>
      <c r="L40" s="43" t="n">
        <f aca="false">IF(I40&gt;B$11,0,IF(M40&lt;1,0,1))</f>
        <v>0</v>
      </c>
      <c r="M40" s="43" t="n">
        <f aca="false">J40-B$12</f>
        <v>-5</v>
      </c>
      <c r="N40" s="44" t="n">
        <f aca="false">IF($L40=0,0,bsd(N$23,N$22,$B40,$C40,$M40,$E40,$H40,0.1))</f>
        <v>0</v>
      </c>
      <c r="O40" s="44" t="n">
        <f aca="false">IF($L40=0,0,bsd(O$23,O$22,$B40,$D40,$M40,$F40,$H40,0.1))</f>
        <v>0</v>
      </c>
      <c r="P40" s="44" t="n">
        <f aca="false">IF($L40=0,0,bsd(P$23,P$22,$B40,$C40,$M40,$E40,$H40,0.1))</f>
        <v>0</v>
      </c>
      <c r="Q40" s="44" t="n">
        <f aca="false">IF($L40=0,0,bsd(Q$23,Q$22,$B40,$D40,$M40,$F40,$H40,0.1))</f>
        <v>0</v>
      </c>
      <c r="R40" s="44" t="n">
        <f aca="false">IF($L40=0,0,bsd(R$23,R$22,$B40,$C40,$M40,$E40,$H40,0.1))</f>
        <v>0</v>
      </c>
      <c r="S40" s="44" t="n">
        <f aca="false">IF($L40=0,0,bsd(S$23,S$22,$B40,$D40,$M40,$F40,$H40,0.1))</f>
        <v>0</v>
      </c>
      <c r="T40" s="44" t="n">
        <f aca="false">IF($L40=0,0,bsd(T$23,T$22,$B40,$C40,$M40,$E40,$H40,0.1))</f>
        <v>0</v>
      </c>
      <c r="U40" s="44" t="n">
        <f aca="false">IF($L40=0,0,bsd(U$23,U$22,$B40,$D40,$M40,$F40,$H40,0.1))</f>
        <v>0</v>
      </c>
      <c r="V40" s="44" t="n">
        <f aca="false">IF($L40=0,0,bsd(V$23,V$22,$B40,$C40,$M40,$E40,$H40,0.1))</f>
        <v>0</v>
      </c>
      <c r="W40" s="44" t="n">
        <f aca="false">IF($L40=0,0,bsd(W$23,W$22,$B40,$D40,$M40,$F40,$H40,0.1))</f>
        <v>0</v>
      </c>
      <c r="Y40" s="9"/>
      <c r="Z40" s="9"/>
      <c r="AA40" s="39"/>
      <c r="AD40" s="33"/>
      <c r="AE40" s="45" t="n">
        <f aca="false">$L40*N40</f>
        <v>0</v>
      </c>
      <c r="AF40" s="45" t="n">
        <f aca="false">$L40*P40</f>
        <v>0</v>
      </c>
      <c r="AG40" s="45" t="n">
        <f aca="false">$L40*R40</f>
        <v>0</v>
      </c>
      <c r="AH40" s="45" t="n">
        <f aca="false">$L40*T40</f>
        <v>0</v>
      </c>
      <c r="AI40" s="45" t="n">
        <f aca="false">$L40*V40</f>
        <v>0</v>
      </c>
      <c r="AK40" s="33"/>
      <c r="AL40" s="45" t="n">
        <f aca="false">$L40*O40</f>
        <v>0</v>
      </c>
      <c r="AM40" s="45" t="n">
        <f aca="false">$L40*Q40</f>
        <v>0</v>
      </c>
      <c r="AN40" s="45" t="n">
        <f aca="false">$L40*S40</f>
        <v>0</v>
      </c>
      <c r="AO40" s="45" t="n">
        <f aca="false">$L40*U40</f>
        <v>0</v>
      </c>
      <c r="AP40" s="45" t="n">
        <f aca="false">$L40*W40</f>
        <v>0</v>
      </c>
      <c r="AQ40" s="46"/>
      <c r="AR40" s="45"/>
      <c r="AS40" s="46"/>
      <c r="AT40" s="47"/>
      <c r="AU40" s="47"/>
      <c r="AV40" s="47"/>
    </row>
    <row r="41" customFormat="false" ht="12.75" hidden="false" customHeight="false" outlineLevel="0" collapsed="false">
      <c r="A41" s="39" t="n">
        <f aca="false">A40+1</f>
        <v>17</v>
      </c>
      <c r="B41" s="40" t="n">
        <f aca="false">B40</f>
        <v>4.46</v>
      </c>
      <c r="C41" s="41" t="n">
        <f aca="false">B$6</f>
        <v>4.37</v>
      </c>
      <c r="D41" s="41" t="n">
        <f aca="false">C$6</f>
        <v>4.39</v>
      </c>
      <c r="E41" s="4" t="n">
        <f aca="false">B$8</f>
        <v>0.51</v>
      </c>
      <c r="F41" s="4" t="n">
        <f aca="false">C$8</f>
        <v>0.48</v>
      </c>
      <c r="H41" s="4" t="e">
        <f aca="false">H40</f>
        <v>#N/A</v>
      </c>
      <c r="I41" s="42" t="n">
        <f aca="false">I40+1</f>
        <v>36694</v>
      </c>
      <c r="J41" s="42" t="n">
        <f aca="false">IF(K41=6,I41-1,IF(K41=7,I41-2,I41))</f>
        <v>36693</v>
      </c>
      <c r="K41" s="43" t="n">
        <f aca="false">WEEKDAY(I41,2)</f>
        <v>6</v>
      </c>
      <c r="L41" s="43" t="n">
        <f aca="false">IF(I41&gt;B$11,0,IF(M41&lt;1,0,1))</f>
        <v>0</v>
      </c>
      <c r="M41" s="43" t="n">
        <f aca="false">J41-B$12</f>
        <v>-5</v>
      </c>
      <c r="N41" s="44" t="n">
        <f aca="false">IF($L41=0,0,bsd(N$23,N$22,$B41,$C41,$M41,$E41,$H41,0.1))</f>
        <v>0</v>
      </c>
      <c r="O41" s="44" t="n">
        <f aca="false">IF($L41=0,0,bsd(O$23,O$22,$B41,$D41,$M41,$F41,$H41,0.1))</f>
        <v>0</v>
      </c>
      <c r="P41" s="44" t="n">
        <f aca="false">IF($L41=0,0,bsd(P$23,P$22,$B41,$C41,$M41,$E41,$H41,0.1))</f>
        <v>0</v>
      </c>
      <c r="Q41" s="44" t="n">
        <f aca="false">IF($L41=0,0,bsd(Q$23,Q$22,$B41,$D41,$M41,$F41,$H41,0.1))</f>
        <v>0</v>
      </c>
      <c r="R41" s="44" t="n">
        <f aca="false">IF($L41=0,0,bsd(R$23,R$22,$B41,$C41,$M41,$E41,$H41,0.1))</f>
        <v>0</v>
      </c>
      <c r="S41" s="44" t="n">
        <f aca="false">IF($L41=0,0,bsd(S$23,S$22,$B41,$D41,$M41,$F41,$H41,0.1))</f>
        <v>0</v>
      </c>
      <c r="T41" s="44" t="n">
        <f aca="false">IF($L41=0,0,bsd(T$23,T$22,$B41,$C41,$M41,$E41,$H41,0.1))</f>
        <v>0</v>
      </c>
      <c r="U41" s="44" t="n">
        <f aca="false">IF($L41=0,0,bsd(U$23,U$22,$B41,$D41,$M41,$F41,$H41,0.1))</f>
        <v>0</v>
      </c>
      <c r="V41" s="44" t="n">
        <f aca="false">IF($L41=0,0,bsd(V$23,V$22,$B41,$C41,$M41,$E41,$H41,0.1))</f>
        <v>0</v>
      </c>
      <c r="W41" s="44" t="n">
        <f aca="false">IF($L41=0,0,bsd(W$23,W$22,$B41,$D41,$M41,$F41,$H41,0.1))</f>
        <v>0</v>
      </c>
      <c r="Y41" s="9"/>
      <c r="Z41" s="9"/>
      <c r="AA41" s="39"/>
      <c r="AD41" s="33"/>
      <c r="AE41" s="45" t="n">
        <f aca="false">$L41*N41</f>
        <v>0</v>
      </c>
      <c r="AF41" s="45" t="n">
        <f aca="false">$L41*P41</f>
        <v>0</v>
      </c>
      <c r="AG41" s="45" t="n">
        <f aca="false">$L41*R41</f>
        <v>0</v>
      </c>
      <c r="AH41" s="45" t="n">
        <f aca="false">$L41*T41</f>
        <v>0</v>
      </c>
      <c r="AI41" s="45" t="n">
        <f aca="false">$L41*V41</f>
        <v>0</v>
      </c>
      <c r="AK41" s="33"/>
      <c r="AL41" s="45" t="n">
        <f aca="false">$L41*O41</f>
        <v>0</v>
      </c>
      <c r="AM41" s="45" t="n">
        <f aca="false">$L41*Q41</f>
        <v>0</v>
      </c>
      <c r="AN41" s="45" t="n">
        <f aca="false">$L41*S41</f>
        <v>0</v>
      </c>
      <c r="AO41" s="45" t="n">
        <f aca="false">$L41*U41</f>
        <v>0</v>
      </c>
      <c r="AP41" s="45" t="n">
        <f aca="false">$L41*W41</f>
        <v>0</v>
      </c>
      <c r="AQ41" s="46"/>
      <c r="AR41" s="45"/>
      <c r="AS41" s="46"/>
      <c r="AT41" s="47"/>
      <c r="AU41" s="47"/>
      <c r="AV41" s="47"/>
    </row>
    <row r="42" customFormat="false" ht="12.75" hidden="false" customHeight="false" outlineLevel="0" collapsed="false">
      <c r="A42" s="39" t="n">
        <f aca="false">A41+1</f>
        <v>18</v>
      </c>
      <c r="B42" s="40" t="n">
        <f aca="false">B41</f>
        <v>4.46</v>
      </c>
      <c r="C42" s="41" t="n">
        <f aca="false">B$6</f>
        <v>4.37</v>
      </c>
      <c r="D42" s="41" t="n">
        <f aca="false">C$6</f>
        <v>4.39</v>
      </c>
      <c r="E42" s="4" t="n">
        <f aca="false">B$8</f>
        <v>0.51</v>
      </c>
      <c r="F42" s="4" t="n">
        <f aca="false">C$8</f>
        <v>0.48</v>
      </c>
      <c r="H42" s="4" t="e">
        <f aca="false">H41</f>
        <v>#N/A</v>
      </c>
      <c r="I42" s="42" t="n">
        <f aca="false">I41+1</f>
        <v>36695</v>
      </c>
      <c r="J42" s="42" t="n">
        <f aca="false">IF(K42=6,I42-1,IF(K42=7,I42-2,I42))</f>
        <v>36693</v>
      </c>
      <c r="K42" s="43" t="n">
        <f aca="false">WEEKDAY(I42,2)</f>
        <v>7</v>
      </c>
      <c r="L42" s="43" t="n">
        <f aca="false">IF(I42&gt;B$11,0,IF(M42&lt;1,0,1))</f>
        <v>0</v>
      </c>
      <c r="M42" s="43" t="n">
        <f aca="false">J42-B$12</f>
        <v>-5</v>
      </c>
      <c r="N42" s="44" t="n">
        <f aca="false">IF($L42=0,0,bsd(N$23,N$22,$B42,$C42,$M42,$E42,$H42,0.1))</f>
        <v>0</v>
      </c>
      <c r="O42" s="44" t="n">
        <f aca="false">IF($L42=0,0,bsd(O$23,O$22,$B42,$D42,$M42,$F42,$H42,0.1))</f>
        <v>0</v>
      </c>
      <c r="P42" s="44" t="n">
        <f aca="false">IF($L42=0,0,bsd(P$23,P$22,$B42,$C42,$M42,$E42,$H42,0.1))</f>
        <v>0</v>
      </c>
      <c r="Q42" s="44" t="n">
        <f aca="false">IF($L42=0,0,bsd(Q$23,Q$22,$B42,$D42,$M42,$F42,$H42,0.1))</f>
        <v>0</v>
      </c>
      <c r="R42" s="44" t="n">
        <f aca="false">IF($L42=0,0,bsd(R$23,R$22,$B42,$C42,$M42,$E42,$H42,0.1))</f>
        <v>0</v>
      </c>
      <c r="S42" s="44" t="n">
        <f aca="false">IF($L42=0,0,bsd(S$23,S$22,$B42,$D42,$M42,$F42,$H42,0.1))</f>
        <v>0</v>
      </c>
      <c r="T42" s="44" t="n">
        <f aca="false">IF($L42=0,0,bsd(T$23,T$22,$B42,$C42,$M42,$E42,$H42,0.1))</f>
        <v>0</v>
      </c>
      <c r="U42" s="44" t="n">
        <f aca="false">IF($L42=0,0,bsd(U$23,U$22,$B42,$D42,$M42,$F42,$H42,0.1))</f>
        <v>0</v>
      </c>
      <c r="V42" s="44" t="n">
        <f aca="false">IF($L42=0,0,bsd(V$23,V$22,$B42,$C42,$M42,$E42,$H42,0.1))</f>
        <v>0</v>
      </c>
      <c r="W42" s="44" t="n">
        <f aca="false">IF($L42=0,0,bsd(W$23,W$22,$B42,$D42,$M42,$F42,$H42,0.1))</f>
        <v>0</v>
      </c>
      <c r="Y42" s="9"/>
      <c r="Z42" s="9"/>
      <c r="AA42" s="39"/>
      <c r="AD42" s="33"/>
      <c r="AE42" s="45" t="n">
        <f aca="false">$L42*N42</f>
        <v>0</v>
      </c>
      <c r="AF42" s="45" t="n">
        <f aca="false">$L42*P42</f>
        <v>0</v>
      </c>
      <c r="AG42" s="45" t="n">
        <f aca="false">$L42*R42</f>
        <v>0</v>
      </c>
      <c r="AH42" s="45" t="n">
        <f aca="false">$L42*T42</f>
        <v>0</v>
      </c>
      <c r="AI42" s="45" t="n">
        <f aca="false">$L42*V42</f>
        <v>0</v>
      </c>
      <c r="AK42" s="33"/>
      <c r="AL42" s="45" t="n">
        <f aca="false">$L42*O42</f>
        <v>0</v>
      </c>
      <c r="AM42" s="45" t="n">
        <f aca="false">$L42*Q42</f>
        <v>0</v>
      </c>
      <c r="AN42" s="45" t="n">
        <f aca="false">$L42*S42</f>
        <v>0</v>
      </c>
      <c r="AO42" s="45" t="n">
        <f aca="false">$L42*U42</f>
        <v>0</v>
      </c>
      <c r="AP42" s="45" t="n">
        <f aca="false">$L42*W42</f>
        <v>0</v>
      </c>
      <c r="AQ42" s="46"/>
      <c r="AR42" s="45"/>
      <c r="AS42" s="46"/>
      <c r="AT42" s="47"/>
      <c r="AU42" s="47"/>
      <c r="AV42" s="47"/>
    </row>
    <row r="43" customFormat="false" ht="12.75" hidden="false" customHeight="false" outlineLevel="0" collapsed="false">
      <c r="A43" s="39" t="n">
        <f aca="false">A42+1</f>
        <v>19</v>
      </c>
      <c r="B43" s="40" t="n">
        <f aca="false">B42</f>
        <v>4.46</v>
      </c>
      <c r="C43" s="41" t="n">
        <f aca="false">B$6</f>
        <v>4.37</v>
      </c>
      <c r="D43" s="41" t="n">
        <f aca="false">C$6</f>
        <v>4.39</v>
      </c>
      <c r="E43" s="4" t="n">
        <f aca="false">B$8</f>
        <v>0.51</v>
      </c>
      <c r="F43" s="4" t="n">
        <f aca="false">C$8</f>
        <v>0.48</v>
      </c>
      <c r="H43" s="4" t="e">
        <f aca="false">H42</f>
        <v>#N/A</v>
      </c>
      <c r="I43" s="42" t="n">
        <f aca="false">I42+1</f>
        <v>36696</v>
      </c>
      <c r="J43" s="42" t="n">
        <f aca="false">IF(K43=6,I43-1,IF(K43=7,I43-2,I43))</f>
        <v>36696</v>
      </c>
      <c r="K43" s="43" t="n">
        <f aca="false">WEEKDAY(I43,2)</f>
        <v>1</v>
      </c>
      <c r="L43" s="43" t="n">
        <f aca="false">IF(I43&gt;B$11,0,IF(M43&lt;1,0,1))</f>
        <v>0</v>
      </c>
      <c r="M43" s="43" t="n">
        <f aca="false">J43-B$12</f>
        <v>-2</v>
      </c>
      <c r="N43" s="44" t="n">
        <f aca="false">IF($L43=0,0,bsd(N$23,N$22,$B43,$C43,$M43,$E43,$H43,0.1))</f>
        <v>0</v>
      </c>
      <c r="O43" s="44" t="n">
        <f aca="false">IF($L43=0,0,bsd(O$23,O$22,$B43,$D43,$M43,$F43,$H43,0.1))</f>
        <v>0</v>
      </c>
      <c r="P43" s="44" t="n">
        <f aca="false">IF($L43=0,0,bsd(P$23,P$22,$B43,$C43,$M43,$E43,$H43,0.1))</f>
        <v>0</v>
      </c>
      <c r="Q43" s="44" t="n">
        <f aca="false">IF($L43=0,0,bsd(Q$23,Q$22,$B43,$D43,$M43,$F43,$H43,0.1))</f>
        <v>0</v>
      </c>
      <c r="R43" s="44" t="n">
        <f aca="false">IF($L43=0,0,bsd(R$23,R$22,$B43,$C43,$M43,$E43,$H43,0.1))</f>
        <v>0</v>
      </c>
      <c r="S43" s="44" t="n">
        <f aca="false">IF($L43=0,0,bsd(S$23,S$22,$B43,$D43,$M43,$F43,$H43,0.1))</f>
        <v>0</v>
      </c>
      <c r="T43" s="44" t="n">
        <f aca="false">IF($L43=0,0,bsd(T$23,T$22,$B43,$C43,$M43,$E43,$H43,0.1))</f>
        <v>0</v>
      </c>
      <c r="U43" s="44" t="n">
        <f aca="false">IF($L43=0,0,bsd(U$23,U$22,$B43,$D43,$M43,$F43,$H43,0.1))</f>
        <v>0</v>
      </c>
      <c r="V43" s="44" t="n">
        <f aca="false">IF($L43=0,0,bsd(V$23,V$22,$B43,$C43,$M43,$E43,$H43,0.1))</f>
        <v>0</v>
      </c>
      <c r="W43" s="44" t="n">
        <f aca="false">IF($L43=0,0,bsd(W$23,W$22,$B43,$D43,$M43,$F43,$H43,0.1))</f>
        <v>0</v>
      </c>
      <c r="Y43" s="9"/>
      <c r="Z43" s="9"/>
      <c r="AA43" s="39"/>
      <c r="AD43" s="33"/>
      <c r="AE43" s="45" t="n">
        <f aca="false">$L43*N43</f>
        <v>0</v>
      </c>
      <c r="AF43" s="45" t="n">
        <f aca="false">$L43*P43</f>
        <v>0</v>
      </c>
      <c r="AG43" s="45" t="n">
        <f aca="false">$L43*R43</f>
        <v>0</v>
      </c>
      <c r="AH43" s="45" t="n">
        <f aca="false">$L43*T43</f>
        <v>0</v>
      </c>
      <c r="AI43" s="45" t="n">
        <f aca="false">$L43*V43</f>
        <v>0</v>
      </c>
      <c r="AK43" s="33"/>
      <c r="AL43" s="45" t="n">
        <f aca="false">$L43*O43</f>
        <v>0</v>
      </c>
      <c r="AM43" s="45" t="n">
        <f aca="false">$L43*Q43</f>
        <v>0</v>
      </c>
      <c r="AN43" s="45" t="n">
        <f aca="false">$L43*S43</f>
        <v>0</v>
      </c>
      <c r="AO43" s="45" t="n">
        <f aca="false">$L43*U43</f>
        <v>0</v>
      </c>
      <c r="AP43" s="45" t="n">
        <f aca="false">$L43*W43</f>
        <v>0</v>
      </c>
      <c r="AQ43" s="46"/>
      <c r="AR43" s="45"/>
      <c r="AS43" s="46"/>
      <c r="AT43" s="47"/>
      <c r="AU43" s="47"/>
      <c r="AV43" s="47"/>
    </row>
    <row r="44" customFormat="false" ht="12.75" hidden="false" customHeight="false" outlineLevel="0" collapsed="false">
      <c r="A44" s="39" t="n">
        <f aca="false">A43+1</f>
        <v>20</v>
      </c>
      <c r="B44" s="40" t="n">
        <f aca="false">B43</f>
        <v>4.46</v>
      </c>
      <c r="C44" s="41" t="n">
        <f aca="false">B$6</f>
        <v>4.37</v>
      </c>
      <c r="D44" s="41" t="n">
        <f aca="false">C$6</f>
        <v>4.39</v>
      </c>
      <c r="E44" s="4" t="n">
        <f aca="false">B$8</f>
        <v>0.51</v>
      </c>
      <c r="F44" s="4" t="n">
        <f aca="false">C$8</f>
        <v>0.48</v>
      </c>
      <c r="H44" s="4" t="e">
        <f aca="false">H43</f>
        <v>#N/A</v>
      </c>
      <c r="I44" s="42" t="n">
        <f aca="false">I43+1</f>
        <v>36697</v>
      </c>
      <c r="J44" s="42" t="n">
        <f aca="false">IF(K44=6,I44-1,IF(K44=7,I44-2,I44))</f>
        <v>36697</v>
      </c>
      <c r="K44" s="43" t="n">
        <f aca="false">WEEKDAY(I44,2)</f>
        <v>2</v>
      </c>
      <c r="L44" s="43" t="n">
        <f aca="false">IF(I44&gt;B$11,0,IF(M44&lt;1,0,1))</f>
        <v>0</v>
      </c>
      <c r="M44" s="43" t="n">
        <f aca="false">J44-B$12</f>
        <v>-1</v>
      </c>
      <c r="N44" s="44" t="n">
        <f aca="false">IF($L44=0,0,bsd(N$23,N$22,$B44,$C44,$M44,$E44,$H44,0.1))</f>
        <v>0</v>
      </c>
      <c r="O44" s="44" t="n">
        <f aca="false">IF($L44=0,0,bsd(O$23,O$22,$B44,$D44,$M44,$F44,$H44,0.1))</f>
        <v>0</v>
      </c>
      <c r="P44" s="44" t="n">
        <f aca="false">IF($L44=0,0,bsd(P$23,P$22,$B44,$C44,$M44,$E44,$H44,0.1))</f>
        <v>0</v>
      </c>
      <c r="Q44" s="44" t="n">
        <f aca="false">IF($L44=0,0,bsd(Q$23,Q$22,$B44,$D44,$M44,$F44,$H44,0.1))</f>
        <v>0</v>
      </c>
      <c r="R44" s="44" t="n">
        <f aca="false">IF($L44=0,0,bsd(R$23,R$22,$B44,$C44,$M44,$E44,$H44,0.1))</f>
        <v>0</v>
      </c>
      <c r="S44" s="44" t="n">
        <f aca="false">IF($L44=0,0,bsd(S$23,S$22,$B44,$D44,$M44,$F44,$H44,0.1))</f>
        <v>0</v>
      </c>
      <c r="T44" s="44" t="n">
        <f aca="false">IF($L44=0,0,bsd(T$23,T$22,$B44,$C44,$M44,$E44,$H44,0.1))</f>
        <v>0</v>
      </c>
      <c r="U44" s="44" t="n">
        <f aca="false">IF($L44=0,0,bsd(U$23,U$22,$B44,$D44,$M44,$F44,$H44,0.1))</f>
        <v>0</v>
      </c>
      <c r="V44" s="44" t="n">
        <f aca="false">IF($L44=0,0,bsd(V$23,V$22,$B44,$C44,$M44,$E44,$H44,0.1))</f>
        <v>0</v>
      </c>
      <c r="W44" s="44" t="n">
        <f aca="false">IF($L44=0,0,bsd(W$23,W$22,$B44,$D44,$M44,$F44,$H44,0.1))</f>
        <v>0</v>
      </c>
      <c r="Y44" s="9"/>
      <c r="Z44" s="9"/>
      <c r="AA44" s="39"/>
      <c r="AD44" s="33"/>
      <c r="AE44" s="45" t="n">
        <f aca="false">$L44*N44</f>
        <v>0</v>
      </c>
      <c r="AF44" s="45" t="n">
        <f aca="false">$L44*P44</f>
        <v>0</v>
      </c>
      <c r="AG44" s="45" t="n">
        <f aca="false">$L44*R44</f>
        <v>0</v>
      </c>
      <c r="AH44" s="45" t="n">
        <f aca="false">$L44*T44</f>
        <v>0</v>
      </c>
      <c r="AI44" s="45" t="n">
        <f aca="false">$L44*V44</f>
        <v>0</v>
      </c>
      <c r="AK44" s="33"/>
      <c r="AL44" s="45" t="n">
        <f aca="false">$L44*O44</f>
        <v>0</v>
      </c>
      <c r="AM44" s="45" t="n">
        <f aca="false">$L44*Q44</f>
        <v>0</v>
      </c>
      <c r="AN44" s="45" t="n">
        <f aca="false">$L44*S44</f>
        <v>0</v>
      </c>
      <c r="AO44" s="45" t="n">
        <f aca="false">$L44*U44</f>
        <v>0</v>
      </c>
      <c r="AP44" s="45" t="n">
        <f aca="false">$L44*W44</f>
        <v>0</v>
      </c>
      <c r="AQ44" s="46"/>
      <c r="AR44" s="45"/>
      <c r="AS44" s="46"/>
      <c r="AT44" s="47"/>
      <c r="AU44" s="47"/>
      <c r="AV44" s="47"/>
    </row>
    <row r="45" customFormat="false" ht="12.75" hidden="false" customHeight="false" outlineLevel="0" collapsed="false">
      <c r="A45" s="39" t="n">
        <f aca="false">A44+1</f>
        <v>21</v>
      </c>
      <c r="B45" s="40" t="n">
        <f aca="false">B44</f>
        <v>4.46</v>
      </c>
      <c r="C45" s="41" t="n">
        <f aca="false">B$6</f>
        <v>4.37</v>
      </c>
      <c r="D45" s="41" t="n">
        <f aca="false">C$6</f>
        <v>4.39</v>
      </c>
      <c r="E45" s="4" t="n">
        <f aca="false">B$8</f>
        <v>0.51</v>
      </c>
      <c r="F45" s="4" t="n">
        <f aca="false">C$8</f>
        <v>0.48</v>
      </c>
      <c r="H45" s="4" t="e">
        <f aca="false">H44</f>
        <v>#N/A</v>
      </c>
      <c r="I45" s="42" t="n">
        <f aca="false">I44+1</f>
        <v>36698</v>
      </c>
      <c r="J45" s="42" t="n">
        <f aca="false">IF(K45=6,I45-1,IF(K45=7,I45-2,I45))</f>
        <v>36698</v>
      </c>
      <c r="K45" s="43" t="n">
        <f aca="false">WEEKDAY(I45,2)</f>
        <v>3</v>
      </c>
      <c r="L45" s="43" t="n">
        <f aca="false">IF(I45&gt;B$11,0,IF(M45&lt;1,0,1))</f>
        <v>0</v>
      </c>
      <c r="M45" s="43" t="n">
        <f aca="false">J45-B$12</f>
        <v>0</v>
      </c>
      <c r="N45" s="44" t="n">
        <f aca="false">IF($L45=0,0,bsd(N$23,N$22,$B45,$C45,$M45,$E45,$H45,0.1))</f>
        <v>0</v>
      </c>
      <c r="O45" s="44" t="n">
        <f aca="false">IF($L45=0,0,bsd(O$23,O$22,$B45,$D45,$M45,$F45,$H45,0.1))</f>
        <v>0</v>
      </c>
      <c r="P45" s="44" t="n">
        <f aca="false">IF($L45=0,0,bsd(P$23,P$22,$B45,$C45,$M45,$E45,$H45,0.1))</f>
        <v>0</v>
      </c>
      <c r="Q45" s="44" t="n">
        <f aca="false">IF($L45=0,0,bsd(Q$23,Q$22,$B45,$D45,$M45,$F45,$H45,0.1))</f>
        <v>0</v>
      </c>
      <c r="R45" s="44" t="n">
        <f aca="false">IF($L45=0,0,bsd(R$23,R$22,$B45,$C45,$M45,$E45,$H45,0.1))</f>
        <v>0</v>
      </c>
      <c r="S45" s="44" t="n">
        <f aca="false">IF($L45=0,0,bsd(S$23,S$22,$B45,$D45,$M45,$F45,$H45,0.1))</f>
        <v>0</v>
      </c>
      <c r="T45" s="44" t="n">
        <f aca="false">IF($L45=0,0,bsd(T$23,T$22,$B45,$C45,$M45,$E45,$H45,0.1))</f>
        <v>0</v>
      </c>
      <c r="U45" s="44" t="n">
        <f aca="false">IF($L45=0,0,bsd(U$23,U$22,$B45,$D45,$M45,$F45,$H45,0.1))</f>
        <v>0</v>
      </c>
      <c r="V45" s="44" t="n">
        <f aca="false">IF($L45=0,0,bsd(V$23,V$22,$B45,$C45,$M45,$E45,$H45,0.1))</f>
        <v>0</v>
      </c>
      <c r="W45" s="44" t="n">
        <f aca="false">IF($L45=0,0,bsd(W$23,W$22,$B45,$D45,$M45,$F45,$H45,0.1))</f>
        <v>0</v>
      </c>
      <c r="Y45" s="9"/>
      <c r="Z45" s="9"/>
      <c r="AA45" s="39"/>
      <c r="AD45" s="33"/>
      <c r="AE45" s="45" t="n">
        <f aca="false">$L45*N45</f>
        <v>0</v>
      </c>
      <c r="AF45" s="45" t="n">
        <f aca="false">$L45*P45</f>
        <v>0</v>
      </c>
      <c r="AG45" s="45" t="n">
        <f aca="false">$L45*R45</f>
        <v>0</v>
      </c>
      <c r="AH45" s="45" t="n">
        <f aca="false">$L45*T45</f>
        <v>0</v>
      </c>
      <c r="AI45" s="45" t="n">
        <f aca="false">$L45*V45</f>
        <v>0</v>
      </c>
      <c r="AK45" s="33"/>
      <c r="AL45" s="45" t="n">
        <f aca="false">$L45*O45</f>
        <v>0</v>
      </c>
      <c r="AM45" s="45" t="n">
        <f aca="false">$L45*Q45</f>
        <v>0</v>
      </c>
      <c r="AN45" s="45" t="n">
        <f aca="false">$L45*S45</f>
        <v>0</v>
      </c>
      <c r="AO45" s="45" t="n">
        <f aca="false">$L45*U45</f>
        <v>0</v>
      </c>
      <c r="AP45" s="45" t="n">
        <f aca="false">$L45*W45</f>
        <v>0</v>
      </c>
      <c r="AQ45" s="46"/>
      <c r="AR45" s="45"/>
      <c r="AS45" s="46"/>
      <c r="AT45" s="47"/>
      <c r="AU45" s="47"/>
      <c r="AV45" s="47"/>
    </row>
    <row r="46" customFormat="false" ht="12.75" hidden="false" customHeight="false" outlineLevel="0" collapsed="false">
      <c r="A46" s="39" t="n">
        <f aca="false">A45+1</f>
        <v>22</v>
      </c>
      <c r="B46" s="40" t="n">
        <f aca="false">B45</f>
        <v>4.46</v>
      </c>
      <c r="C46" s="41" t="n">
        <f aca="false">B$6</f>
        <v>4.37</v>
      </c>
      <c r="D46" s="41" t="n">
        <f aca="false">C$6</f>
        <v>4.39</v>
      </c>
      <c r="E46" s="4" t="n">
        <f aca="false">B$8</f>
        <v>0.51</v>
      </c>
      <c r="F46" s="4" t="n">
        <f aca="false">C$8</f>
        <v>0.48</v>
      </c>
      <c r="H46" s="4" t="e">
        <f aca="false">H45</f>
        <v>#N/A</v>
      </c>
      <c r="I46" s="42" t="n">
        <f aca="false">I45+1</f>
        <v>36699</v>
      </c>
      <c r="J46" s="42" t="n">
        <f aca="false">IF(K46=6,I46-1,IF(K46=7,I46-2,I46))</f>
        <v>36699</v>
      </c>
      <c r="K46" s="43" t="n">
        <f aca="false">WEEKDAY(I46,2)</f>
        <v>4</v>
      </c>
      <c r="L46" s="43" t="n">
        <f aca="false">IF(I46&gt;B$11,0,IF(M46&lt;1,0,1))</f>
        <v>1</v>
      </c>
      <c r="M46" s="43" t="n">
        <f aca="false">J46-B$12</f>
        <v>1</v>
      </c>
      <c r="N46" s="44" t="e">
        <f aca="false">IF($L46=0,0,bsd(N$23,N$22,$B46,$C46,$M46,$E46,$H46,0.1))</f>
        <v>#VALUE!</v>
      </c>
      <c r="O46" s="44" t="e">
        <f aca="false">IF($L46=0,0,bsd(O$23,O$22,$B46,$D46,$M46,$F46,$H46,0.1))</f>
        <v>#VALUE!</v>
      </c>
      <c r="P46" s="44" t="e">
        <f aca="false">IF($L46=0,0,bsd(P$23,P$22,$B46,$C46,$M46,$E46,$H46,0.1))</f>
        <v>#VALUE!</v>
      </c>
      <c r="Q46" s="44" t="e">
        <f aca="false">IF($L46=0,0,bsd(Q$23,Q$22,$B46,$D46,$M46,$F46,$H46,0.1))</f>
        <v>#VALUE!</v>
      </c>
      <c r="R46" s="44" t="e">
        <f aca="false">IF($L46=0,0,bsd(R$23,R$22,$B46,$C46,$M46,$E46,$H46,0.1))</f>
        <v>#VALUE!</v>
      </c>
      <c r="S46" s="44" t="e">
        <f aca="false">IF($L46=0,0,bsd(S$23,S$22,$B46,$D46,$M46,$F46,$H46,0.1))</f>
        <v>#VALUE!</v>
      </c>
      <c r="T46" s="44" t="e">
        <f aca="false">IF($L46=0,0,bsd(T$23,T$22,$B46,$C46,$M46,$E46,$H46,0.1))</f>
        <v>#VALUE!</v>
      </c>
      <c r="U46" s="44" t="e">
        <f aca="false">IF($L46=0,0,bsd(U$23,U$22,$B46,$D46,$M46,$F46,$H46,0.1))</f>
        <v>#VALUE!</v>
      </c>
      <c r="V46" s="44" t="e">
        <f aca="false">IF($L46=0,0,bsd(V$23,V$22,$B46,$C46,$M46,$E46,$H46,0.1))</f>
        <v>#VALUE!</v>
      </c>
      <c r="W46" s="44" t="e">
        <f aca="false">IF($L46=0,0,bsd(W$23,W$22,$B46,$D46,$M46,$F46,$H46,0.1))</f>
        <v>#VALUE!</v>
      </c>
      <c r="Y46" s="9"/>
      <c r="Z46" s="9"/>
      <c r="AA46" s="39"/>
      <c r="AD46" s="33"/>
      <c r="AE46" s="45" t="e">
        <f aca="false">$L46*N46</f>
        <v>#VALUE!</v>
      </c>
      <c r="AF46" s="45" t="e">
        <f aca="false">$L46*P46</f>
        <v>#VALUE!</v>
      </c>
      <c r="AG46" s="45" t="e">
        <f aca="false">$L46*R46</f>
        <v>#VALUE!</v>
      </c>
      <c r="AH46" s="45" t="e">
        <f aca="false">$L46*T46</f>
        <v>#VALUE!</v>
      </c>
      <c r="AI46" s="45" t="e">
        <f aca="false">$L46*V46</f>
        <v>#VALUE!</v>
      </c>
      <c r="AK46" s="33"/>
      <c r="AL46" s="45" t="e">
        <f aca="false">$L46*O46</f>
        <v>#VALUE!</v>
      </c>
      <c r="AM46" s="45" t="e">
        <f aca="false">$L46*Q46</f>
        <v>#VALUE!</v>
      </c>
      <c r="AN46" s="45" t="e">
        <f aca="false">$L46*S46</f>
        <v>#VALUE!</v>
      </c>
      <c r="AO46" s="45" t="e">
        <f aca="false">$L46*U46</f>
        <v>#VALUE!</v>
      </c>
      <c r="AP46" s="45" t="e">
        <f aca="false">$L46*W46</f>
        <v>#VALUE!</v>
      </c>
      <c r="AQ46" s="46"/>
      <c r="AR46" s="45"/>
      <c r="AS46" s="46"/>
      <c r="AT46" s="47"/>
      <c r="AU46" s="47"/>
      <c r="AV46" s="47"/>
    </row>
    <row r="47" customFormat="false" ht="12.75" hidden="false" customHeight="false" outlineLevel="0" collapsed="false">
      <c r="A47" s="39" t="n">
        <f aca="false">A46+1</f>
        <v>23</v>
      </c>
      <c r="B47" s="40" t="n">
        <f aca="false">B46</f>
        <v>4.46</v>
      </c>
      <c r="C47" s="41" t="n">
        <f aca="false">B$6</f>
        <v>4.37</v>
      </c>
      <c r="D47" s="41" t="n">
        <f aca="false">C$6</f>
        <v>4.39</v>
      </c>
      <c r="E47" s="4" t="n">
        <f aca="false">B$8</f>
        <v>0.51</v>
      </c>
      <c r="F47" s="4" t="n">
        <f aca="false">C$8</f>
        <v>0.48</v>
      </c>
      <c r="H47" s="4" t="e">
        <f aca="false">H46</f>
        <v>#N/A</v>
      </c>
      <c r="I47" s="42" t="n">
        <f aca="false">I46+1</f>
        <v>36700</v>
      </c>
      <c r="J47" s="42" t="n">
        <f aca="false">IF(K47=6,I47-1,IF(K47=7,I47-2,I47))</f>
        <v>36700</v>
      </c>
      <c r="K47" s="43" t="n">
        <f aca="false">WEEKDAY(I47,2)</f>
        <v>5</v>
      </c>
      <c r="L47" s="43" t="n">
        <f aca="false">IF(I47&gt;B$11,0,IF(M47&lt;1,0,1))</f>
        <v>1</v>
      </c>
      <c r="M47" s="43" t="n">
        <f aca="false">J47-B$12</f>
        <v>2</v>
      </c>
      <c r="N47" s="44" t="e">
        <f aca="false">IF($L47=0,0,bsd(N$23,N$22,$B47,$C47,$M47,$E47,$H47,0.1))</f>
        <v>#VALUE!</v>
      </c>
      <c r="O47" s="44" t="e">
        <f aca="false">IF($L47=0,0,bsd(O$23,O$22,$B47,$D47,$M47,$F47,$H47,0.1))</f>
        <v>#VALUE!</v>
      </c>
      <c r="P47" s="44" t="e">
        <f aca="false">IF($L47=0,0,bsd(P$23,P$22,$B47,$C47,$M47,$E47,$H47,0.1))</f>
        <v>#VALUE!</v>
      </c>
      <c r="Q47" s="44" t="e">
        <f aca="false">IF($L47=0,0,bsd(Q$23,Q$22,$B47,$D47,$M47,$F47,$H47,0.1))</f>
        <v>#VALUE!</v>
      </c>
      <c r="R47" s="44" t="e">
        <f aca="false">IF($L47=0,0,bsd(R$23,R$22,$B47,$C47,$M47,$E47,$H47,0.1))</f>
        <v>#VALUE!</v>
      </c>
      <c r="S47" s="44" t="e">
        <f aca="false">IF($L47=0,0,bsd(S$23,S$22,$B47,$D47,$M47,$F47,$H47,0.1))</f>
        <v>#VALUE!</v>
      </c>
      <c r="T47" s="44" t="e">
        <f aca="false">IF($L47=0,0,bsd(T$23,T$22,$B47,$C47,$M47,$E47,$H47,0.1))</f>
        <v>#VALUE!</v>
      </c>
      <c r="U47" s="44" t="e">
        <f aca="false">IF($L47=0,0,bsd(U$23,U$22,$B47,$D47,$M47,$F47,$H47,0.1))</f>
        <v>#VALUE!</v>
      </c>
      <c r="V47" s="44" t="e">
        <f aca="false">IF($L47=0,0,bsd(V$23,V$22,$B47,$C47,$M47,$E47,$H47,0.1))</f>
        <v>#VALUE!</v>
      </c>
      <c r="W47" s="44" t="e">
        <f aca="false">IF($L47=0,0,bsd(W$23,W$22,$B47,$D47,$M47,$F47,$H47,0.1))</f>
        <v>#VALUE!</v>
      </c>
      <c r="Y47" s="9"/>
      <c r="Z47" s="9"/>
      <c r="AA47" s="39"/>
      <c r="AD47" s="33"/>
      <c r="AE47" s="45" t="e">
        <f aca="false">$L47*N47</f>
        <v>#VALUE!</v>
      </c>
      <c r="AF47" s="45" t="e">
        <f aca="false">$L47*P47</f>
        <v>#VALUE!</v>
      </c>
      <c r="AG47" s="45" t="e">
        <f aca="false">$L47*R47</f>
        <v>#VALUE!</v>
      </c>
      <c r="AH47" s="45" t="e">
        <f aca="false">$L47*T47</f>
        <v>#VALUE!</v>
      </c>
      <c r="AI47" s="45" t="e">
        <f aca="false">$L47*V47</f>
        <v>#VALUE!</v>
      </c>
      <c r="AK47" s="33"/>
      <c r="AL47" s="45" t="e">
        <f aca="false">$L47*O47</f>
        <v>#VALUE!</v>
      </c>
      <c r="AM47" s="45" t="e">
        <f aca="false">$L47*Q47</f>
        <v>#VALUE!</v>
      </c>
      <c r="AN47" s="45" t="e">
        <f aca="false">$L47*S47</f>
        <v>#VALUE!</v>
      </c>
      <c r="AO47" s="45" t="e">
        <f aca="false">$L47*U47</f>
        <v>#VALUE!</v>
      </c>
      <c r="AP47" s="45" t="e">
        <f aca="false">$L47*W47</f>
        <v>#VALUE!</v>
      </c>
      <c r="AQ47" s="46"/>
      <c r="AR47" s="45"/>
      <c r="AS47" s="46"/>
      <c r="AT47" s="47"/>
      <c r="AU47" s="47"/>
      <c r="AV47" s="47"/>
    </row>
    <row r="48" customFormat="false" ht="12.75" hidden="false" customHeight="false" outlineLevel="0" collapsed="false">
      <c r="A48" s="39" t="n">
        <f aca="false">A47+1</f>
        <v>24</v>
      </c>
      <c r="B48" s="40" t="n">
        <f aca="false">B47</f>
        <v>4.46</v>
      </c>
      <c r="C48" s="41" t="n">
        <f aca="false">B$6</f>
        <v>4.37</v>
      </c>
      <c r="D48" s="41" t="n">
        <f aca="false">C$6</f>
        <v>4.39</v>
      </c>
      <c r="E48" s="4" t="n">
        <f aca="false">B$8</f>
        <v>0.51</v>
      </c>
      <c r="F48" s="4" t="n">
        <f aca="false">C$8</f>
        <v>0.48</v>
      </c>
      <c r="H48" s="4" t="e">
        <f aca="false">H47</f>
        <v>#N/A</v>
      </c>
      <c r="I48" s="42" t="n">
        <f aca="false">I47+1</f>
        <v>36701</v>
      </c>
      <c r="J48" s="42" t="n">
        <f aca="false">IF(K48=6,I48-1,IF(K48=7,I48-2,I48))</f>
        <v>36700</v>
      </c>
      <c r="K48" s="43" t="n">
        <f aca="false">WEEKDAY(I48,2)</f>
        <v>6</v>
      </c>
      <c r="L48" s="43" t="n">
        <f aca="false">IF(I48&gt;B$11,0,IF(M48&lt;1,0,1))</f>
        <v>1</v>
      </c>
      <c r="M48" s="43" t="n">
        <f aca="false">J48-B$12</f>
        <v>2</v>
      </c>
      <c r="N48" s="44" t="e">
        <f aca="false">IF($L48=0,0,bsd(N$23,N$22,$B48,$C48,$M48,$E48,$H48,0.1))</f>
        <v>#VALUE!</v>
      </c>
      <c r="O48" s="44" t="e">
        <f aca="false">IF($L48=0,0,bsd(O$23,O$22,$B48,$D48,$M48,$F48,$H48,0.1))</f>
        <v>#VALUE!</v>
      </c>
      <c r="P48" s="44" t="e">
        <f aca="false">IF($L48=0,0,bsd(P$23,P$22,$B48,$C48,$M48,$E48,$H48,0.1))</f>
        <v>#VALUE!</v>
      </c>
      <c r="Q48" s="44" t="e">
        <f aca="false">IF($L48=0,0,bsd(Q$23,Q$22,$B48,$D48,$M48,$F48,$H48,0.1))</f>
        <v>#VALUE!</v>
      </c>
      <c r="R48" s="44" t="e">
        <f aca="false">IF($L48=0,0,bsd(R$23,R$22,$B48,$C48,$M48,$E48,$H48,0.1))</f>
        <v>#VALUE!</v>
      </c>
      <c r="S48" s="44" t="e">
        <f aca="false">IF($L48=0,0,bsd(S$23,S$22,$B48,$D48,$M48,$F48,$H48,0.1))</f>
        <v>#VALUE!</v>
      </c>
      <c r="T48" s="44" t="e">
        <f aca="false">IF($L48=0,0,bsd(T$23,T$22,$B48,$C48,$M48,$E48,$H48,0.1))</f>
        <v>#VALUE!</v>
      </c>
      <c r="U48" s="44" t="e">
        <f aca="false">IF($L48=0,0,bsd(U$23,U$22,$B48,$D48,$M48,$F48,$H48,0.1))</f>
        <v>#VALUE!</v>
      </c>
      <c r="V48" s="44" t="e">
        <f aca="false">IF($L48=0,0,bsd(V$23,V$22,$B48,$C48,$M48,$E48,$H48,0.1))</f>
        <v>#VALUE!</v>
      </c>
      <c r="W48" s="44" t="e">
        <f aca="false">IF($L48=0,0,bsd(W$23,W$22,$B48,$D48,$M48,$F48,$H48,0.1))</f>
        <v>#VALUE!</v>
      </c>
      <c r="Y48" s="9"/>
      <c r="Z48" s="9"/>
      <c r="AA48" s="39"/>
      <c r="AD48" s="33"/>
      <c r="AE48" s="45" t="e">
        <f aca="false">$L48*N48</f>
        <v>#VALUE!</v>
      </c>
      <c r="AF48" s="45" t="e">
        <f aca="false">$L48*P48</f>
        <v>#VALUE!</v>
      </c>
      <c r="AG48" s="45" t="e">
        <f aca="false">$L48*R48</f>
        <v>#VALUE!</v>
      </c>
      <c r="AH48" s="45" t="e">
        <f aca="false">$L48*T48</f>
        <v>#VALUE!</v>
      </c>
      <c r="AI48" s="45" t="e">
        <f aca="false">$L48*V48</f>
        <v>#VALUE!</v>
      </c>
      <c r="AK48" s="33"/>
      <c r="AL48" s="45" t="e">
        <f aca="false">$L48*O48</f>
        <v>#VALUE!</v>
      </c>
      <c r="AM48" s="45" t="e">
        <f aca="false">$L48*Q48</f>
        <v>#VALUE!</v>
      </c>
      <c r="AN48" s="45" t="e">
        <f aca="false">$L48*S48</f>
        <v>#VALUE!</v>
      </c>
      <c r="AO48" s="45" t="e">
        <f aca="false">$L48*U48</f>
        <v>#VALUE!</v>
      </c>
      <c r="AP48" s="45" t="e">
        <f aca="false">$L48*W48</f>
        <v>#VALUE!</v>
      </c>
      <c r="AQ48" s="46"/>
      <c r="AR48" s="45"/>
      <c r="AS48" s="46"/>
      <c r="AT48" s="47"/>
      <c r="AU48" s="47"/>
      <c r="AV48" s="47"/>
    </row>
    <row r="49" customFormat="false" ht="12.75" hidden="false" customHeight="false" outlineLevel="0" collapsed="false">
      <c r="A49" s="39" t="n">
        <f aca="false">A48+1</f>
        <v>25</v>
      </c>
      <c r="B49" s="40" t="n">
        <f aca="false">B48</f>
        <v>4.46</v>
      </c>
      <c r="C49" s="41" t="n">
        <f aca="false">B$6</f>
        <v>4.37</v>
      </c>
      <c r="D49" s="41" t="n">
        <f aca="false">C$6</f>
        <v>4.39</v>
      </c>
      <c r="E49" s="4" t="n">
        <f aca="false">B$8</f>
        <v>0.51</v>
      </c>
      <c r="F49" s="4" t="n">
        <f aca="false">C$8</f>
        <v>0.48</v>
      </c>
      <c r="H49" s="4" t="e">
        <f aca="false">H48</f>
        <v>#N/A</v>
      </c>
      <c r="I49" s="42" t="n">
        <f aca="false">I48+1</f>
        <v>36702</v>
      </c>
      <c r="J49" s="42" t="n">
        <f aca="false">IF(K49=6,I49-1,IF(K49=7,I49-2,I49))</f>
        <v>36700</v>
      </c>
      <c r="K49" s="43" t="n">
        <f aca="false">WEEKDAY(I49,2)</f>
        <v>7</v>
      </c>
      <c r="L49" s="43" t="n">
        <f aca="false">IF(I49&gt;B$11,0,IF(M49&lt;1,0,1))</f>
        <v>1</v>
      </c>
      <c r="M49" s="43" t="n">
        <f aca="false">J49-B$12</f>
        <v>2</v>
      </c>
      <c r="N49" s="44" t="e">
        <f aca="false">IF($L49=0,0,bsd(N$23,N$22,$B49,$C49,$M49,$E49,$H49,0.1))</f>
        <v>#VALUE!</v>
      </c>
      <c r="O49" s="44" t="e">
        <f aca="false">IF($L49=0,0,bsd(O$23,O$22,$B49,$D49,$M49,$F49,$H49,0.1))</f>
        <v>#VALUE!</v>
      </c>
      <c r="P49" s="44" t="e">
        <f aca="false">IF($L49=0,0,bsd(P$23,P$22,$B49,$C49,$M49,$E49,$H49,0.1))</f>
        <v>#VALUE!</v>
      </c>
      <c r="Q49" s="44" t="e">
        <f aca="false">IF($L49=0,0,bsd(Q$23,Q$22,$B49,$D49,$M49,$F49,$H49,0.1))</f>
        <v>#VALUE!</v>
      </c>
      <c r="R49" s="44" t="e">
        <f aca="false">IF($L49=0,0,bsd(R$23,R$22,$B49,$C49,$M49,$E49,$H49,0.1))</f>
        <v>#VALUE!</v>
      </c>
      <c r="S49" s="44" t="e">
        <f aca="false">IF($L49=0,0,bsd(S$23,S$22,$B49,$D49,$M49,$F49,$H49,0.1))</f>
        <v>#VALUE!</v>
      </c>
      <c r="T49" s="44" t="e">
        <f aca="false">IF($L49=0,0,bsd(T$23,T$22,$B49,$C49,$M49,$E49,$H49,0.1))</f>
        <v>#VALUE!</v>
      </c>
      <c r="U49" s="44" t="e">
        <f aca="false">IF($L49=0,0,bsd(U$23,U$22,$B49,$D49,$M49,$F49,$H49,0.1))</f>
        <v>#VALUE!</v>
      </c>
      <c r="V49" s="44" t="e">
        <f aca="false">IF($L49=0,0,bsd(V$23,V$22,$B49,$C49,$M49,$E49,$H49,0.1))</f>
        <v>#VALUE!</v>
      </c>
      <c r="W49" s="44" t="e">
        <f aca="false">IF($L49=0,0,bsd(W$23,W$22,$B49,$D49,$M49,$F49,$H49,0.1))</f>
        <v>#VALUE!</v>
      </c>
      <c r="Y49" s="9"/>
      <c r="Z49" s="9"/>
      <c r="AA49" s="39"/>
      <c r="AD49" s="33"/>
      <c r="AE49" s="45" t="e">
        <f aca="false">$L49*N49</f>
        <v>#VALUE!</v>
      </c>
      <c r="AF49" s="45" t="e">
        <f aca="false">$L49*P49</f>
        <v>#VALUE!</v>
      </c>
      <c r="AG49" s="45" t="e">
        <f aca="false">$L49*R49</f>
        <v>#VALUE!</v>
      </c>
      <c r="AH49" s="45" t="e">
        <f aca="false">$L49*T49</f>
        <v>#VALUE!</v>
      </c>
      <c r="AI49" s="45" t="e">
        <f aca="false">$L49*V49</f>
        <v>#VALUE!</v>
      </c>
      <c r="AK49" s="33"/>
      <c r="AL49" s="45" t="e">
        <f aca="false">$L49*O49</f>
        <v>#VALUE!</v>
      </c>
      <c r="AM49" s="45" t="e">
        <f aca="false">$L49*Q49</f>
        <v>#VALUE!</v>
      </c>
      <c r="AN49" s="45" t="e">
        <f aca="false">$L49*S49</f>
        <v>#VALUE!</v>
      </c>
      <c r="AO49" s="45" t="e">
        <f aca="false">$L49*U49</f>
        <v>#VALUE!</v>
      </c>
      <c r="AP49" s="45" t="e">
        <f aca="false">$L49*W49</f>
        <v>#VALUE!</v>
      </c>
      <c r="AQ49" s="46"/>
      <c r="AR49" s="45"/>
      <c r="AS49" s="46"/>
      <c r="AT49" s="47"/>
      <c r="AU49" s="47"/>
      <c r="AV49" s="47"/>
    </row>
    <row r="50" customFormat="false" ht="12.75" hidden="false" customHeight="false" outlineLevel="0" collapsed="false">
      <c r="A50" s="39" t="n">
        <f aca="false">A49+1</f>
        <v>26</v>
      </c>
      <c r="B50" s="40" t="n">
        <f aca="false">B49</f>
        <v>4.46</v>
      </c>
      <c r="C50" s="41" t="n">
        <f aca="false">B$6</f>
        <v>4.37</v>
      </c>
      <c r="D50" s="41" t="n">
        <f aca="false">C$6</f>
        <v>4.39</v>
      </c>
      <c r="E50" s="4" t="n">
        <f aca="false">B$8</f>
        <v>0.51</v>
      </c>
      <c r="F50" s="4" t="n">
        <f aca="false">C$8</f>
        <v>0.48</v>
      </c>
      <c r="H50" s="4" t="e">
        <f aca="false">H49</f>
        <v>#N/A</v>
      </c>
      <c r="I50" s="42" t="n">
        <f aca="false">I49+1</f>
        <v>36703</v>
      </c>
      <c r="J50" s="42" t="n">
        <f aca="false">IF(K50=6,I50-1,IF(K50=7,I50-2,I50))</f>
        <v>36703</v>
      </c>
      <c r="K50" s="43" t="n">
        <f aca="false">WEEKDAY(I50,2)</f>
        <v>1</v>
      </c>
      <c r="L50" s="43" t="n">
        <f aca="false">IF(I50&gt;B$11,0,IF(M50&lt;1,0,1))</f>
        <v>1</v>
      </c>
      <c r="M50" s="43" t="n">
        <f aca="false">J50-B$12</f>
        <v>5</v>
      </c>
      <c r="N50" s="44" t="e">
        <f aca="false">IF($L50=0,0,bsd(N$23,N$22,$B50,$C50,$M50,$E50,$H50,0.1))</f>
        <v>#VALUE!</v>
      </c>
      <c r="O50" s="44" t="e">
        <f aca="false">IF($L50=0,0,bsd(O$23,O$22,$B50,$D50,$M50,$F50,$H50,0.1))</f>
        <v>#VALUE!</v>
      </c>
      <c r="P50" s="44" t="e">
        <f aca="false">IF($L50=0,0,bsd(P$23,P$22,$B50,$C50,$M50,$E50,$H50,0.1))</f>
        <v>#VALUE!</v>
      </c>
      <c r="Q50" s="44" t="e">
        <f aca="false">IF($L50=0,0,bsd(Q$23,Q$22,$B50,$D50,$M50,$F50,$H50,0.1))</f>
        <v>#VALUE!</v>
      </c>
      <c r="R50" s="44" t="e">
        <f aca="false">IF($L50=0,0,bsd(R$23,R$22,$B50,$C50,$M50,$E50,$H50,0.1))</f>
        <v>#VALUE!</v>
      </c>
      <c r="S50" s="44" t="e">
        <f aca="false">IF($L50=0,0,bsd(S$23,S$22,$B50,$D50,$M50,$F50,$H50,0.1))</f>
        <v>#VALUE!</v>
      </c>
      <c r="T50" s="44" t="e">
        <f aca="false">IF($L50=0,0,bsd(T$23,T$22,$B50,$C50,$M50,$E50,$H50,0.1))</f>
        <v>#VALUE!</v>
      </c>
      <c r="U50" s="44" t="e">
        <f aca="false">IF($L50=0,0,bsd(U$23,U$22,$B50,$D50,$M50,$F50,$H50,0.1))</f>
        <v>#VALUE!</v>
      </c>
      <c r="V50" s="44" t="e">
        <f aca="false">IF($L50=0,0,bsd(V$23,V$22,$B50,$C50,$M50,$E50,$H50,0.1))</f>
        <v>#VALUE!</v>
      </c>
      <c r="W50" s="44" t="e">
        <f aca="false">IF($L50=0,0,bsd(W$23,W$22,$B50,$D50,$M50,$F50,$H50,0.1))</f>
        <v>#VALUE!</v>
      </c>
      <c r="Y50" s="9"/>
      <c r="Z50" s="9"/>
      <c r="AA50" s="39"/>
      <c r="AD50" s="33"/>
      <c r="AE50" s="45" t="e">
        <f aca="false">$L50*N50</f>
        <v>#VALUE!</v>
      </c>
      <c r="AF50" s="45" t="e">
        <f aca="false">$L50*P50</f>
        <v>#VALUE!</v>
      </c>
      <c r="AG50" s="45" t="e">
        <f aca="false">$L50*R50</f>
        <v>#VALUE!</v>
      </c>
      <c r="AH50" s="45" t="e">
        <f aca="false">$L50*T50</f>
        <v>#VALUE!</v>
      </c>
      <c r="AI50" s="45" t="e">
        <f aca="false">$L50*V50</f>
        <v>#VALUE!</v>
      </c>
      <c r="AK50" s="33"/>
      <c r="AL50" s="45" t="e">
        <f aca="false">$L50*O50</f>
        <v>#VALUE!</v>
      </c>
      <c r="AM50" s="45" t="e">
        <f aca="false">$L50*Q50</f>
        <v>#VALUE!</v>
      </c>
      <c r="AN50" s="45" t="e">
        <f aca="false">$L50*S50</f>
        <v>#VALUE!</v>
      </c>
      <c r="AO50" s="45" t="e">
        <f aca="false">$L50*U50</f>
        <v>#VALUE!</v>
      </c>
      <c r="AP50" s="45" t="e">
        <f aca="false">$L50*W50</f>
        <v>#VALUE!</v>
      </c>
      <c r="AQ50" s="46"/>
      <c r="AR50" s="45"/>
      <c r="AS50" s="46"/>
      <c r="AT50" s="47"/>
      <c r="AU50" s="47"/>
      <c r="AV50" s="47"/>
    </row>
    <row r="51" customFormat="false" ht="12.75" hidden="false" customHeight="false" outlineLevel="0" collapsed="false">
      <c r="A51" s="39" t="n">
        <f aca="false">A50+1</f>
        <v>27</v>
      </c>
      <c r="B51" s="40" t="n">
        <f aca="false">B50</f>
        <v>4.46</v>
      </c>
      <c r="C51" s="41" t="n">
        <f aca="false">B$6</f>
        <v>4.37</v>
      </c>
      <c r="D51" s="41" t="n">
        <f aca="false">C$6</f>
        <v>4.39</v>
      </c>
      <c r="E51" s="4" t="n">
        <f aca="false">B$8</f>
        <v>0.51</v>
      </c>
      <c r="F51" s="4" t="n">
        <f aca="false">C$8</f>
        <v>0.48</v>
      </c>
      <c r="H51" s="4" t="e">
        <f aca="false">H50</f>
        <v>#N/A</v>
      </c>
      <c r="I51" s="42" t="n">
        <f aca="false">I50+1</f>
        <v>36704</v>
      </c>
      <c r="J51" s="42" t="n">
        <f aca="false">IF(K51=6,I51-1,IF(K51=7,I51-2,I51))</f>
        <v>36704</v>
      </c>
      <c r="K51" s="43" t="n">
        <f aca="false">WEEKDAY(I51,2)</f>
        <v>2</v>
      </c>
      <c r="L51" s="43" t="n">
        <f aca="false">IF(I51&gt;B$11,0,IF(M51&lt;1,0,1))</f>
        <v>1</v>
      </c>
      <c r="M51" s="43" t="n">
        <f aca="false">J51-B$12</f>
        <v>6</v>
      </c>
      <c r="N51" s="44" t="e">
        <f aca="false">IF($L51=0,0,bsd(N$23,N$22,$B51,$C51,$M51,$E51,$H51,0.1))</f>
        <v>#VALUE!</v>
      </c>
      <c r="O51" s="44" t="e">
        <f aca="false">IF($L51=0,0,bsd(O$23,O$22,$B51,$D51,$M51,$F51,$H51,0.1))</f>
        <v>#VALUE!</v>
      </c>
      <c r="P51" s="44" t="e">
        <f aca="false">IF($L51=0,0,bsd(P$23,P$22,$B51,$C51,$M51,$E51,$H51,0.1))</f>
        <v>#VALUE!</v>
      </c>
      <c r="Q51" s="44" t="e">
        <f aca="false">IF($L51=0,0,bsd(Q$23,Q$22,$B51,$D51,$M51,$F51,$H51,0.1))</f>
        <v>#VALUE!</v>
      </c>
      <c r="R51" s="44" t="e">
        <f aca="false">IF($L51=0,0,bsd(R$23,R$22,$B51,$C51,$M51,$E51,$H51,0.1))</f>
        <v>#VALUE!</v>
      </c>
      <c r="S51" s="44" t="e">
        <f aca="false">IF($L51=0,0,bsd(S$23,S$22,$B51,$D51,$M51,$F51,$H51,0.1))</f>
        <v>#VALUE!</v>
      </c>
      <c r="T51" s="44" t="e">
        <f aca="false">IF($L51=0,0,bsd(T$23,T$22,$B51,$C51,$M51,$E51,$H51,0.1))</f>
        <v>#VALUE!</v>
      </c>
      <c r="U51" s="44" t="e">
        <f aca="false">IF($L51=0,0,bsd(U$23,U$22,$B51,$D51,$M51,$F51,$H51,0.1))</f>
        <v>#VALUE!</v>
      </c>
      <c r="V51" s="44" t="e">
        <f aca="false">IF($L51=0,0,bsd(V$23,V$22,$B51,$C51,$M51,$E51,$H51,0.1))</f>
        <v>#VALUE!</v>
      </c>
      <c r="W51" s="44" t="e">
        <f aca="false">IF($L51=0,0,bsd(W$23,W$22,$B51,$D51,$M51,$F51,$H51,0.1))</f>
        <v>#VALUE!</v>
      </c>
      <c r="Y51" s="9"/>
      <c r="Z51" s="9"/>
      <c r="AA51" s="39"/>
      <c r="AD51" s="33"/>
      <c r="AE51" s="45" t="e">
        <f aca="false">$L51*N51</f>
        <v>#VALUE!</v>
      </c>
      <c r="AF51" s="45" t="e">
        <f aca="false">$L51*P51</f>
        <v>#VALUE!</v>
      </c>
      <c r="AG51" s="45" t="e">
        <f aca="false">$L51*R51</f>
        <v>#VALUE!</v>
      </c>
      <c r="AH51" s="45" t="e">
        <f aca="false">$L51*T51</f>
        <v>#VALUE!</v>
      </c>
      <c r="AI51" s="45" t="e">
        <f aca="false">$L51*V51</f>
        <v>#VALUE!</v>
      </c>
      <c r="AK51" s="33"/>
      <c r="AL51" s="45" t="e">
        <f aca="false">$L51*O51</f>
        <v>#VALUE!</v>
      </c>
      <c r="AM51" s="45" t="e">
        <f aca="false">$L51*Q51</f>
        <v>#VALUE!</v>
      </c>
      <c r="AN51" s="45" t="e">
        <f aca="false">$L51*S51</f>
        <v>#VALUE!</v>
      </c>
      <c r="AO51" s="45" t="e">
        <f aca="false">$L51*U51</f>
        <v>#VALUE!</v>
      </c>
      <c r="AP51" s="45" t="e">
        <f aca="false">$L51*W51</f>
        <v>#VALUE!</v>
      </c>
      <c r="AQ51" s="46"/>
      <c r="AR51" s="45"/>
      <c r="AS51" s="46"/>
      <c r="AT51" s="47"/>
      <c r="AU51" s="47"/>
      <c r="AV51" s="47"/>
    </row>
    <row r="52" customFormat="false" ht="12.75" hidden="false" customHeight="false" outlineLevel="0" collapsed="false">
      <c r="A52" s="39" t="n">
        <f aca="false">A51+1</f>
        <v>28</v>
      </c>
      <c r="B52" s="40" t="n">
        <f aca="false">B51</f>
        <v>4.46</v>
      </c>
      <c r="C52" s="41" t="n">
        <f aca="false">B$6</f>
        <v>4.37</v>
      </c>
      <c r="D52" s="41" t="n">
        <f aca="false">C$6</f>
        <v>4.39</v>
      </c>
      <c r="E52" s="4" t="n">
        <f aca="false">B$8</f>
        <v>0.51</v>
      </c>
      <c r="F52" s="4" t="n">
        <f aca="false">C$8</f>
        <v>0.48</v>
      </c>
      <c r="H52" s="4" t="e">
        <f aca="false">H51</f>
        <v>#N/A</v>
      </c>
      <c r="I52" s="42" t="n">
        <f aca="false">I51+1</f>
        <v>36705</v>
      </c>
      <c r="J52" s="42" t="n">
        <f aca="false">IF(K52=6,I52-1,IF(K52=7,I52-2,I52))</f>
        <v>36705</v>
      </c>
      <c r="K52" s="43" t="n">
        <f aca="false">WEEKDAY(I52,2)</f>
        <v>3</v>
      </c>
      <c r="L52" s="43" t="n">
        <f aca="false">IF(I52&gt;B$11,0,IF(M52&lt;1,0,1))</f>
        <v>1</v>
      </c>
      <c r="M52" s="43" t="n">
        <f aca="false">J52-B$12</f>
        <v>7</v>
      </c>
      <c r="N52" s="44" t="e">
        <f aca="false">IF($L52=0,0,bsd(N$23,N$22,$B52,$C52,$M52,$E52,$H52,0.1))</f>
        <v>#VALUE!</v>
      </c>
      <c r="O52" s="44" t="e">
        <f aca="false">IF($L52=0,0,bsd(O$23,O$22,$B52,$D52,$M52,$F52,$H52,0.1))</f>
        <v>#VALUE!</v>
      </c>
      <c r="P52" s="44" t="e">
        <f aca="false">IF($L52=0,0,bsd(P$23,P$22,$B52,$C52,$M52,$E52,$H52,0.1))</f>
        <v>#VALUE!</v>
      </c>
      <c r="Q52" s="44" t="e">
        <f aca="false">IF($L52=0,0,bsd(Q$23,Q$22,$B52,$D52,$M52,$F52,$H52,0.1))</f>
        <v>#VALUE!</v>
      </c>
      <c r="R52" s="44" t="e">
        <f aca="false">IF($L52=0,0,bsd(R$23,R$22,$B52,$C52,$M52,$E52,$H52,0.1))</f>
        <v>#VALUE!</v>
      </c>
      <c r="S52" s="44" t="e">
        <f aca="false">IF($L52=0,0,bsd(S$23,S$22,$B52,$D52,$M52,$F52,$H52,0.1))</f>
        <v>#VALUE!</v>
      </c>
      <c r="T52" s="44" t="e">
        <f aca="false">IF($L52=0,0,bsd(T$23,T$22,$B52,$C52,$M52,$E52,$H52,0.1))</f>
        <v>#VALUE!</v>
      </c>
      <c r="U52" s="44" t="e">
        <f aca="false">IF($L52=0,0,bsd(U$23,U$22,$B52,$D52,$M52,$F52,$H52,0.1))</f>
        <v>#VALUE!</v>
      </c>
      <c r="V52" s="44" t="e">
        <f aca="false">IF($L52=0,0,bsd(V$23,V$22,$B52,$C52,$M52,$E52,$H52,0.1))</f>
        <v>#VALUE!</v>
      </c>
      <c r="W52" s="44" t="e">
        <f aca="false">IF($L52=0,0,bsd(W$23,W$22,$B52,$D52,$M52,$F52,$H52,0.1))</f>
        <v>#VALUE!</v>
      </c>
      <c r="Y52" s="9"/>
      <c r="Z52" s="9"/>
      <c r="AA52" s="39"/>
      <c r="AD52" s="33"/>
      <c r="AE52" s="45" t="e">
        <f aca="false">$L52*N52</f>
        <v>#VALUE!</v>
      </c>
      <c r="AF52" s="45" t="e">
        <f aca="false">$L52*P52</f>
        <v>#VALUE!</v>
      </c>
      <c r="AG52" s="45" t="e">
        <f aca="false">$L52*R52</f>
        <v>#VALUE!</v>
      </c>
      <c r="AH52" s="45" t="e">
        <f aca="false">$L52*T52</f>
        <v>#VALUE!</v>
      </c>
      <c r="AI52" s="45" t="e">
        <f aca="false">$L52*V52</f>
        <v>#VALUE!</v>
      </c>
      <c r="AK52" s="33"/>
      <c r="AL52" s="45" t="e">
        <f aca="false">$L52*O52</f>
        <v>#VALUE!</v>
      </c>
      <c r="AM52" s="45" t="e">
        <f aca="false">$L52*Q52</f>
        <v>#VALUE!</v>
      </c>
      <c r="AN52" s="45" t="e">
        <f aca="false">$L52*S52</f>
        <v>#VALUE!</v>
      </c>
      <c r="AO52" s="45" t="e">
        <f aca="false">$L52*U52</f>
        <v>#VALUE!</v>
      </c>
      <c r="AP52" s="45" t="e">
        <f aca="false">$L52*W52</f>
        <v>#VALUE!</v>
      </c>
      <c r="AQ52" s="46"/>
      <c r="AR52" s="45"/>
      <c r="AS52" s="46"/>
      <c r="AT52" s="47"/>
      <c r="AU52" s="47"/>
      <c r="AV52" s="47"/>
    </row>
    <row r="53" customFormat="false" ht="12.75" hidden="false" customHeight="false" outlineLevel="0" collapsed="false">
      <c r="A53" s="39" t="n">
        <f aca="false">A52+1</f>
        <v>29</v>
      </c>
      <c r="B53" s="40" t="n">
        <f aca="false">B52</f>
        <v>4.46</v>
      </c>
      <c r="C53" s="41" t="n">
        <f aca="false">B$6</f>
        <v>4.37</v>
      </c>
      <c r="D53" s="41" t="n">
        <f aca="false">C$6</f>
        <v>4.39</v>
      </c>
      <c r="E53" s="4" t="n">
        <f aca="false">B$8</f>
        <v>0.51</v>
      </c>
      <c r="F53" s="4" t="n">
        <f aca="false">C$8</f>
        <v>0.48</v>
      </c>
      <c r="H53" s="4" t="e">
        <f aca="false">H52</f>
        <v>#N/A</v>
      </c>
      <c r="I53" s="42" t="n">
        <f aca="false">I52+1</f>
        <v>36706</v>
      </c>
      <c r="J53" s="42" t="n">
        <f aca="false">IF(K53=6,I53-1,IF(K53=7,I53-2,I53))</f>
        <v>36706</v>
      </c>
      <c r="K53" s="43" t="n">
        <f aca="false">WEEKDAY(I53,2)</f>
        <v>4</v>
      </c>
      <c r="L53" s="43" t="n">
        <f aca="false">IF(I53&gt;B$11,0,IF(M53&lt;1,0,1))</f>
        <v>1</v>
      </c>
      <c r="M53" s="43" t="n">
        <f aca="false">J53-B$12</f>
        <v>8</v>
      </c>
      <c r="N53" s="44" t="e">
        <f aca="false">IF($L53=0,0,bsd(N$23,N$22,$B53,$C53,$M53,$E53,$H53,0.1))</f>
        <v>#VALUE!</v>
      </c>
      <c r="O53" s="44" t="e">
        <f aca="false">IF($L53=0,0,bsd(O$23,O$22,$B53,$D53,$M53,$F53,$H53,0.1))</f>
        <v>#VALUE!</v>
      </c>
      <c r="P53" s="44" t="e">
        <f aca="false">IF($L53=0,0,bsd(P$23,P$22,$B53,$C53,$M53,$E53,$H53,0.1))</f>
        <v>#VALUE!</v>
      </c>
      <c r="Q53" s="44" t="e">
        <f aca="false">IF($L53=0,0,bsd(Q$23,Q$22,$B53,$D53,$M53,$F53,$H53,0.1))</f>
        <v>#VALUE!</v>
      </c>
      <c r="R53" s="44" t="e">
        <f aca="false">IF($L53=0,0,bsd(R$23,R$22,$B53,$C53,$M53,$E53,$H53,0.1))</f>
        <v>#VALUE!</v>
      </c>
      <c r="S53" s="44" t="e">
        <f aca="false">IF($L53=0,0,bsd(S$23,S$22,$B53,$D53,$M53,$F53,$H53,0.1))</f>
        <v>#VALUE!</v>
      </c>
      <c r="T53" s="44" t="e">
        <f aca="false">IF($L53=0,0,bsd(T$23,T$22,$B53,$C53,$M53,$E53,$H53,0.1))</f>
        <v>#VALUE!</v>
      </c>
      <c r="U53" s="44" t="e">
        <f aca="false">IF($L53=0,0,bsd(U$23,U$22,$B53,$D53,$M53,$F53,$H53,0.1))</f>
        <v>#VALUE!</v>
      </c>
      <c r="V53" s="44" t="e">
        <f aca="false">IF($L53=0,0,bsd(V$23,V$22,$B53,$C53,$M53,$E53,$H53,0.1))</f>
        <v>#VALUE!</v>
      </c>
      <c r="W53" s="44" t="e">
        <f aca="false">IF($L53=0,0,bsd(W$23,W$22,$B53,$D53,$M53,$F53,$H53,0.1))</f>
        <v>#VALUE!</v>
      </c>
      <c r="Y53" s="9"/>
      <c r="Z53" s="9"/>
      <c r="AA53" s="39"/>
      <c r="AD53" s="33"/>
      <c r="AE53" s="45" t="e">
        <f aca="false">$L53*N53</f>
        <v>#VALUE!</v>
      </c>
      <c r="AF53" s="45" t="e">
        <f aca="false">$L53*P53</f>
        <v>#VALUE!</v>
      </c>
      <c r="AG53" s="45" t="e">
        <f aca="false">$L53*R53</f>
        <v>#VALUE!</v>
      </c>
      <c r="AH53" s="45" t="e">
        <f aca="false">$L53*T53</f>
        <v>#VALUE!</v>
      </c>
      <c r="AI53" s="45" t="e">
        <f aca="false">$L53*V53</f>
        <v>#VALUE!</v>
      </c>
      <c r="AK53" s="33"/>
      <c r="AL53" s="45" t="e">
        <f aca="false">$L53*O53</f>
        <v>#VALUE!</v>
      </c>
      <c r="AM53" s="45" t="e">
        <f aca="false">$L53*Q53</f>
        <v>#VALUE!</v>
      </c>
      <c r="AN53" s="45" t="e">
        <f aca="false">$L53*S53</f>
        <v>#VALUE!</v>
      </c>
      <c r="AO53" s="45" t="e">
        <f aca="false">$L53*U53</f>
        <v>#VALUE!</v>
      </c>
      <c r="AP53" s="45" t="e">
        <f aca="false">$L53*W53</f>
        <v>#VALUE!</v>
      </c>
      <c r="AQ53" s="46"/>
      <c r="AR53" s="45"/>
      <c r="AS53" s="46"/>
      <c r="AT53" s="47"/>
      <c r="AU53" s="47"/>
      <c r="AV53" s="47"/>
    </row>
    <row r="54" customFormat="false" ht="12.75" hidden="false" customHeight="false" outlineLevel="0" collapsed="false">
      <c r="A54" s="39" t="n">
        <f aca="false">A53+1</f>
        <v>30</v>
      </c>
      <c r="B54" s="40" t="n">
        <f aca="false">B53</f>
        <v>4.46</v>
      </c>
      <c r="C54" s="41" t="n">
        <f aca="false">B$6</f>
        <v>4.37</v>
      </c>
      <c r="D54" s="41" t="n">
        <f aca="false">C$6</f>
        <v>4.39</v>
      </c>
      <c r="E54" s="4" t="n">
        <f aca="false">B$8</f>
        <v>0.51</v>
      </c>
      <c r="F54" s="4" t="n">
        <f aca="false">C$8</f>
        <v>0.48</v>
      </c>
      <c r="H54" s="4" t="e">
        <f aca="false">H53</f>
        <v>#N/A</v>
      </c>
      <c r="I54" s="42" t="n">
        <f aca="false">I53+1</f>
        <v>36707</v>
      </c>
      <c r="J54" s="42" t="n">
        <f aca="false">IF(K54=6,I54-1,IF(K54=7,I54-2,I54))</f>
        <v>36707</v>
      </c>
      <c r="K54" s="43" t="n">
        <f aca="false">WEEKDAY(I54,2)</f>
        <v>5</v>
      </c>
      <c r="L54" s="43" t="n">
        <f aca="false">IF(I54&gt;B$11,0,IF(M54&lt;1,0,1))</f>
        <v>1</v>
      </c>
      <c r="M54" s="43" t="n">
        <f aca="false">J54-B$12</f>
        <v>9</v>
      </c>
      <c r="N54" s="44" t="e">
        <f aca="false">IF($L54=0,0,bsd(N$23,N$22,$B54,$C54,$M54,$E54,$H54,0.1))</f>
        <v>#VALUE!</v>
      </c>
      <c r="O54" s="44" t="e">
        <f aca="false">IF($L54=0,0,bsd(O$23,O$22,$B54,$D54,$M54,$F54,$H54,0.1))</f>
        <v>#VALUE!</v>
      </c>
      <c r="P54" s="44" t="e">
        <f aca="false">IF($L54=0,0,bsd(P$23,P$22,$B54,$C54,$M54,$E54,$H54,0.1))</f>
        <v>#VALUE!</v>
      </c>
      <c r="Q54" s="44" t="e">
        <f aca="false">IF($L54=0,0,bsd(Q$23,Q$22,$B54,$D54,$M54,$F54,$H54,0.1))</f>
        <v>#VALUE!</v>
      </c>
      <c r="R54" s="44" t="e">
        <f aca="false">IF($L54=0,0,bsd(R$23,R$22,$B54,$C54,$M54,$E54,$H54,0.1))</f>
        <v>#VALUE!</v>
      </c>
      <c r="S54" s="44" t="e">
        <f aca="false">IF($L54=0,0,bsd(S$23,S$22,$B54,$D54,$M54,$F54,$H54,0.1))</f>
        <v>#VALUE!</v>
      </c>
      <c r="T54" s="44" t="e">
        <f aca="false">IF($L54=0,0,bsd(T$23,T$22,$B54,$C54,$M54,$E54,$H54,0.1))</f>
        <v>#VALUE!</v>
      </c>
      <c r="U54" s="44" t="e">
        <f aca="false">IF($L54=0,0,bsd(U$23,U$22,$B54,$D54,$M54,$F54,$H54,0.1))</f>
        <v>#VALUE!</v>
      </c>
      <c r="V54" s="44" t="e">
        <f aca="false">IF($L54=0,0,bsd(V$23,V$22,$B54,$C54,$M54,$E54,$H54,0.1))</f>
        <v>#VALUE!</v>
      </c>
      <c r="W54" s="44" t="e">
        <f aca="false">IF($L54=0,0,bsd(W$23,W$22,$B54,$D54,$M54,$F54,$H54,0.1))</f>
        <v>#VALUE!</v>
      </c>
      <c r="Y54" s="9"/>
      <c r="Z54" s="9"/>
      <c r="AA54" s="39"/>
      <c r="AD54" s="33"/>
      <c r="AE54" s="45" t="e">
        <f aca="false">$L54*N54</f>
        <v>#VALUE!</v>
      </c>
      <c r="AF54" s="45" t="e">
        <f aca="false">$L54*P54</f>
        <v>#VALUE!</v>
      </c>
      <c r="AG54" s="45" t="e">
        <f aca="false">$L54*R54</f>
        <v>#VALUE!</v>
      </c>
      <c r="AH54" s="45" t="e">
        <f aca="false">$L54*T54</f>
        <v>#VALUE!</v>
      </c>
      <c r="AI54" s="45" t="e">
        <f aca="false">$L54*V54</f>
        <v>#VALUE!</v>
      </c>
      <c r="AK54" s="33"/>
      <c r="AL54" s="45" t="e">
        <f aca="false">$L54*O54</f>
        <v>#VALUE!</v>
      </c>
      <c r="AM54" s="45" t="e">
        <f aca="false">$L54*Q54</f>
        <v>#VALUE!</v>
      </c>
      <c r="AN54" s="45" t="e">
        <f aca="false">$L54*S54</f>
        <v>#VALUE!</v>
      </c>
      <c r="AO54" s="45" t="e">
        <f aca="false">$L54*U54</f>
        <v>#VALUE!</v>
      </c>
      <c r="AP54" s="45" t="e">
        <f aca="false">$L54*W54</f>
        <v>#VALUE!</v>
      </c>
      <c r="AQ54" s="46"/>
      <c r="AR54" s="45"/>
      <c r="AS54" s="46"/>
      <c r="AT54" s="47"/>
      <c r="AU54" s="47"/>
      <c r="AV54" s="47"/>
    </row>
    <row r="55" customFormat="false" ht="12.75" hidden="false" customHeight="false" outlineLevel="0" collapsed="false">
      <c r="A55" s="39" t="n">
        <f aca="false">A54+1</f>
        <v>31</v>
      </c>
      <c r="B55" s="40" t="n">
        <f aca="false">B54</f>
        <v>4.46</v>
      </c>
      <c r="C55" s="41" t="n">
        <f aca="false">B$6</f>
        <v>4.37</v>
      </c>
      <c r="D55" s="41" t="n">
        <f aca="false">C$6</f>
        <v>4.39</v>
      </c>
      <c r="E55" s="4" t="n">
        <f aca="false">B$8</f>
        <v>0.51</v>
      </c>
      <c r="F55" s="4" t="n">
        <f aca="false">C$8</f>
        <v>0.48</v>
      </c>
      <c r="H55" s="4" t="e">
        <f aca="false">H54</f>
        <v>#N/A</v>
      </c>
      <c r="I55" s="42" t="n">
        <f aca="false">I54+1</f>
        <v>36708</v>
      </c>
      <c r="J55" s="42" t="n">
        <f aca="false">IF(K55=6,I55-1,IF(K55=7,I55-2,I55))</f>
        <v>36707</v>
      </c>
      <c r="K55" s="43" t="n">
        <f aca="false">WEEKDAY(I55,2)</f>
        <v>6</v>
      </c>
      <c r="L55" s="43" t="n">
        <f aca="false">IF(I55&gt;B$11,0,IF(M55&lt;1,0,1))</f>
        <v>0</v>
      </c>
      <c r="M55" s="43" t="n">
        <f aca="false">J55-B$12</f>
        <v>9</v>
      </c>
      <c r="N55" s="44" t="n">
        <f aca="false">IF($L55=0,0,bsd(N$23,N$22,$B55,$C55,$M55,$E55,$H55,0.1))</f>
        <v>0</v>
      </c>
      <c r="O55" s="44" t="n">
        <f aca="false">IF($L55=0,0,bsd(O$23,O$22,$B55,$D55,$M55,$F55,$H55,0.1))</f>
        <v>0</v>
      </c>
      <c r="P55" s="44" t="n">
        <f aca="false">IF($L55=0,0,bsd(P$23,P$22,$B55,$C55,$M55,$E55,$H55,0.1))</f>
        <v>0</v>
      </c>
      <c r="Q55" s="44" t="n">
        <f aca="false">IF($L55=0,0,bsd(Q$23,Q$22,$B55,$D55,$M55,$F55,$H55,0.1))</f>
        <v>0</v>
      </c>
      <c r="R55" s="44" t="n">
        <f aca="false">IF($L55=0,0,bsd(R$23,R$22,$B55,$C55,$M55,$E55,$H55,0.1))</f>
        <v>0</v>
      </c>
      <c r="S55" s="44" t="n">
        <f aca="false">IF($L55=0,0,bsd(S$23,S$22,$B55,$D55,$M55,$F55,$H55,0.1))</f>
        <v>0</v>
      </c>
      <c r="T55" s="44" t="n">
        <f aca="false">IF($L55=0,0,bsd(T$23,T$22,$B55,$C55,$M55,$E55,$H55,0.1))</f>
        <v>0</v>
      </c>
      <c r="U55" s="44" t="n">
        <f aca="false">IF($L55=0,0,bsd(U$23,U$22,$B55,$D55,$M55,$F55,$H55,0.1))</f>
        <v>0</v>
      </c>
      <c r="V55" s="44" t="n">
        <f aca="false">IF($L55=0,0,bsd(V$23,V$22,$B55,$C55,$M55,$E55,$H55,0.1))</f>
        <v>0</v>
      </c>
      <c r="W55" s="44" t="n">
        <f aca="false">IF($L55=0,0,bsd(W$23,W$22,$B55,$D55,$M55,$F55,$H55,0.1))</f>
        <v>0</v>
      </c>
      <c r="Y55" s="9"/>
      <c r="Z55" s="9"/>
      <c r="AA55" s="39"/>
      <c r="AD55" s="33"/>
      <c r="AE55" s="45" t="n">
        <f aca="false">$L55*N55</f>
        <v>0</v>
      </c>
      <c r="AF55" s="45" t="n">
        <f aca="false">$L55*P55</f>
        <v>0</v>
      </c>
      <c r="AG55" s="45" t="n">
        <f aca="false">$L55*R55</f>
        <v>0</v>
      </c>
      <c r="AH55" s="45" t="n">
        <f aca="false">$L55*T55</f>
        <v>0</v>
      </c>
      <c r="AI55" s="45" t="n">
        <f aca="false">$L55*V55</f>
        <v>0</v>
      </c>
      <c r="AK55" s="33"/>
      <c r="AL55" s="45" t="n">
        <f aca="false">$L55*O55</f>
        <v>0</v>
      </c>
      <c r="AM55" s="45" t="n">
        <f aca="false">$L55*Q55</f>
        <v>0</v>
      </c>
      <c r="AN55" s="45" t="n">
        <f aca="false">$L55*S55</f>
        <v>0</v>
      </c>
      <c r="AO55" s="45" t="n">
        <f aca="false">$L55*U55</f>
        <v>0</v>
      </c>
      <c r="AP55" s="45" t="n">
        <f aca="false">$L55*W55</f>
        <v>0</v>
      </c>
      <c r="AQ55" s="46"/>
      <c r="AR55" s="45"/>
      <c r="AS55" s="46"/>
      <c r="AT55" s="47"/>
      <c r="AU55" s="47"/>
      <c r="AV55" s="47"/>
    </row>
    <row r="56" customFormat="false" ht="12.75" hidden="false" customHeight="false" outlineLevel="0" collapsed="false">
      <c r="A56" s="48" t="n">
        <f aca="false">DATE(YEAR(A55),MONTH(A55)+1,1)</f>
        <v>33</v>
      </c>
      <c r="B56" s="49"/>
      <c r="C56" s="50"/>
      <c r="E56" s="46"/>
      <c r="F56" s="46"/>
      <c r="G56" s="4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1"/>
      <c r="Z56" s="10"/>
      <c r="AA56" s="11"/>
      <c r="AB56" s="10"/>
    </row>
    <row r="57" customFormat="false" ht="12.75" hidden="false" customHeight="false" outlineLevel="0" collapsed="false">
      <c r="A57" s="51"/>
      <c r="B57" s="49"/>
      <c r="C57" s="50"/>
      <c r="E57" s="46"/>
      <c r="F57" s="46"/>
      <c r="G57" s="46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1"/>
      <c r="Z57" s="10"/>
      <c r="AA57" s="11"/>
      <c r="AB57" s="10"/>
    </row>
    <row r="58" customFormat="false" ht="12.75" hidden="false" customHeight="false" outlineLevel="0" collapsed="false">
      <c r="A58" s="51"/>
      <c r="B58" s="49"/>
      <c r="C58" s="50"/>
      <c r="E58" s="46"/>
      <c r="F58" s="46"/>
      <c r="G58" s="46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1"/>
      <c r="Z58" s="10"/>
      <c r="AA58" s="11"/>
      <c r="AB58" s="10"/>
    </row>
    <row r="59" customFormat="false" ht="12.75" hidden="false" customHeight="false" outlineLevel="0" collapsed="false">
      <c r="A59" s="51"/>
      <c r="B59" s="49"/>
      <c r="C59" s="50"/>
      <c r="E59" s="46"/>
      <c r="F59" s="46"/>
      <c r="G59" s="46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1"/>
      <c r="Z59" s="10"/>
      <c r="AA59" s="11"/>
      <c r="AB59" s="10"/>
    </row>
    <row r="60" customFormat="false" ht="12.75" hidden="false" customHeight="false" outlineLevel="0" collapsed="false">
      <c r="A60" s="51"/>
      <c r="B60" s="49"/>
      <c r="C60" s="50"/>
      <c r="E60" s="46"/>
      <c r="F60" s="46"/>
      <c r="G60" s="4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1"/>
      <c r="Z60" s="10"/>
      <c r="AA60" s="11"/>
      <c r="AB60" s="10"/>
    </row>
    <row r="61" customFormat="false" ht="12.75" hidden="false" customHeight="false" outlineLevel="0" collapsed="false">
      <c r="A61" s="51"/>
      <c r="B61" s="49"/>
      <c r="C61" s="50"/>
      <c r="E61" s="46"/>
      <c r="F61" s="46"/>
      <c r="G61" s="4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1"/>
      <c r="Z61" s="10"/>
      <c r="AA61" s="11"/>
      <c r="AB61" s="10"/>
    </row>
    <row r="62" customFormat="false" ht="12.75" hidden="false" customHeight="false" outlineLevel="0" collapsed="false">
      <c r="A62" s="51"/>
      <c r="B62" s="49"/>
      <c r="C62" s="50"/>
      <c r="E62" s="46"/>
      <c r="F62" s="46"/>
      <c r="G62" s="4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1"/>
      <c r="Z62" s="10"/>
      <c r="AA62" s="11"/>
      <c r="AB62" s="10"/>
    </row>
    <row r="63" customFormat="false" ht="12.75" hidden="false" customHeight="false" outlineLevel="0" collapsed="false">
      <c r="A63" s="51"/>
      <c r="B63" s="49"/>
      <c r="C63" s="50"/>
      <c r="E63" s="46"/>
      <c r="F63" s="46"/>
      <c r="G63" s="4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1"/>
      <c r="Z63" s="10"/>
      <c r="AA63" s="11"/>
      <c r="AB63" s="10"/>
    </row>
    <row r="64" customFormat="false" ht="12.75" hidden="false" customHeight="false" outlineLevel="0" collapsed="false">
      <c r="A64" s="51"/>
      <c r="B64" s="49"/>
      <c r="C64" s="50"/>
      <c r="E64" s="46"/>
      <c r="F64" s="46"/>
      <c r="G64" s="4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1"/>
      <c r="Z64" s="10"/>
      <c r="AA64" s="11"/>
      <c r="AB64" s="10"/>
    </row>
    <row r="65" customFormat="false" ht="12.75" hidden="false" customHeight="false" outlineLevel="0" collapsed="false">
      <c r="A65" s="51"/>
      <c r="B65" s="49"/>
      <c r="C65" s="50"/>
      <c r="E65" s="46"/>
      <c r="F65" s="46"/>
      <c r="G65" s="4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 t="s">
        <v>23</v>
      </c>
      <c r="S65" s="10"/>
      <c r="T65" s="10"/>
      <c r="U65" s="10"/>
      <c r="V65" s="10"/>
      <c r="W65" s="10"/>
      <c r="X65" s="10"/>
      <c r="Y65" s="11"/>
      <c r="Z65" s="10"/>
      <c r="AA65" s="11"/>
      <c r="AB65" s="10"/>
    </row>
    <row r="66" customFormat="false" ht="12.75" hidden="false" customHeight="false" outlineLevel="0" collapsed="false">
      <c r="A66" s="51"/>
      <c r="B66" s="49"/>
      <c r="C66" s="50"/>
      <c r="E66" s="46"/>
      <c r="F66" s="46"/>
      <c r="G66" s="4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 t="s">
        <v>24</v>
      </c>
      <c r="S66" s="10"/>
      <c r="T66" s="10"/>
      <c r="U66" s="10"/>
      <c r="V66" s="10"/>
      <c r="W66" s="10"/>
      <c r="X66" s="10"/>
      <c r="Y66" s="11"/>
      <c r="Z66" s="10"/>
      <c r="AA66" s="11"/>
      <c r="AB66" s="10"/>
    </row>
    <row r="67" customFormat="false" ht="12.75" hidden="false" customHeight="false" outlineLevel="0" collapsed="false">
      <c r="A67" s="52"/>
      <c r="E67" s="22"/>
      <c r="F67" s="22"/>
      <c r="G67" s="2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1"/>
      <c r="Z67" s="10"/>
      <c r="AA67" s="11"/>
      <c r="AB67" s="10"/>
    </row>
    <row r="68" customFormat="false" ht="12.75" hidden="false" customHeight="false" outlineLevel="0" collapsed="false">
      <c r="A68" s="51"/>
      <c r="B68" s="49"/>
      <c r="C68" s="50"/>
      <c r="E68" s="46"/>
      <c r="F68" s="46"/>
      <c r="G68" s="4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1"/>
      <c r="Z68" s="10"/>
      <c r="AA68" s="11"/>
      <c r="AB68" s="10"/>
    </row>
    <row r="69" customFormat="false" ht="12.75" hidden="false" customHeight="false" outlineLevel="0" collapsed="false">
      <c r="B69" s="51"/>
      <c r="C69" s="53"/>
      <c r="D69" s="54"/>
      <c r="E69" s="55"/>
      <c r="F69" s="55"/>
      <c r="G69" s="55"/>
      <c r="H69" s="55"/>
      <c r="I69" s="55"/>
      <c r="J69" s="55"/>
      <c r="K69" s="5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1"/>
      <c r="Z69" s="10"/>
      <c r="AA69" s="11"/>
      <c r="AB69" s="10"/>
    </row>
    <row r="70" customFormat="false" ht="12.75" hidden="false" customHeight="false" outlineLevel="0" collapsed="false">
      <c r="B70" s="51"/>
      <c r="C70" s="53"/>
      <c r="D70" s="54"/>
      <c r="E70" s="55"/>
      <c r="F70" s="55"/>
      <c r="G70" s="55"/>
      <c r="H70" s="55"/>
      <c r="I70" s="55"/>
      <c r="J70" s="55"/>
      <c r="K70" s="5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1"/>
      <c r="Z70" s="10"/>
      <c r="AA70" s="11"/>
      <c r="AB70" s="10"/>
    </row>
    <row r="71" customFormat="false" ht="12.75" hidden="false" customHeight="false" outlineLevel="0" collapsed="false">
      <c r="B71" s="51"/>
      <c r="C71" s="53"/>
      <c r="D71" s="54"/>
      <c r="E71" s="55"/>
      <c r="F71" s="55"/>
      <c r="G71" s="55"/>
      <c r="H71" s="55"/>
      <c r="I71" s="55"/>
      <c r="J71" s="55"/>
      <c r="K71" s="5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1"/>
      <c r="Z71" s="10"/>
      <c r="AA71" s="11"/>
      <c r="AB71" s="10"/>
    </row>
    <row r="72" customFormat="false" ht="12.75" hidden="false" customHeight="false" outlineLevel="0" collapsed="false">
      <c r="B72" s="51"/>
      <c r="C72" s="53"/>
      <c r="D72" s="54"/>
      <c r="E72" s="55"/>
      <c r="F72" s="55"/>
      <c r="G72" s="55"/>
      <c r="H72" s="55"/>
      <c r="I72" s="55"/>
      <c r="J72" s="55"/>
      <c r="K72" s="55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1"/>
      <c r="Z72" s="10"/>
      <c r="AA72" s="11"/>
      <c r="AB72" s="10"/>
    </row>
    <row r="73" customFormat="false" ht="12.75" hidden="false" customHeight="false" outlineLevel="0" collapsed="false">
      <c r="B73" s="51"/>
      <c r="C73" s="53"/>
      <c r="D73" s="54"/>
      <c r="E73" s="55"/>
      <c r="F73" s="55"/>
      <c r="G73" s="55"/>
      <c r="H73" s="55"/>
      <c r="I73" s="55"/>
      <c r="J73" s="55"/>
      <c r="K73" s="55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1"/>
      <c r="Z73" s="10"/>
      <c r="AA73" s="11"/>
      <c r="AB73" s="10"/>
    </row>
    <row r="74" customFormat="false" ht="12.75" hidden="false" customHeight="false" outlineLevel="0" collapsed="false">
      <c r="B74" s="51"/>
      <c r="C74" s="53"/>
      <c r="D74" s="54"/>
      <c r="E74" s="55"/>
      <c r="F74" s="55"/>
      <c r="G74" s="55"/>
      <c r="H74" s="55"/>
      <c r="I74" s="55"/>
      <c r="J74" s="55"/>
      <c r="K74" s="55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1"/>
      <c r="Z74" s="10"/>
      <c r="AA74" s="11"/>
      <c r="AB74" s="10"/>
    </row>
    <row r="75" customFormat="false" ht="12.75" hidden="false" customHeight="false" outlineLevel="0" collapsed="false">
      <c r="B75" s="51"/>
      <c r="C75" s="53"/>
      <c r="D75" s="54"/>
      <c r="E75" s="55"/>
      <c r="F75" s="55"/>
      <c r="G75" s="55"/>
      <c r="H75" s="55"/>
      <c r="I75" s="55"/>
      <c r="J75" s="55"/>
      <c r="K75" s="55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1"/>
      <c r="Z75" s="10"/>
      <c r="AA75" s="11"/>
      <c r="AB75" s="10"/>
    </row>
    <row r="76" customFormat="false" ht="12.75" hidden="false" customHeight="false" outlineLevel="0" collapsed="false">
      <c r="B76" s="51"/>
      <c r="C76" s="53"/>
      <c r="D76" s="54"/>
      <c r="E76" s="55"/>
      <c r="F76" s="55"/>
      <c r="G76" s="55"/>
      <c r="H76" s="55"/>
      <c r="I76" s="55"/>
      <c r="J76" s="55"/>
      <c r="K76" s="55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1"/>
      <c r="Z76" s="10"/>
      <c r="AA76" s="11"/>
      <c r="AB76" s="10"/>
    </row>
    <row r="77" customFormat="false" ht="12.75" hidden="false" customHeight="false" outlineLevel="0" collapsed="false">
      <c r="B77" s="51"/>
      <c r="C77" s="53"/>
      <c r="D77" s="54"/>
      <c r="E77" s="55"/>
      <c r="F77" s="55"/>
      <c r="G77" s="55"/>
      <c r="H77" s="55"/>
      <c r="I77" s="55"/>
      <c r="J77" s="55"/>
      <c r="K77" s="5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1"/>
      <c r="Z77" s="10"/>
      <c r="AA77" s="11"/>
      <c r="AB77" s="10"/>
    </row>
    <row r="78" customFormat="false" ht="12.75" hidden="false" customHeight="false" outlineLevel="0" collapsed="false">
      <c r="B78" s="51"/>
      <c r="C78" s="53"/>
      <c r="D78" s="54"/>
      <c r="E78" s="55"/>
      <c r="F78" s="55"/>
      <c r="G78" s="55"/>
      <c r="H78" s="55"/>
      <c r="I78" s="55"/>
      <c r="J78" s="55"/>
      <c r="K78" s="55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1"/>
      <c r="Z78" s="10"/>
      <c r="AA78" s="11"/>
      <c r="AB78" s="10"/>
    </row>
    <row r="79" customFormat="false" ht="12.75" hidden="false" customHeight="false" outlineLevel="0" collapsed="false">
      <c r="B79" s="51"/>
      <c r="C79" s="53"/>
      <c r="D79" s="54"/>
      <c r="E79" s="55"/>
      <c r="F79" s="55"/>
      <c r="G79" s="55"/>
      <c r="H79" s="55"/>
      <c r="I79" s="55"/>
      <c r="J79" s="55"/>
      <c r="K79" s="55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1"/>
      <c r="Z79" s="10"/>
      <c r="AA79" s="11"/>
      <c r="AB79" s="10"/>
    </row>
    <row r="80" customFormat="false" ht="12.75" hidden="false" customHeight="false" outlineLevel="0" collapsed="false">
      <c r="B80" s="51"/>
      <c r="C80" s="53"/>
      <c r="D80" s="54"/>
      <c r="E80" s="55"/>
      <c r="F80" s="55"/>
      <c r="G80" s="55"/>
      <c r="H80" s="55"/>
      <c r="I80" s="55"/>
      <c r="J80" s="55"/>
      <c r="K80" s="55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1"/>
      <c r="Z80" s="10"/>
      <c r="AA80" s="11"/>
      <c r="AB80" s="10"/>
    </row>
    <row r="81" customFormat="false" ht="13.5" hidden="false" customHeight="false" outlineLevel="0" collapsed="false">
      <c r="B81" s="51"/>
      <c r="C81" s="53"/>
      <c r="D81" s="56"/>
      <c r="E81" s="55"/>
      <c r="F81" s="55"/>
      <c r="G81" s="55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1"/>
      <c r="Z81" s="10"/>
      <c r="AA81" s="11"/>
      <c r="AB81" s="10"/>
    </row>
    <row r="82" customFormat="false" ht="12.75" hidden="false" customHeight="false" outlineLevel="0" collapsed="false">
      <c r="B82" s="51"/>
      <c r="C82" s="53"/>
      <c r="D82" s="57"/>
      <c r="E82" s="55"/>
      <c r="F82" s="55"/>
      <c r="G82" s="55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1"/>
      <c r="Z82" s="10"/>
      <c r="AA82" s="11"/>
      <c r="AB82" s="10"/>
    </row>
    <row r="83" customFormat="false" ht="13.5" hidden="false" customHeight="false" outlineLevel="0" collapsed="false">
      <c r="B83" s="51"/>
      <c r="C83" s="53"/>
      <c r="D83" s="58"/>
      <c r="E83" s="55"/>
      <c r="F83" s="55"/>
      <c r="G83" s="55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1"/>
      <c r="Z83" s="10"/>
      <c r="AA83" s="11"/>
      <c r="AB83" s="10"/>
    </row>
    <row r="84" customFormat="false" ht="13.5" hidden="false" customHeight="false" outlineLevel="0" collapsed="false">
      <c r="B84" s="51"/>
      <c r="C84" s="53"/>
      <c r="D84" s="58"/>
      <c r="E84" s="55"/>
      <c r="F84" s="55"/>
      <c r="G84" s="55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1"/>
      <c r="Z84" s="10"/>
      <c r="AA84" s="11"/>
      <c r="AB84" s="10"/>
    </row>
    <row r="85" customFormat="false" ht="12.75" hidden="false" customHeight="false" outlineLevel="0" collapsed="false">
      <c r="B85" s="51"/>
      <c r="C85" s="53"/>
      <c r="D85" s="59"/>
      <c r="E85" s="55"/>
      <c r="F85" s="55"/>
      <c r="G85" s="55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1"/>
      <c r="Z85" s="10"/>
      <c r="AA85" s="11"/>
      <c r="AB85" s="10"/>
    </row>
    <row r="86" customFormat="false" ht="12.75" hidden="false" customHeight="false" outlineLevel="0" collapsed="false">
      <c r="B86" s="51"/>
      <c r="C86" s="53"/>
      <c r="D86" s="59"/>
      <c r="E86" s="55"/>
      <c r="F86" s="55"/>
      <c r="G86" s="55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1"/>
      <c r="Z86" s="10"/>
      <c r="AA86" s="11"/>
      <c r="AB86" s="10"/>
    </row>
    <row r="87" customFormat="false" ht="12.75" hidden="false" customHeight="false" outlineLevel="0" collapsed="false">
      <c r="B87" s="51"/>
      <c r="C87" s="53"/>
      <c r="D87" s="59"/>
      <c r="E87" s="55"/>
      <c r="F87" s="55"/>
      <c r="G87" s="55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1"/>
      <c r="Z87" s="10"/>
      <c r="AA87" s="11"/>
      <c r="AB87" s="10"/>
    </row>
    <row r="88" customFormat="false" ht="12.75" hidden="false" customHeight="false" outlineLevel="0" collapsed="false">
      <c r="B88" s="51"/>
      <c r="C88" s="53"/>
      <c r="D88" s="59"/>
      <c r="E88" s="55"/>
      <c r="F88" s="55"/>
      <c r="G88" s="55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1"/>
      <c r="Z88" s="10"/>
      <c r="AA88" s="11"/>
      <c r="AB88" s="10"/>
    </row>
    <row r="89" customFormat="false" ht="12.75" hidden="false" customHeight="false" outlineLevel="0" collapsed="false">
      <c r="B89" s="51"/>
      <c r="C89" s="53"/>
      <c r="D89" s="59"/>
      <c r="E89" s="55"/>
      <c r="F89" s="55"/>
      <c r="G89" s="55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1"/>
      <c r="Z89" s="10"/>
      <c r="AA89" s="11"/>
      <c r="AB89" s="10"/>
    </row>
    <row r="90" customFormat="false" ht="12.75" hidden="false" customHeight="false" outlineLevel="0" collapsed="false">
      <c r="B90" s="51"/>
      <c r="C90" s="53"/>
      <c r="D90" s="59"/>
      <c r="E90" s="55"/>
      <c r="F90" s="55"/>
      <c r="G90" s="5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1"/>
      <c r="Z90" s="10"/>
      <c r="AA90" s="11"/>
      <c r="AB90" s="10"/>
    </row>
    <row r="91" customFormat="false" ht="12.75" hidden="false" customHeight="false" outlineLevel="0" collapsed="false">
      <c r="B91" s="51"/>
      <c r="C91" s="53"/>
      <c r="D91" s="59"/>
      <c r="E91" s="55"/>
      <c r="F91" s="55"/>
      <c r="G91" s="55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1"/>
      <c r="Z91" s="10"/>
      <c r="AA91" s="11"/>
      <c r="AB91" s="10"/>
    </row>
    <row r="92" customFormat="false" ht="12.75" hidden="false" customHeight="false" outlineLevel="0" collapsed="false">
      <c r="B92" s="51"/>
      <c r="C92" s="53"/>
      <c r="D92" s="59"/>
      <c r="E92" s="55"/>
      <c r="F92" s="55"/>
      <c r="G92" s="55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1"/>
      <c r="Z92" s="10"/>
      <c r="AA92" s="11"/>
      <c r="AB92" s="10"/>
    </row>
    <row r="93" customFormat="false" ht="12.75" hidden="false" customHeight="false" outlineLevel="0" collapsed="false">
      <c r="B93" s="51"/>
      <c r="C93" s="53"/>
      <c r="D93" s="59"/>
      <c r="E93" s="55"/>
      <c r="F93" s="55"/>
      <c r="G93" s="55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1"/>
      <c r="Z93" s="10"/>
      <c r="AA93" s="11"/>
      <c r="AB93" s="10"/>
    </row>
    <row r="94" customFormat="false" ht="12.75" hidden="false" customHeight="false" outlineLevel="0" collapsed="false">
      <c r="B94" s="51"/>
      <c r="C94" s="53"/>
      <c r="D94" s="59"/>
      <c r="E94" s="55"/>
      <c r="F94" s="55"/>
      <c r="G94" s="55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1"/>
      <c r="Z94" s="10"/>
      <c r="AA94" s="11"/>
      <c r="AB94" s="10"/>
    </row>
    <row r="95" customFormat="false" ht="12.75" hidden="false" customHeight="false" outlineLevel="0" collapsed="false">
      <c r="B95" s="51"/>
      <c r="C95" s="53"/>
      <c r="D95" s="59"/>
      <c r="E95" s="55"/>
      <c r="F95" s="55"/>
      <c r="G95" s="55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1"/>
      <c r="Z95" s="10"/>
      <c r="AA95" s="11"/>
      <c r="AB95" s="10"/>
    </row>
    <row r="96" customFormat="false" ht="12.75" hidden="false" customHeight="false" outlineLevel="0" collapsed="false">
      <c r="B96" s="51"/>
      <c r="C96" s="53"/>
      <c r="D96" s="59"/>
      <c r="E96" s="55"/>
      <c r="F96" s="55"/>
      <c r="G96" s="55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1"/>
      <c r="Z96" s="10"/>
      <c r="AA96" s="11"/>
      <c r="AB96" s="10"/>
    </row>
    <row r="97" customFormat="false" ht="12.75" hidden="false" customHeight="false" outlineLevel="0" collapsed="false">
      <c r="B97" s="51"/>
      <c r="C97" s="53"/>
      <c r="D97" s="59"/>
      <c r="E97" s="55"/>
      <c r="F97" s="55"/>
      <c r="G97" s="55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1"/>
      <c r="Z97" s="10"/>
      <c r="AA97" s="11"/>
      <c r="AB97" s="10"/>
    </row>
    <row r="98" customFormat="false" ht="12.75" hidden="false" customHeight="false" outlineLevel="0" collapsed="false">
      <c r="B98" s="51"/>
      <c r="C98" s="53"/>
      <c r="D98" s="59"/>
      <c r="E98" s="55"/>
      <c r="F98" s="55"/>
      <c r="G98" s="55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1"/>
      <c r="Z98" s="10"/>
      <c r="AA98" s="11"/>
      <c r="AB98" s="10"/>
    </row>
    <row r="99" customFormat="false" ht="12.75" hidden="false" customHeight="false" outlineLevel="0" collapsed="false">
      <c r="B99" s="51"/>
      <c r="C99" s="53"/>
      <c r="D99" s="59"/>
      <c r="E99" s="55"/>
      <c r="F99" s="55"/>
      <c r="G99" s="55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1"/>
      <c r="Z99" s="10"/>
      <c r="AA99" s="11"/>
      <c r="AB99" s="10"/>
    </row>
    <row r="100" customFormat="false" ht="12.75" hidden="false" customHeight="false" outlineLevel="0" collapsed="false">
      <c r="B100" s="51"/>
      <c r="C100" s="53"/>
      <c r="D100" s="59"/>
      <c r="E100" s="55"/>
      <c r="F100" s="55"/>
      <c r="G100" s="55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1"/>
      <c r="Z100" s="10"/>
      <c r="AA100" s="11"/>
      <c r="AB100" s="10"/>
    </row>
    <row r="101" customFormat="false" ht="12.75" hidden="false" customHeight="false" outlineLevel="0" collapsed="false">
      <c r="B101" s="51"/>
      <c r="C101" s="53"/>
      <c r="D101" s="59"/>
      <c r="E101" s="55"/>
      <c r="F101" s="55"/>
      <c r="G101" s="55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1"/>
      <c r="Z101" s="10"/>
      <c r="AA101" s="11"/>
      <c r="AB101" s="10"/>
    </row>
    <row r="102" customFormat="false" ht="12.75" hidden="false" customHeight="false" outlineLevel="0" collapsed="false">
      <c r="B102" s="51"/>
      <c r="C102" s="53"/>
      <c r="D102" s="59"/>
      <c r="E102" s="55"/>
      <c r="F102" s="55"/>
      <c r="G102" s="55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1"/>
      <c r="Z102" s="10"/>
      <c r="AA102" s="11"/>
      <c r="AB102" s="10"/>
    </row>
    <row r="103" customFormat="false" ht="12.75" hidden="false" customHeight="false" outlineLevel="0" collapsed="false">
      <c r="B103" s="51"/>
      <c r="C103" s="53"/>
      <c r="D103" s="59"/>
      <c r="E103" s="55"/>
      <c r="F103" s="55"/>
      <c r="G103" s="55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1"/>
      <c r="Z103" s="10"/>
      <c r="AA103" s="11"/>
      <c r="AB103" s="10"/>
    </row>
    <row r="104" customFormat="false" ht="12.75" hidden="false" customHeight="false" outlineLevel="0" collapsed="false">
      <c r="B104" s="51"/>
      <c r="C104" s="53"/>
      <c r="D104" s="59"/>
      <c r="E104" s="55"/>
      <c r="F104" s="55"/>
      <c r="G104" s="55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1"/>
      <c r="Z104" s="10"/>
      <c r="AA104" s="11"/>
      <c r="AB104" s="10"/>
    </row>
    <row r="105" customFormat="false" ht="12.75" hidden="false" customHeight="false" outlineLevel="0" collapsed="false">
      <c r="B105" s="51"/>
      <c r="C105" s="53"/>
      <c r="D105" s="59"/>
      <c r="E105" s="55"/>
      <c r="F105" s="55"/>
      <c r="G105" s="55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1"/>
      <c r="Z105" s="10"/>
      <c r="AA105" s="11"/>
      <c r="AB105" s="10"/>
    </row>
    <row r="106" customFormat="false" ht="12.75" hidden="false" customHeight="false" outlineLevel="0" collapsed="false">
      <c r="B106" s="51"/>
      <c r="C106" s="53"/>
      <c r="D106" s="59"/>
      <c r="E106" s="55"/>
      <c r="F106" s="55"/>
      <c r="G106" s="55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1"/>
      <c r="Z106" s="10"/>
      <c r="AA106" s="11"/>
      <c r="AB106" s="10"/>
    </row>
    <row r="107" customFormat="false" ht="12.75" hidden="false" customHeight="false" outlineLevel="0" collapsed="false">
      <c r="B107" s="51"/>
      <c r="C107" s="53"/>
      <c r="D107" s="59"/>
      <c r="E107" s="55"/>
      <c r="F107" s="55"/>
      <c r="G107" s="55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1"/>
      <c r="Z107" s="10"/>
      <c r="AA107" s="11"/>
      <c r="AB107" s="10"/>
    </row>
    <row r="108" customFormat="false" ht="12.75" hidden="false" customHeight="false" outlineLevel="0" collapsed="false">
      <c r="B108" s="51"/>
      <c r="C108" s="53"/>
      <c r="D108" s="59"/>
      <c r="E108" s="55"/>
      <c r="F108" s="55"/>
      <c r="G108" s="55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1"/>
      <c r="Z108" s="10"/>
      <c r="AA108" s="11"/>
      <c r="AB108" s="10"/>
    </row>
    <row r="109" customFormat="false" ht="12.75" hidden="false" customHeight="false" outlineLevel="0" collapsed="false">
      <c r="B109" s="51"/>
      <c r="C109" s="53"/>
      <c r="D109" s="59"/>
      <c r="E109" s="55"/>
      <c r="F109" s="55"/>
      <c r="G109" s="55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1"/>
      <c r="Z109" s="10"/>
      <c r="AA109" s="11"/>
      <c r="AB109" s="10"/>
    </row>
    <row r="110" customFormat="false" ht="12.75" hidden="false" customHeight="false" outlineLevel="0" collapsed="false">
      <c r="B110" s="51"/>
      <c r="C110" s="53"/>
      <c r="D110" s="59"/>
      <c r="E110" s="55"/>
      <c r="F110" s="55"/>
      <c r="G110" s="55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1"/>
      <c r="Z110" s="10"/>
      <c r="AA110" s="11"/>
      <c r="AB110" s="10"/>
    </row>
    <row r="111" customFormat="false" ht="12.75" hidden="false" customHeight="false" outlineLevel="0" collapsed="false">
      <c r="B111" s="51"/>
      <c r="C111" s="53"/>
      <c r="D111" s="59"/>
      <c r="E111" s="55"/>
      <c r="F111" s="55"/>
      <c r="G111" s="55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1"/>
      <c r="Z111" s="10"/>
      <c r="AA111" s="11"/>
      <c r="AB111" s="10"/>
    </row>
    <row r="112" customFormat="false" ht="12.75" hidden="false" customHeight="false" outlineLevel="0" collapsed="false">
      <c r="B112" s="51"/>
      <c r="C112" s="53"/>
      <c r="D112" s="59"/>
      <c r="E112" s="55"/>
      <c r="F112" s="55"/>
      <c r="G112" s="55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1"/>
      <c r="Z112" s="10"/>
      <c r="AA112" s="11"/>
      <c r="AB112" s="10"/>
    </row>
    <row r="113" customFormat="false" ht="12.75" hidden="false" customHeight="false" outlineLevel="0" collapsed="false">
      <c r="B113" s="51"/>
      <c r="C113" s="53"/>
      <c r="D113" s="59"/>
      <c r="E113" s="55"/>
      <c r="F113" s="55"/>
      <c r="G113" s="55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1"/>
      <c r="Z113" s="10"/>
      <c r="AA113" s="11"/>
      <c r="AB113" s="10"/>
    </row>
    <row r="114" customFormat="false" ht="12.75" hidden="false" customHeight="false" outlineLevel="0" collapsed="false">
      <c r="B114" s="51"/>
      <c r="C114" s="53"/>
      <c r="D114" s="59"/>
      <c r="E114" s="55"/>
      <c r="F114" s="55"/>
      <c r="G114" s="55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1"/>
      <c r="Z114" s="10"/>
      <c r="AA114" s="11"/>
      <c r="AB114" s="10"/>
    </row>
    <row r="115" customFormat="false" ht="12.75" hidden="false" customHeight="false" outlineLevel="0" collapsed="false">
      <c r="B115" s="60"/>
      <c r="C115" s="59"/>
      <c r="D115" s="59"/>
      <c r="E115" s="55"/>
      <c r="F115" s="55"/>
      <c r="G115" s="55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1"/>
      <c r="Z115" s="10"/>
      <c r="AA115" s="11"/>
      <c r="AB115" s="10"/>
    </row>
    <row r="116" customFormat="false" ht="12.75" hidden="false" customHeight="false" outlineLevel="0" collapsed="false">
      <c r="B116" s="60"/>
      <c r="C116" s="59"/>
      <c r="D116" s="59"/>
      <c r="E116" s="55"/>
      <c r="F116" s="55"/>
      <c r="G116" s="55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1"/>
      <c r="Z116" s="10"/>
      <c r="AA116" s="11"/>
      <c r="AB116" s="10"/>
    </row>
    <row r="117" customFormat="false" ht="12.75" hidden="false" customHeight="false" outlineLevel="0" collapsed="false">
      <c r="B117" s="60"/>
      <c r="C117" s="59"/>
      <c r="D117" s="59"/>
      <c r="E117" s="55"/>
      <c r="F117" s="55"/>
      <c r="G117" s="55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1"/>
      <c r="Z117" s="10"/>
      <c r="AA117" s="11"/>
      <c r="AB117" s="10"/>
    </row>
    <row r="118" customFormat="false" ht="12.75" hidden="false" customHeight="false" outlineLevel="0" collapsed="false">
      <c r="B118" s="60"/>
      <c r="C118" s="59"/>
      <c r="D118" s="59"/>
      <c r="E118" s="55"/>
      <c r="F118" s="55"/>
      <c r="G118" s="55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1"/>
      <c r="Z118" s="10"/>
      <c r="AA118" s="11"/>
      <c r="AB118" s="10"/>
    </row>
    <row r="119" customFormat="false" ht="12.75" hidden="false" customHeight="false" outlineLevel="0" collapsed="false">
      <c r="B119" s="60"/>
      <c r="C119" s="59"/>
      <c r="D119" s="59"/>
      <c r="E119" s="55"/>
      <c r="F119" s="55"/>
      <c r="G119" s="55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1"/>
      <c r="Z119" s="10"/>
      <c r="AA119" s="11"/>
      <c r="AB119" s="10"/>
    </row>
    <row r="120" customFormat="false" ht="12.75" hidden="false" customHeight="false" outlineLevel="0" collapsed="false">
      <c r="B120" s="60"/>
      <c r="C120" s="59"/>
      <c r="D120" s="59"/>
      <c r="E120" s="55"/>
      <c r="F120" s="55"/>
      <c r="G120" s="55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1"/>
      <c r="Z120" s="10"/>
      <c r="AA120" s="11"/>
      <c r="AB120" s="10"/>
    </row>
    <row r="121" customFormat="false" ht="12.75" hidden="false" customHeight="false" outlineLevel="0" collapsed="false">
      <c r="B121" s="60"/>
      <c r="C121" s="59"/>
      <c r="D121" s="59"/>
      <c r="E121" s="55"/>
      <c r="F121" s="55"/>
      <c r="G121" s="55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1"/>
      <c r="Z121" s="10"/>
      <c r="AA121" s="11"/>
      <c r="AB121" s="10"/>
    </row>
    <row r="122" customFormat="false" ht="12.75" hidden="false" customHeight="false" outlineLevel="0" collapsed="false">
      <c r="B122" s="60"/>
      <c r="C122" s="59"/>
      <c r="D122" s="59"/>
      <c r="E122" s="55"/>
      <c r="F122" s="55"/>
      <c r="G122" s="55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1"/>
      <c r="Z122" s="10"/>
      <c r="AA122" s="11"/>
      <c r="AB122" s="10"/>
    </row>
    <row r="123" customFormat="false" ht="12.75" hidden="false" customHeight="false" outlineLevel="0" collapsed="false">
      <c r="B123" s="60"/>
      <c r="C123" s="59"/>
      <c r="D123" s="59"/>
      <c r="E123" s="55"/>
      <c r="F123" s="55"/>
      <c r="G123" s="55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1"/>
      <c r="Z123" s="10"/>
      <c r="AA123" s="11"/>
      <c r="AB123" s="10"/>
    </row>
    <row r="124" customFormat="false" ht="12.75" hidden="false" customHeight="false" outlineLevel="0" collapsed="false">
      <c r="B124" s="60"/>
      <c r="C124" s="59"/>
      <c r="D124" s="59"/>
      <c r="E124" s="55"/>
      <c r="F124" s="55"/>
      <c r="G124" s="55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1"/>
      <c r="Z124" s="10"/>
      <c r="AA124" s="11"/>
      <c r="AB124" s="10"/>
    </row>
    <row r="125" customFormat="false" ht="12.75" hidden="false" customHeight="false" outlineLevel="0" collapsed="false">
      <c r="B125" s="60"/>
      <c r="C125" s="59"/>
      <c r="D125" s="59"/>
      <c r="E125" s="55"/>
      <c r="F125" s="55"/>
      <c r="G125" s="55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1"/>
      <c r="Z125" s="10"/>
      <c r="AA125" s="11"/>
      <c r="AB125" s="10"/>
    </row>
    <row r="126" customFormat="false" ht="12.75" hidden="false" customHeight="false" outlineLevel="0" collapsed="false">
      <c r="B126" s="60"/>
      <c r="C126" s="59"/>
      <c r="D126" s="59"/>
      <c r="E126" s="55"/>
      <c r="F126" s="55"/>
      <c r="G126" s="55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1"/>
      <c r="Z126" s="10"/>
      <c r="AA126" s="11"/>
      <c r="AB126" s="10"/>
    </row>
    <row r="127" customFormat="false" ht="12.75" hidden="false" customHeight="false" outlineLevel="0" collapsed="false">
      <c r="B127" s="60"/>
      <c r="C127" s="59"/>
      <c r="D127" s="59"/>
      <c r="E127" s="55"/>
      <c r="F127" s="55"/>
      <c r="G127" s="55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1"/>
      <c r="Z127" s="10"/>
      <c r="AA127" s="11"/>
      <c r="AB12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06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H70" activeCellId="0" sqref="H7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333" width="9.14"/>
  </cols>
  <sheetData>
    <row r="1" customFormat="false" ht="12" hidden="false" customHeight="false" outlineLevel="0" collapsed="false">
      <c r="A1" s="334"/>
      <c r="B1" s="335"/>
      <c r="C1" s="336"/>
      <c r="D1" s="336"/>
      <c r="E1" s="336"/>
      <c r="F1" s="336"/>
      <c r="G1" s="337"/>
      <c r="H1" s="337"/>
      <c r="I1" s="337"/>
      <c r="J1" s="337"/>
      <c r="K1" s="337"/>
      <c r="L1" s="337"/>
      <c r="M1" s="337"/>
    </row>
    <row r="2" customFormat="false" ht="11.25" hidden="false" customHeight="false" outlineLevel="0" collapsed="false">
      <c r="A2" s="336"/>
      <c r="B2" s="336"/>
      <c r="C2" s="336"/>
      <c r="D2" s="336"/>
      <c r="E2" s="336"/>
      <c r="F2" s="336"/>
      <c r="G2" s="338" t="s">
        <v>285</v>
      </c>
      <c r="H2" s="338"/>
      <c r="I2" s="338"/>
    </row>
    <row r="3" customFormat="false" ht="11.25" hidden="false" customHeight="false" outlineLevel="0" collapsed="false">
      <c r="A3" s="339"/>
      <c r="B3" s="340"/>
      <c r="C3" s="339"/>
      <c r="D3" s="336"/>
      <c r="E3" s="336"/>
      <c r="F3" s="336"/>
      <c r="G3" s="341" t="s">
        <v>286</v>
      </c>
      <c r="H3" s="341"/>
      <c r="I3" s="341"/>
    </row>
    <row r="4" customFormat="false" ht="11.25" hidden="false" customHeight="false" outlineLevel="0" collapsed="false">
      <c r="A4" s="339"/>
      <c r="B4" s="342"/>
      <c r="C4" s="343"/>
      <c r="D4" s="336"/>
      <c r="E4" s="336"/>
      <c r="F4" s="336"/>
      <c r="G4" s="344"/>
      <c r="H4" s="345" t="s">
        <v>287</v>
      </c>
      <c r="I4" s="346" t="s">
        <v>288</v>
      </c>
    </row>
    <row r="5" customFormat="false" ht="11.25" hidden="false" customHeight="false" outlineLevel="0" collapsed="false">
      <c r="A5" s="339"/>
      <c r="B5" s="342"/>
      <c r="C5" s="343"/>
      <c r="D5" s="336"/>
      <c r="E5" s="336"/>
      <c r="F5" s="336"/>
      <c r="G5" s="347" t="s">
        <v>289</v>
      </c>
      <c r="H5" s="348" t="s">
        <v>290</v>
      </c>
      <c r="I5" s="349" t="s">
        <v>290</v>
      </c>
    </row>
    <row r="6" customFormat="false" ht="12" hidden="false" customHeight="false" outlineLevel="0" collapsed="false">
      <c r="A6" s="339"/>
      <c r="B6" s="342"/>
      <c r="C6" s="343"/>
      <c r="D6" s="336"/>
      <c r="E6" s="336"/>
      <c r="F6" s="336"/>
      <c r="G6" s="350" t="s">
        <v>291</v>
      </c>
      <c r="H6" s="351" t="s">
        <v>292</v>
      </c>
      <c r="I6" s="352" t="s">
        <v>292</v>
      </c>
    </row>
    <row r="7" customFormat="false" ht="11.25" hidden="false" customHeight="false" outlineLevel="0" collapsed="false">
      <c r="A7" s="339"/>
      <c r="B7" s="340"/>
      <c r="C7" s="343"/>
      <c r="D7" s="336"/>
      <c r="E7" s="336"/>
      <c r="F7" s="336"/>
      <c r="G7" s="353" t="n">
        <v>35431</v>
      </c>
      <c r="H7" s="354" t="n">
        <v>35423</v>
      </c>
      <c r="I7" s="355" t="n">
        <v>35422</v>
      </c>
    </row>
    <row r="8" customFormat="false" ht="11.25" hidden="false" customHeight="false" outlineLevel="0" collapsed="false">
      <c r="A8" s="339"/>
      <c r="B8" s="342"/>
      <c r="C8" s="356"/>
      <c r="D8" s="357"/>
      <c r="E8" s="357"/>
      <c r="F8" s="336"/>
      <c r="G8" s="358" t="n">
        <v>35462</v>
      </c>
      <c r="H8" s="359" t="n">
        <v>35457</v>
      </c>
      <c r="I8" s="360" t="n">
        <v>35454</v>
      </c>
    </row>
    <row r="9" customFormat="false" ht="11.25" hidden="false" customHeight="false" outlineLevel="0" collapsed="false">
      <c r="A9" s="339"/>
      <c r="B9" s="342"/>
      <c r="C9" s="361"/>
      <c r="D9" s="362"/>
      <c r="E9" s="362"/>
      <c r="F9" s="336"/>
      <c r="G9" s="358" t="n">
        <v>35490</v>
      </c>
      <c r="H9" s="359" t="n">
        <v>35485</v>
      </c>
      <c r="I9" s="360" t="n">
        <v>35482</v>
      </c>
    </row>
    <row r="10" customFormat="false" ht="11.25" hidden="false" customHeight="false" outlineLevel="0" collapsed="false">
      <c r="A10" s="339"/>
      <c r="B10" s="342"/>
      <c r="C10" s="343"/>
      <c r="D10" s="363"/>
      <c r="E10" s="363"/>
      <c r="F10" s="336"/>
      <c r="G10" s="358" t="n">
        <v>35521</v>
      </c>
      <c r="H10" s="359" t="n">
        <v>35513</v>
      </c>
      <c r="I10" s="360" t="n">
        <v>35510</v>
      </c>
    </row>
    <row r="11" customFormat="false" ht="11.25" hidden="false" customHeight="false" outlineLevel="0" collapsed="false">
      <c r="A11" s="339"/>
      <c r="B11" s="342"/>
      <c r="C11" s="343"/>
      <c r="D11" s="363"/>
      <c r="E11" s="363"/>
      <c r="F11" s="336"/>
      <c r="G11" s="358" t="n">
        <v>35551</v>
      </c>
      <c r="H11" s="359" t="n">
        <v>35544</v>
      </c>
      <c r="I11" s="360" t="n">
        <v>35543</v>
      </c>
    </row>
    <row r="12" customFormat="false" ht="11.25" hidden="false" customHeight="false" outlineLevel="0" collapsed="false">
      <c r="A12" s="339"/>
      <c r="B12" s="342"/>
      <c r="C12" s="343"/>
      <c r="D12" s="363"/>
      <c r="E12" s="363"/>
      <c r="F12" s="336"/>
      <c r="G12" s="358" t="n">
        <v>35582</v>
      </c>
      <c r="H12" s="359" t="n">
        <v>35578</v>
      </c>
      <c r="I12" s="360" t="n">
        <v>35577</v>
      </c>
    </row>
    <row r="13" customFormat="false" ht="12.75" hidden="false" customHeight="false" outlineLevel="0" collapsed="false">
      <c r="A13" s="339"/>
      <c r="B13" s="364"/>
      <c r="C13" s="365"/>
      <c r="D13" s="366"/>
      <c r="E13" s="366"/>
      <c r="F13" s="336"/>
      <c r="G13" s="358" t="n">
        <v>35612</v>
      </c>
      <c r="H13" s="359" t="n">
        <v>35607</v>
      </c>
      <c r="I13" s="360" t="n">
        <v>35606</v>
      </c>
    </row>
    <row r="14" customFormat="false" ht="12.75" hidden="false" customHeight="false" outlineLevel="0" collapsed="false">
      <c r="A14" s="336"/>
      <c r="B14" s="367"/>
      <c r="C14" s="368"/>
      <c r="D14" s="366"/>
      <c r="E14" s="366"/>
      <c r="F14" s="336"/>
      <c r="G14" s="358" t="n">
        <v>35643</v>
      </c>
      <c r="H14" s="359" t="n">
        <v>35640</v>
      </c>
      <c r="I14" s="360" t="n">
        <v>35639</v>
      </c>
    </row>
    <row r="15" customFormat="false" ht="12.75" hidden="false" customHeight="false" outlineLevel="0" collapsed="false">
      <c r="A15" s="336"/>
      <c r="B15" s="367"/>
      <c r="C15" s="368"/>
      <c r="D15" s="366"/>
      <c r="E15" s="366"/>
      <c r="F15" s="336"/>
      <c r="G15" s="358" t="n">
        <v>35674</v>
      </c>
      <c r="H15" s="359" t="n">
        <v>35669</v>
      </c>
      <c r="I15" s="360" t="n">
        <v>35668</v>
      </c>
    </row>
    <row r="16" customFormat="false" ht="12.75" hidden="false" customHeight="false" outlineLevel="0" collapsed="false">
      <c r="A16" s="336"/>
      <c r="B16" s="367"/>
      <c r="C16" s="368"/>
      <c r="D16" s="366"/>
      <c r="E16" s="366"/>
      <c r="F16" s="336"/>
      <c r="G16" s="358" t="n">
        <v>35704</v>
      </c>
      <c r="H16" s="359" t="n">
        <v>35699</v>
      </c>
      <c r="I16" s="360" t="n">
        <v>35698</v>
      </c>
    </row>
    <row r="17" customFormat="false" ht="12.75" hidden="false" customHeight="false" outlineLevel="0" collapsed="false">
      <c r="A17" s="369"/>
      <c r="B17" s="367"/>
      <c r="C17" s="368"/>
      <c r="D17" s="366"/>
      <c r="E17" s="366"/>
      <c r="F17" s="336"/>
      <c r="G17" s="358" t="n">
        <v>35735</v>
      </c>
      <c r="H17" s="359" t="n">
        <v>35732</v>
      </c>
      <c r="I17" s="360" t="n">
        <v>35731</v>
      </c>
    </row>
    <row r="18" customFormat="false" ht="12.75" hidden="false" customHeight="false" outlineLevel="0" collapsed="false">
      <c r="A18" s="369"/>
      <c r="B18" s="367"/>
      <c r="C18" s="368"/>
      <c r="D18" s="366"/>
      <c r="E18" s="366"/>
      <c r="F18" s="336"/>
      <c r="G18" s="358" t="n">
        <v>35765</v>
      </c>
      <c r="H18" s="359" t="n">
        <v>35758</v>
      </c>
      <c r="I18" s="360" t="n">
        <v>35755</v>
      </c>
    </row>
    <row r="19" customFormat="false" ht="12.75" hidden="false" customHeight="false" outlineLevel="0" collapsed="false">
      <c r="A19" s="369"/>
      <c r="B19" s="367"/>
      <c r="C19" s="368"/>
      <c r="D19" s="366"/>
      <c r="E19" s="366"/>
      <c r="F19" s="336"/>
      <c r="G19" s="358" t="n">
        <v>35796</v>
      </c>
      <c r="H19" s="359" t="n">
        <v>35793</v>
      </c>
      <c r="I19" s="360" t="n">
        <v>35790</v>
      </c>
    </row>
    <row r="20" customFormat="false" ht="12.75" hidden="false" customHeight="false" outlineLevel="0" collapsed="false">
      <c r="A20" s="369"/>
      <c r="B20" s="367"/>
      <c r="C20" s="368"/>
      <c r="D20" s="366"/>
      <c r="E20" s="366"/>
      <c r="F20" s="336"/>
      <c r="G20" s="358" t="n">
        <v>35827</v>
      </c>
      <c r="H20" s="359" t="n">
        <v>35823</v>
      </c>
      <c r="I20" s="360" t="n">
        <v>35822</v>
      </c>
    </row>
    <row r="21" customFormat="false" ht="12.75" hidden="false" customHeight="false" outlineLevel="0" collapsed="false">
      <c r="A21" s="369"/>
      <c r="B21" s="367"/>
      <c r="C21" s="368"/>
      <c r="D21" s="366"/>
      <c r="E21" s="366"/>
      <c r="F21" s="336"/>
      <c r="G21" s="358" t="n">
        <v>35855</v>
      </c>
      <c r="H21" s="359" t="n">
        <v>35851</v>
      </c>
      <c r="I21" s="360" t="n">
        <v>35850</v>
      </c>
    </row>
    <row r="22" customFormat="false" ht="12.75" hidden="false" customHeight="false" outlineLevel="0" collapsed="false">
      <c r="A22" s="369"/>
      <c r="B22" s="367"/>
      <c r="C22" s="368"/>
      <c r="D22" s="366"/>
      <c r="E22" s="366"/>
      <c r="F22" s="336"/>
      <c r="G22" s="358" t="n">
        <v>35886</v>
      </c>
      <c r="H22" s="359" t="n">
        <v>35881</v>
      </c>
      <c r="I22" s="360" t="n">
        <v>35880</v>
      </c>
    </row>
    <row r="23" customFormat="false" ht="12.75" hidden="false" customHeight="false" outlineLevel="0" collapsed="false">
      <c r="A23" s="369"/>
      <c r="B23" s="367"/>
      <c r="C23" s="368"/>
      <c r="D23" s="366"/>
      <c r="E23" s="366"/>
      <c r="F23" s="336"/>
      <c r="G23" s="358" t="n">
        <v>35916</v>
      </c>
      <c r="H23" s="359" t="n">
        <v>35913</v>
      </c>
      <c r="I23" s="360" t="n">
        <v>35912</v>
      </c>
    </row>
    <row r="24" customFormat="false" ht="12.75" hidden="false" customHeight="false" outlineLevel="0" collapsed="false">
      <c r="A24" s="369"/>
      <c r="B24" s="367"/>
      <c r="C24" s="368"/>
      <c r="D24" s="366"/>
      <c r="E24" s="366"/>
      <c r="F24" s="336"/>
      <c r="G24" s="358" t="n">
        <v>35947</v>
      </c>
      <c r="H24" s="359" t="n">
        <v>35942</v>
      </c>
      <c r="I24" s="360" t="n">
        <v>35941</v>
      </c>
    </row>
    <row r="25" customFormat="false" ht="12.75" hidden="false" customHeight="false" outlineLevel="0" collapsed="false">
      <c r="A25" s="369"/>
      <c r="B25" s="367"/>
      <c r="C25" s="368"/>
      <c r="D25" s="366"/>
      <c r="E25" s="366"/>
      <c r="F25" s="336"/>
      <c r="G25" s="358" t="n">
        <v>35977</v>
      </c>
      <c r="H25" s="359" t="n">
        <v>35972</v>
      </c>
      <c r="I25" s="360" t="n">
        <v>35971</v>
      </c>
    </row>
    <row r="26" customFormat="false" ht="12.75" hidden="false" customHeight="false" outlineLevel="0" collapsed="false">
      <c r="A26" s="369"/>
      <c r="B26" s="367"/>
      <c r="C26" s="368"/>
      <c r="D26" s="366"/>
      <c r="E26" s="366"/>
      <c r="F26" s="336"/>
      <c r="G26" s="358" t="n">
        <v>36008</v>
      </c>
      <c r="H26" s="359" t="n">
        <v>36005</v>
      </c>
      <c r="I26" s="360" t="n">
        <v>36004</v>
      </c>
    </row>
    <row r="27" customFormat="false" ht="12.75" hidden="false" customHeight="false" outlineLevel="0" collapsed="false">
      <c r="A27" s="369"/>
      <c r="B27" s="367"/>
      <c r="C27" s="368"/>
      <c r="D27" s="366"/>
      <c r="E27" s="366"/>
      <c r="F27" s="336"/>
      <c r="G27" s="358" t="n">
        <v>36039</v>
      </c>
      <c r="H27" s="359" t="n">
        <v>36034</v>
      </c>
      <c r="I27" s="360" t="n">
        <v>36033</v>
      </c>
    </row>
    <row r="28" customFormat="false" ht="12.75" hidden="false" customHeight="false" outlineLevel="0" collapsed="false">
      <c r="A28" s="369"/>
      <c r="B28" s="367"/>
      <c r="C28" s="368"/>
      <c r="D28" s="366"/>
      <c r="E28" s="366"/>
      <c r="F28" s="336"/>
      <c r="G28" s="358" t="n">
        <v>36069</v>
      </c>
      <c r="H28" s="359" t="n">
        <v>36066</v>
      </c>
      <c r="I28" s="360" t="n">
        <v>36063</v>
      </c>
    </row>
    <row r="29" customFormat="false" ht="12.75" hidden="false" customHeight="false" outlineLevel="0" collapsed="false">
      <c r="A29" s="369"/>
      <c r="B29" s="367"/>
      <c r="C29" s="368"/>
      <c r="D29" s="366"/>
      <c r="E29" s="366"/>
      <c r="F29" s="336"/>
      <c r="G29" s="358" t="n">
        <v>36100</v>
      </c>
      <c r="H29" s="359" t="n">
        <v>36096</v>
      </c>
      <c r="I29" s="360" t="n">
        <v>36095</v>
      </c>
    </row>
    <row r="30" customFormat="false" ht="12.75" hidden="false" customHeight="false" outlineLevel="0" collapsed="false">
      <c r="A30" s="369"/>
      <c r="B30" s="367"/>
      <c r="C30" s="368"/>
      <c r="D30" s="366"/>
      <c r="E30" s="366"/>
      <c r="F30" s="336"/>
      <c r="G30" s="358" t="n">
        <v>36130</v>
      </c>
      <c r="H30" s="359" t="n">
        <v>36124</v>
      </c>
      <c r="I30" s="360" t="n">
        <v>36123</v>
      </c>
    </row>
    <row r="31" customFormat="false" ht="12.75" hidden="false" customHeight="false" outlineLevel="0" collapsed="false">
      <c r="A31" s="369"/>
      <c r="B31" s="367"/>
      <c r="C31" s="368"/>
      <c r="D31" s="366"/>
      <c r="E31" s="366"/>
      <c r="F31" s="336"/>
      <c r="G31" s="358" t="n">
        <v>36161</v>
      </c>
      <c r="H31" s="359" t="n">
        <v>36158</v>
      </c>
      <c r="I31" s="360" t="n">
        <v>36157</v>
      </c>
    </row>
    <row r="32" customFormat="false" ht="12.75" hidden="false" customHeight="false" outlineLevel="0" collapsed="false">
      <c r="A32" s="369"/>
      <c r="B32" s="367"/>
      <c r="C32" s="368"/>
      <c r="D32" s="366"/>
      <c r="E32" s="366"/>
      <c r="F32" s="336"/>
      <c r="G32" s="358" t="n">
        <v>36192</v>
      </c>
      <c r="H32" s="359" t="n">
        <v>36187</v>
      </c>
      <c r="I32" s="360" t="n">
        <v>36186</v>
      </c>
    </row>
    <row r="33" customFormat="false" ht="12.75" hidden="false" customHeight="false" outlineLevel="0" collapsed="false">
      <c r="A33" s="369"/>
      <c r="B33" s="367"/>
      <c r="C33" s="368"/>
      <c r="D33" s="366"/>
      <c r="E33" s="366"/>
      <c r="F33" s="336"/>
      <c r="G33" s="358" t="n">
        <v>36220</v>
      </c>
      <c r="H33" s="359" t="n">
        <v>36215</v>
      </c>
      <c r="I33" s="360" t="n">
        <v>36214</v>
      </c>
    </row>
    <row r="34" customFormat="false" ht="12.75" hidden="false" customHeight="false" outlineLevel="0" collapsed="false">
      <c r="A34" s="369"/>
      <c r="B34" s="367"/>
      <c r="C34" s="368"/>
      <c r="D34" s="366"/>
      <c r="E34" s="366"/>
      <c r="F34" s="336"/>
      <c r="G34" s="358" t="n">
        <v>36251</v>
      </c>
      <c r="H34" s="359" t="n">
        <v>36248</v>
      </c>
      <c r="I34" s="360" t="n">
        <v>36245</v>
      </c>
    </row>
    <row r="35" customFormat="false" ht="12.75" hidden="false" customHeight="false" outlineLevel="0" collapsed="false">
      <c r="A35" s="369"/>
      <c r="B35" s="367"/>
      <c r="C35" s="368"/>
      <c r="D35" s="366"/>
      <c r="E35" s="366"/>
      <c r="F35" s="336"/>
      <c r="G35" s="358" t="n">
        <v>36281</v>
      </c>
      <c r="H35" s="359" t="n">
        <v>36278</v>
      </c>
      <c r="I35" s="360" t="n">
        <v>36277</v>
      </c>
    </row>
    <row r="36" customFormat="false" ht="12.75" hidden="false" customHeight="false" outlineLevel="0" collapsed="false">
      <c r="A36" s="369"/>
      <c r="B36" s="367"/>
      <c r="C36" s="368"/>
      <c r="D36" s="366"/>
      <c r="E36" s="366"/>
      <c r="F36" s="336"/>
      <c r="G36" s="358" t="n">
        <v>36312</v>
      </c>
      <c r="H36" s="359" t="n">
        <v>36306</v>
      </c>
      <c r="I36" s="360" t="n">
        <v>36305</v>
      </c>
    </row>
    <row r="37" customFormat="false" ht="12.75" hidden="false" customHeight="false" outlineLevel="0" collapsed="false">
      <c r="A37" s="369"/>
      <c r="B37" s="367"/>
      <c r="C37" s="368"/>
      <c r="D37" s="366"/>
      <c r="E37" s="366"/>
      <c r="F37" s="336"/>
      <c r="G37" s="358" t="n">
        <v>36342</v>
      </c>
      <c r="H37" s="359" t="n">
        <v>36339</v>
      </c>
      <c r="I37" s="360" t="n">
        <v>36336</v>
      </c>
    </row>
    <row r="38" customFormat="false" ht="12.75" hidden="false" customHeight="false" outlineLevel="0" collapsed="false">
      <c r="A38" s="369"/>
      <c r="B38" s="367"/>
      <c r="C38" s="368"/>
      <c r="D38" s="366"/>
      <c r="E38" s="366"/>
      <c r="F38" s="336"/>
      <c r="G38" s="358" t="n">
        <v>36373</v>
      </c>
      <c r="H38" s="359" t="n">
        <v>36369</v>
      </c>
      <c r="I38" s="360" t="n">
        <v>36368</v>
      </c>
    </row>
    <row r="39" customFormat="false" ht="12.75" hidden="false" customHeight="false" outlineLevel="0" collapsed="false">
      <c r="A39" s="369"/>
      <c r="B39" s="367"/>
      <c r="C39" s="368"/>
      <c r="D39" s="366"/>
      <c r="E39" s="366"/>
      <c r="F39" s="336"/>
      <c r="G39" s="358" t="n">
        <v>36404</v>
      </c>
      <c r="H39" s="359" t="n">
        <v>36399</v>
      </c>
      <c r="I39" s="360" t="n">
        <v>36398</v>
      </c>
    </row>
    <row r="40" customFormat="false" ht="12.75" hidden="false" customHeight="false" outlineLevel="0" collapsed="false">
      <c r="A40" s="369"/>
      <c r="B40" s="367"/>
      <c r="C40" s="368"/>
      <c r="D40" s="366"/>
      <c r="E40" s="366"/>
      <c r="F40" s="336"/>
      <c r="G40" s="358" t="n">
        <v>36434</v>
      </c>
      <c r="H40" s="359" t="n">
        <v>36431</v>
      </c>
      <c r="I40" s="360" t="n">
        <v>36430</v>
      </c>
    </row>
    <row r="41" customFormat="false" ht="12.75" hidden="false" customHeight="false" outlineLevel="0" collapsed="false">
      <c r="A41" s="369"/>
      <c r="B41" s="367"/>
      <c r="C41" s="368"/>
      <c r="D41" s="366"/>
      <c r="E41" s="366"/>
      <c r="F41" s="336"/>
      <c r="G41" s="358" t="n">
        <v>36465</v>
      </c>
      <c r="H41" s="359" t="n">
        <v>36460</v>
      </c>
      <c r="I41" s="360" t="n">
        <v>36459</v>
      </c>
    </row>
    <row r="42" customFormat="false" ht="12.75" hidden="false" customHeight="false" outlineLevel="0" collapsed="false">
      <c r="A42" s="369"/>
      <c r="B42" s="367"/>
      <c r="C42" s="368"/>
      <c r="D42" s="366"/>
      <c r="E42" s="366"/>
      <c r="F42" s="336"/>
      <c r="G42" s="358" t="n">
        <v>36495</v>
      </c>
      <c r="H42" s="359" t="n">
        <v>36488</v>
      </c>
      <c r="I42" s="360" t="n">
        <v>36487</v>
      </c>
    </row>
    <row r="43" customFormat="false" ht="12.75" hidden="false" customHeight="false" outlineLevel="0" collapsed="false">
      <c r="A43" s="369"/>
      <c r="B43" s="367"/>
      <c r="C43" s="368"/>
      <c r="D43" s="366"/>
      <c r="E43" s="366"/>
      <c r="F43" s="336"/>
      <c r="G43" s="358" t="n">
        <v>36526</v>
      </c>
      <c r="H43" s="359" t="n">
        <v>36522</v>
      </c>
      <c r="I43" s="360" t="n">
        <v>36522</v>
      </c>
    </row>
    <row r="44" customFormat="false" ht="12.75" hidden="false" customHeight="false" outlineLevel="0" collapsed="false">
      <c r="A44" s="369"/>
      <c r="B44" s="367"/>
      <c r="C44" s="368"/>
      <c r="D44" s="366"/>
      <c r="E44" s="366"/>
      <c r="F44" s="336"/>
      <c r="G44" s="358" t="n">
        <v>36557</v>
      </c>
      <c r="H44" s="359" t="n">
        <v>36552</v>
      </c>
      <c r="I44" s="360" t="n">
        <v>36551</v>
      </c>
    </row>
    <row r="45" customFormat="false" ht="12.75" hidden="false" customHeight="false" outlineLevel="0" collapsed="false">
      <c r="A45" s="369"/>
      <c r="B45" s="367"/>
      <c r="C45" s="368"/>
      <c r="D45" s="366"/>
      <c r="E45" s="366"/>
      <c r="F45" s="336"/>
      <c r="G45" s="358" t="n">
        <v>36586</v>
      </c>
      <c r="H45" s="359" t="n">
        <v>36581</v>
      </c>
      <c r="I45" s="360" t="n">
        <v>36580</v>
      </c>
    </row>
    <row r="46" customFormat="false" ht="12.75" hidden="false" customHeight="false" outlineLevel="0" collapsed="false">
      <c r="A46" s="369"/>
      <c r="B46" s="367"/>
      <c r="C46" s="368"/>
      <c r="D46" s="366"/>
      <c r="E46" s="366"/>
      <c r="F46" s="336"/>
      <c r="G46" s="358" t="n">
        <v>36617</v>
      </c>
      <c r="H46" s="359" t="n">
        <v>36614</v>
      </c>
      <c r="I46" s="360" t="n">
        <v>36613</v>
      </c>
    </row>
    <row r="47" customFormat="false" ht="12.75" hidden="false" customHeight="false" outlineLevel="0" collapsed="false">
      <c r="A47" s="369"/>
      <c r="B47" s="367"/>
      <c r="C47" s="368"/>
      <c r="D47" s="366"/>
      <c r="E47" s="366"/>
      <c r="F47" s="336"/>
      <c r="G47" s="358" t="n">
        <v>36647</v>
      </c>
      <c r="H47" s="359" t="n">
        <v>36642</v>
      </c>
      <c r="I47" s="360" t="n">
        <v>36641</v>
      </c>
    </row>
    <row r="48" customFormat="false" ht="12.75" hidden="false" customHeight="false" outlineLevel="0" collapsed="false">
      <c r="A48" s="369"/>
      <c r="B48" s="367"/>
      <c r="C48" s="368"/>
      <c r="D48" s="366"/>
      <c r="E48" s="366"/>
      <c r="F48" s="336"/>
      <c r="G48" s="358" t="n">
        <v>36678</v>
      </c>
      <c r="H48" s="359" t="n">
        <v>36672</v>
      </c>
      <c r="I48" s="360" t="n">
        <v>36671</v>
      </c>
    </row>
    <row r="49" customFormat="false" ht="12.75" hidden="false" customHeight="false" outlineLevel="0" collapsed="false">
      <c r="A49" s="369"/>
      <c r="B49" s="367"/>
      <c r="C49" s="368"/>
      <c r="D49" s="366"/>
      <c r="E49" s="366"/>
      <c r="F49" s="336"/>
      <c r="G49" s="358" t="n">
        <v>36708</v>
      </c>
      <c r="H49" s="359" t="n">
        <v>36705</v>
      </c>
      <c r="I49" s="360" t="n">
        <v>36704</v>
      </c>
    </row>
    <row r="50" customFormat="false" ht="12.75" hidden="false" customHeight="false" outlineLevel="0" collapsed="false">
      <c r="A50" s="369"/>
      <c r="B50" s="367"/>
      <c r="C50" s="368"/>
      <c r="D50" s="366"/>
      <c r="E50" s="366"/>
      <c r="F50" s="336"/>
      <c r="G50" s="358" t="n">
        <v>36739</v>
      </c>
      <c r="H50" s="359" t="n">
        <v>36735</v>
      </c>
      <c r="I50" s="360" t="n">
        <v>36733</v>
      </c>
    </row>
    <row r="51" customFormat="false" ht="12.75" hidden="false" customHeight="false" outlineLevel="0" collapsed="false">
      <c r="A51" s="369"/>
      <c r="B51" s="367"/>
      <c r="C51" s="368"/>
      <c r="D51" s="366"/>
      <c r="E51" s="366"/>
      <c r="F51" s="336"/>
      <c r="G51" s="358" t="n">
        <v>36770</v>
      </c>
      <c r="H51" s="359" t="n">
        <v>36768</v>
      </c>
      <c r="I51" s="360" t="n">
        <v>36766</v>
      </c>
    </row>
    <row r="52" customFormat="false" ht="12.75" hidden="false" customHeight="false" outlineLevel="0" collapsed="false">
      <c r="A52" s="369"/>
      <c r="B52" s="367"/>
      <c r="C52" s="368"/>
      <c r="D52" s="366"/>
      <c r="E52" s="366"/>
      <c r="F52" s="336"/>
      <c r="G52" s="358" t="n">
        <v>36800</v>
      </c>
      <c r="H52" s="359" t="n">
        <v>36797</v>
      </c>
      <c r="I52" s="360" t="n">
        <v>36795</v>
      </c>
    </row>
    <row r="53" customFormat="false" ht="12.75" hidden="false" customHeight="false" outlineLevel="0" collapsed="false">
      <c r="A53" s="369"/>
      <c r="B53" s="367"/>
      <c r="C53" s="368"/>
      <c r="D53" s="366"/>
      <c r="E53" s="366"/>
      <c r="F53" s="336"/>
      <c r="G53" s="358" t="n">
        <v>36831</v>
      </c>
      <c r="H53" s="359" t="n">
        <v>36827</v>
      </c>
      <c r="I53" s="360" t="n">
        <v>36827</v>
      </c>
    </row>
    <row r="54" customFormat="false" ht="12.75" hidden="false" customHeight="false" outlineLevel="0" collapsed="false">
      <c r="A54" s="369"/>
      <c r="B54" s="367"/>
      <c r="C54" s="368"/>
      <c r="D54" s="366"/>
      <c r="E54" s="366"/>
      <c r="F54" s="336"/>
      <c r="G54" s="358" t="n">
        <v>36861</v>
      </c>
      <c r="H54" s="359" t="n">
        <v>36858</v>
      </c>
      <c r="I54" s="360" t="n">
        <v>36857</v>
      </c>
    </row>
    <row r="55" customFormat="false" ht="12.75" hidden="false" customHeight="false" outlineLevel="0" collapsed="false">
      <c r="A55" s="369"/>
      <c r="B55" s="367"/>
      <c r="C55" s="368"/>
      <c r="D55" s="366"/>
      <c r="E55" s="366"/>
      <c r="F55" s="336"/>
      <c r="G55" s="358" t="n">
        <v>36892</v>
      </c>
      <c r="H55" s="359" t="n">
        <v>36888</v>
      </c>
      <c r="I55" s="360" t="n">
        <v>36888</v>
      </c>
    </row>
    <row r="56" customFormat="false" ht="12.75" hidden="false" customHeight="false" outlineLevel="0" collapsed="false">
      <c r="A56" s="369"/>
      <c r="B56" s="367"/>
      <c r="C56" s="368"/>
      <c r="D56" s="366"/>
      <c r="E56" s="366"/>
      <c r="F56" s="336"/>
      <c r="G56" s="358" t="n">
        <v>36923</v>
      </c>
      <c r="H56" s="359" t="n">
        <v>36921</v>
      </c>
      <c r="I56" s="360" t="n">
        <v>36917</v>
      </c>
      <c r="J56" s="370" t="n">
        <f aca="false">WORKDAY(H56,1)</f>
        <v>36922</v>
      </c>
    </row>
    <row r="57" customFormat="false" ht="12.75" hidden="false" customHeight="false" outlineLevel="0" collapsed="false">
      <c r="A57" s="369"/>
      <c r="B57" s="367"/>
      <c r="C57" s="368"/>
      <c r="D57" s="366"/>
      <c r="E57" s="366"/>
      <c r="F57" s="336"/>
      <c r="G57" s="358" t="n">
        <v>36951</v>
      </c>
      <c r="H57" s="359" t="n">
        <v>36948</v>
      </c>
      <c r="I57" s="360" t="n">
        <v>36945</v>
      </c>
      <c r="J57" s="370" t="n">
        <f aca="false">WORKDAY(H57,1)</f>
        <v>36949</v>
      </c>
    </row>
    <row r="58" customFormat="false" ht="12.75" hidden="false" customHeight="false" outlineLevel="0" collapsed="false">
      <c r="A58" s="369"/>
      <c r="B58" s="367"/>
      <c r="C58" s="368"/>
      <c r="D58" s="366"/>
      <c r="E58" s="366"/>
      <c r="F58" s="336"/>
      <c r="G58" s="358" t="n">
        <v>36982</v>
      </c>
      <c r="H58" s="359" t="n">
        <v>36978</v>
      </c>
      <c r="I58" s="360" t="n">
        <v>36977</v>
      </c>
      <c r="J58" s="370" t="n">
        <f aca="false">WORKDAY(H58,1)</f>
        <v>36979</v>
      </c>
    </row>
    <row r="59" customFormat="false" ht="12.75" hidden="false" customHeight="false" outlineLevel="0" collapsed="false">
      <c r="A59" s="369"/>
      <c r="B59" s="367"/>
      <c r="C59" s="368"/>
      <c r="D59" s="366"/>
      <c r="E59" s="366"/>
      <c r="F59" s="336"/>
      <c r="G59" s="358" t="n">
        <v>37012</v>
      </c>
      <c r="H59" s="359" t="n">
        <v>37008</v>
      </c>
      <c r="I59" s="360" t="n">
        <v>37006</v>
      </c>
      <c r="J59" s="370" t="n">
        <f aca="false">WORKDAY(H59,1)</f>
        <v>37011</v>
      </c>
    </row>
    <row r="60" customFormat="false" ht="12.75" hidden="false" customHeight="false" outlineLevel="0" collapsed="false">
      <c r="A60" s="369"/>
      <c r="B60" s="367"/>
      <c r="C60" s="368"/>
      <c r="D60" s="366"/>
      <c r="E60" s="366"/>
      <c r="F60" s="336"/>
      <c r="G60" s="358" t="n">
        <v>37043</v>
      </c>
      <c r="H60" s="359" t="n">
        <v>37041</v>
      </c>
      <c r="I60" s="360" t="n">
        <v>37036</v>
      </c>
      <c r="J60" s="370" t="n">
        <f aca="false">WORKDAY(H60,1)</f>
        <v>37042</v>
      </c>
    </row>
    <row r="61" customFormat="false" ht="12.75" hidden="false" customHeight="false" outlineLevel="0" collapsed="false">
      <c r="A61" s="369"/>
      <c r="B61" s="367"/>
      <c r="C61" s="368"/>
      <c r="D61" s="366"/>
      <c r="E61" s="366"/>
      <c r="F61" s="336"/>
      <c r="G61" s="358" t="n">
        <v>37073</v>
      </c>
      <c r="H61" s="359" t="n">
        <v>37069</v>
      </c>
      <c r="I61" s="360" t="n">
        <v>37068</v>
      </c>
      <c r="J61" s="370" t="n">
        <f aca="false">WORKDAY(H61,1)</f>
        <v>37070</v>
      </c>
    </row>
    <row r="62" customFormat="false" ht="12.75" hidden="false" customHeight="false" outlineLevel="0" collapsed="false">
      <c r="A62" s="369"/>
      <c r="B62" s="367"/>
      <c r="C62" s="368"/>
      <c r="D62" s="366"/>
      <c r="E62" s="366"/>
      <c r="F62" s="336"/>
      <c r="G62" s="358" t="n">
        <v>37104</v>
      </c>
      <c r="H62" s="359" t="n">
        <v>37100</v>
      </c>
      <c r="I62" s="360" t="n">
        <v>37098</v>
      </c>
      <c r="J62" s="370" t="n">
        <f aca="false">WORKDAY(H62,1)</f>
        <v>37102</v>
      </c>
    </row>
    <row r="63" customFormat="false" ht="12.75" hidden="false" customHeight="false" outlineLevel="0" collapsed="false">
      <c r="A63" s="369"/>
      <c r="B63" s="367"/>
      <c r="C63" s="368"/>
      <c r="D63" s="366"/>
      <c r="E63" s="366"/>
      <c r="F63" s="336"/>
      <c r="G63" s="358" t="n">
        <v>37135</v>
      </c>
      <c r="H63" s="359" t="n">
        <v>37132</v>
      </c>
      <c r="I63" s="360" t="n">
        <v>37131</v>
      </c>
      <c r="J63" s="370" t="n">
        <f aca="false">WORKDAY(H63,1)</f>
        <v>37133</v>
      </c>
    </row>
    <row r="64" customFormat="false" ht="12.75" hidden="false" customHeight="false" outlineLevel="0" collapsed="false">
      <c r="A64" s="369"/>
      <c r="B64" s="367"/>
      <c r="C64" s="368"/>
      <c r="D64" s="366"/>
      <c r="E64" s="366"/>
      <c r="F64" s="336"/>
      <c r="G64" s="358" t="n">
        <v>37165</v>
      </c>
      <c r="H64" s="359" t="n">
        <v>37160</v>
      </c>
      <c r="I64" s="360" t="n">
        <v>37159</v>
      </c>
      <c r="J64" s="370" t="n">
        <f aca="false">WORKDAY(H64,1)</f>
        <v>37161</v>
      </c>
    </row>
    <row r="65" customFormat="false" ht="12.75" hidden="false" customHeight="false" outlineLevel="0" collapsed="false">
      <c r="A65" s="369"/>
      <c r="B65" s="367"/>
      <c r="C65" s="368"/>
      <c r="D65" s="366"/>
      <c r="E65" s="366"/>
      <c r="F65" s="336"/>
      <c r="G65" s="358" t="n">
        <v>37196</v>
      </c>
      <c r="H65" s="359" t="n">
        <v>37193</v>
      </c>
      <c r="I65" s="360" t="n">
        <v>37190</v>
      </c>
      <c r="J65" s="370" t="n">
        <f aca="false">WORKDAY(H65,1)</f>
        <v>37194</v>
      </c>
    </row>
    <row r="66" customFormat="false" ht="12.75" hidden="false" customHeight="false" outlineLevel="0" collapsed="false">
      <c r="A66" s="369"/>
      <c r="B66" s="367"/>
      <c r="C66" s="368"/>
      <c r="D66" s="366"/>
      <c r="E66" s="366"/>
      <c r="F66" s="336"/>
      <c r="G66" s="358" t="n">
        <v>37226</v>
      </c>
      <c r="H66" s="359" t="n">
        <v>37223</v>
      </c>
      <c r="I66" s="360" t="n">
        <v>37222</v>
      </c>
      <c r="J66" s="370" t="n">
        <f aca="false">WORKDAY(H66,1)</f>
        <v>37224</v>
      </c>
    </row>
    <row r="67" customFormat="false" ht="12.75" hidden="false" customHeight="false" outlineLevel="0" collapsed="false">
      <c r="A67" s="369"/>
      <c r="B67" s="367"/>
      <c r="C67" s="368"/>
      <c r="D67" s="366"/>
      <c r="E67" s="366"/>
      <c r="F67" s="336"/>
      <c r="G67" s="358" t="n">
        <v>37257</v>
      </c>
      <c r="H67" s="359" t="n">
        <v>37252</v>
      </c>
      <c r="I67" s="360" t="n">
        <v>37251</v>
      </c>
      <c r="J67" s="370" t="n">
        <f aca="false">WORKDAY(H67,1)</f>
        <v>37253</v>
      </c>
    </row>
    <row r="68" customFormat="false" ht="12.75" hidden="false" customHeight="false" outlineLevel="0" collapsed="false">
      <c r="A68" s="369"/>
      <c r="B68" s="367"/>
      <c r="C68" s="368"/>
      <c r="D68" s="366"/>
      <c r="E68" s="366"/>
      <c r="F68" s="336"/>
      <c r="G68" s="358" t="n">
        <v>37288</v>
      </c>
      <c r="H68" s="359" t="n">
        <v>37285</v>
      </c>
      <c r="I68" s="360" t="n">
        <v>37284</v>
      </c>
      <c r="J68" s="370" t="n">
        <f aca="false">WORKDAY(H68,1)</f>
        <v>37286</v>
      </c>
    </row>
    <row r="69" customFormat="false" ht="12.75" hidden="false" customHeight="false" outlineLevel="0" collapsed="false">
      <c r="A69" s="369"/>
      <c r="B69" s="367"/>
      <c r="C69" s="368"/>
      <c r="D69" s="366"/>
      <c r="E69" s="366"/>
      <c r="F69" s="336"/>
      <c r="G69" s="358" t="n">
        <v>37316</v>
      </c>
      <c r="H69" s="359" t="n">
        <v>37313</v>
      </c>
      <c r="I69" s="360" t="n">
        <v>37312</v>
      </c>
      <c r="J69" s="370" t="n">
        <f aca="false">WORKDAY(H69,1)</f>
        <v>37314</v>
      </c>
    </row>
    <row r="70" customFormat="false" ht="12.75" hidden="false" customHeight="false" outlineLevel="0" collapsed="false">
      <c r="A70" s="369"/>
      <c r="B70" s="367"/>
      <c r="C70" s="368"/>
      <c r="D70" s="366"/>
      <c r="E70" s="366"/>
      <c r="F70" s="336"/>
      <c r="G70" s="358" t="n">
        <v>37347</v>
      </c>
      <c r="H70" s="359" t="n">
        <v>37341</v>
      </c>
      <c r="I70" s="360" t="n">
        <v>37340</v>
      </c>
      <c r="J70" s="370" t="n">
        <f aca="false">WORKDAY(H70,1)</f>
        <v>37342</v>
      </c>
    </row>
    <row r="71" customFormat="false" ht="12.75" hidden="false" customHeight="false" outlineLevel="0" collapsed="false">
      <c r="A71" s="369"/>
      <c r="B71" s="367"/>
      <c r="C71" s="368"/>
      <c r="D71" s="366"/>
      <c r="E71" s="366"/>
      <c r="F71" s="336"/>
      <c r="G71" s="358" t="n">
        <v>37377</v>
      </c>
      <c r="H71" s="359" t="n">
        <v>37372</v>
      </c>
      <c r="I71" s="360" t="n">
        <v>37371</v>
      </c>
      <c r="J71" s="370" t="n">
        <f aca="false">WORKDAY(H71,1)</f>
        <v>37375</v>
      </c>
    </row>
    <row r="72" customFormat="false" ht="12.75" hidden="false" customHeight="false" outlineLevel="0" collapsed="false">
      <c r="A72" s="369"/>
      <c r="B72" s="367"/>
      <c r="C72" s="368"/>
      <c r="D72" s="366"/>
      <c r="E72" s="366"/>
      <c r="F72" s="336"/>
      <c r="G72" s="358" t="n">
        <v>37408</v>
      </c>
      <c r="H72" s="359" t="n">
        <v>37405</v>
      </c>
      <c r="I72" s="360" t="n">
        <v>37404</v>
      </c>
      <c r="J72" s="370" t="n">
        <f aca="false">WORKDAY(H72,1)</f>
        <v>37406</v>
      </c>
    </row>
    <row r="73" customFormat="false" ht="12.75" hidden="false" customHeight="false" outlineLevel="0" collapsed="false">
      <c r="A73" s="369"/>
      <c r="B73" s="367"/>
      <c r="C73" s="368"/>
      <c r="D73" s="366"/>
      <c r="E73" s="366"/>
      <c r="F73" s="336"/>
      <c r="G73" s="358" t="n">
        <v>37438</v>
      </c>
      <c r="H73" s="359" t="n">
        <v>37433</v>
      </c>
      <c r="I73" s="360" t="n">
        <v>37432</v>
      </c>
      <c r="J73" s="370" t="n">
        <f aca="false">WORKDAY(H73,1)</f>
        <v>37434</v>
      </c>
    </row>
    <row r="74" customFormat="false" ht="12.75" hidden="false" customHeight="false" outlineLevel="0" collapsed="false">
      <c r="A74" s="369"/>
      <c r="B74" s="367"/>
      <c r="C74" s="368"/>
      <c r="D74" s="366"/>
      <c r="E74" s="366"/>
      <c r="F74" s="336"/>
      <c r="G74" s="358" t="n">
        <v>37469</v>
      </c>
      <c r="H74" s="359" t="n">
        <v>37466</v>
      </c>
      <c r="I74" s="360" t="n">
        <v>37463</v>
      </c>
      <c r="J74" s="370" t="n">
        <f aca="false">WORKDAY(H74,1)</f>
        <v>37467</v>
      </c>
    </row>
    <row r="75" customFormat="false" ht="12.75" hidden="false" customHeight="false" outlineLevel="0" collapsed="false">
      <c r="A75" s="369"/>
      <c r="B75" s="367"/>
      <c r="C75" s="368"/>
      <c r="D75" s="366"/>
      <c r="E75" s="366"/>
      <c r="F75" s="336"/>
      <c r="G75" s="358" t="n">
        <v>37500</v>
      </c>
      <c r="H75" s="359" t="n">
        <v>37496</v>
      </c>
      <c r="I75" s="360" t="n">
        <v>37495</v>
      </c>
      <c r="J75" s="370" t="n">
        <f aca="false">WORKDAY(H75,1)</f>
        <v>37497</v>
      </c>
    </row>
    <row r="76" customFormat="false" ht="12.75" hidden="false" customHeight="false" outlineLevel="0" collapsed="false">
      <c r="A76" s="369"/>
      <c r="B76" s="367"/>
      <c r="C76" s="368"/>
      <c r="D76" s="366"/>
      <c r="E76" s="366"/>
      <c r="F76" s="336"/>
      <c r="G76" s="358" t="n">
        <v>37530</v>
      </c>
      <c r="H76" s="359" t="n">
        <v>37525</v>
      </c>
      <c r="I76" s="360" t="n">
        <v>37524</v>
      </c>
      <c r="J76" s="370" t="n">
        <f aca="false">WORKDAY(H76,1)</f>
        <v>37526</v>
      </c>
    </row>
    <row r="77" customFormat="false" ht="12.75" hidden="false" customHeight="false" outlineLevel="0" collapsed="false">
      <c r="A77" s="369"/>
      <c r="B77" s="367"/>
      <c r="C77" s="368"/>
      <c r="D77" s="366"/>
      <c r="E77" s="366"/>
      <c r="F77" s="336"/>
      <c r="G77" s="358" t="n">
        <v>37561</v>
      </c>
      <c r="H77" s="359" t="n">
        <v>37558</v>
      </c>
      <c r="I77" s="360" t="n">
        <v>37557</v>
      </c>
      <c r="J77" s="370" t="n">
        <f aca="false">WORKDAY(H77,1)</f>
        <v>37559</v>
      </c>
    </row>
    <row r="78" customFormat="false" ht="12.75" hidden="false" customHeight="false" outlineLevel="0" collapsed="false">
      <c r="A78" s="369"/>
      <c r="B78" s="367"/>
      <c r="C78" s="368"/>
      <c r="D78" s="366"/>
      <c r="E78" s="366"/>
      <c r="F78" s="336"/>
      <c r="G78" s="358" t="n">
        <v>37591</v>
      </c>
      <c r="H78" s="359" t="n">
        <v>37586</v>
      </c>
      <c r="I78" s="360" t="n">
        <v>37585</v>
      </c>
      <c r="J78" s="370" t="n">
        <f aca="false">WORKDAY(H78,1)</f>
        <v>37587</v>
      </c>
    </row>
    <row r="79" customFormat="false" ht="12.75" hidden="false" customHeight="false" outlineLevel="0" collapsed="false">
      <c r="A79" s="369"/>
      <c r="B79" s="367"/>
      <c r="C79" s="368"/>
      <c r="D79" s="366"/>
      <c r="E79" s="366"/>
      <c r="F79" s="336"/>
      <c r="G79" s="358" t="n">
        <v>37622</v>
      </c>
      <c r="H79" s="359" t="n">
        <v>37617</v>
      </c>
      <c r="I79" s="360" t="n">
        <v>37616</v>
      </c>
      <c r="J79" s="370" t="n">
        <f aca="false">WORKDAY(H79,1)</f>
        <v>37620</v>
      </c>
    </row>
    <row r="80" customFormat="false" ht="12.75" hidden="false" customHeight="false" outlineLevel="0" collapsed="false">
      <c r="A80" s="369"/>
      <c r="B80" s="367"/>
      <c r="C80" s="368"/>
      <c r="D80" s="366"/>
      <c r="E80" s="366"/>
      <c r="F80" s="336"/>
      <c r="G80" s="358" t="n">
        <v>37653</v>
      </c>
      <c r="H80" s="359" t="n">
        <v>37650</v>
      </c>
      <c r="I80" s="360" t="n">
        <v>37649</v>
      </c>
      <c r="J80" s="370" t="n">
        <f aca="false">WORKDAY(H80,1)</f>
        <v>37651</v>
      </c>
    </row>
    <row r="81" customFormat="false" ht="12.75" hidden="false" customHeight="false" outlineLevel="0" collapsed="false">
      <c r="A81" s="369"/>
      <c r="B81" s="367"/>
      <c r="C81" s="368"/>
      <c r="D81" s="366"/>
      <c r="E81" s="366"/>
      <c r="F81" s="336"/>
      <c r="G81" s="358" t="n">
        <v>37681</v>
      </c>
      <c r="H81" s="359" t="n">
        <v>37678</v>
      </c>
      <c r="I81" s="360" t="n">
        <v>37677</v>
      </c>
      <c r="J81" s="370" t="n">
        <f aca="false">WORKDAY(H81,1)</f>
        <v>37679</v>
      </c>
    </row>
    <row r="82" customFormat="false" ht="12.75" hidden="false" customHeight="false" outlineLevel="0" collapsed="false">
      <c r="A82" s="369"/>
      <c r="B82" s="367"/>
      <c r="C82" s="368"/>
      <c r="D82" s="366"/>
      <c r="E82" s="366"/>
      <c r="F82" s="336"/>
      <c r="G82" s="358" t="n">
        <v>37712</v>
      </c>
      <c r="H82" s="359" t="n">
        <v>37707</v>
      </c>
      <c r="I82" s="360" t="n">
        <v>37706</v>
      </c>
      <c r="J82" s="370" t="n">
        <f aca="false">WORKDAY(H82,1)</f>
        <v>37708</v>
      </c>
    </row>
    <row r="83" customFormat="false" ht="12.75" hidden="false" customHeight="false" outlineLevel="0" collapsed="false">
      <c r="A83" s="369"/>
      <c r="B83" s="367"/>
      <c r="C83" s="368"/>
      <c r="D83" s="366"/>
      <c r="E83" s="366"/>
      <c r="F83" s="336"/>
      <c r="G83" s="358" t="n">
        <v>37742</v>
      </c>
      <c r="H83" s="359" t="n">
        <v>37739</v>
      </c>
      <c r="I83" s="360" t="n">
        <v>37736</v>
      </c>
      <c r="J83" s="370" t="n">
        <f aca="false">WORKDAY(H83,1)</f>
        <v>37740</v>
      </c>
    </row>
    <row r="84" customFormat="false" ht="12.75" hidden="false" customHeight="false" outlineLevel="0" collapsed="false">
      <c r="A84" s="369"/>
      <c r="B84" s="367"/>
      <c r="C84" s="368"/>
      <c r="D84" s="366"/>
      <c r="E84" s="366"/>
      <c r="F84" s="336"/>
      <c r="G84" s="358" t="n">
        <v>37773</v>
      </c>
      <c r="H84" s="359" t="n">
        <v>37769</v>
      </c>
      <c r="I84" s="360" t="n">
        <v>37768</v>
      </c>
      <c r="J84" s="370" t="n">
        <f aca="false">WORKDAY(H84,1)</f>
        <v>37770</v>
      </c>
    </row>
    <row r="85" customFormat="false" ht="12.75" hidden="false" customHeight="false" outlineLevel="0" collapsed="false">
      <c r="A85" s="369"/>
      <c r="B85" s="367"/>
      <c r="C85" s="368"/>
      <c r="D85" s="366"/>
      <c r="E85" s="366"/>
      <c r="F85" s="336"/>
      <c r="G85" s="358" t="n">
        <v>37803</v>
      </c>
      <c r="H85" s="359" t="n">
        <v>37798</v>
      </c>
      <c r="I85" s="360" t="n">
        <v>37797</v>
      </c>
      <c r="J85" s="370" t="n">
        <f aca="false">WORKDAY(H85,1)</f>
        <v>37799</v>
      </c>
    </row>
    <row r="86" customFormat="false" ht="12.75" hidden="false" customHeight="false" outlineLevel="0" collapsed="false">
      <c r="A86" s="369"/>
      <c r="B86" s="367"/>
      <c r="C86" s="368"/>
      <c r="D86" s="366"/>
      <c r="E86" s="366"/>
      <c r="F86" s="336"/>
      <c r="G86" s="358" t="n">
        <v>37834</v>
      </c>
      <c r="H86" s="359" t="n">
        <v>37831</v>
      </c>
      <c r="I86" s="360" t="n">
        <v>37830</v>
      </c>
      <c r="J86" s="370" t="n">
        <f aca="false">WORKDAY(H86,1)</f>
        <v>37832</v>
      </c>
    </row>
    <row r="87" customFormat="false" ht="12.75" hidden="false" customHeight="false" outlineLevel="0" collapsed="false">
      <c r="A87" s="369"/>
      <c r="B87" s="367"/>
      <c r="C87" s="368"/>
      <c r="D87" s="366"/>
      <c r="E87" s="366"/>
      <c r="F87" s="336"/>
      <c r="G87" s="358" t="n">
        <v>37865</v>
      </c>
      <c r="H87" s="359" t="n">
        <v>37860</v>
      </c>
      <c r="I87" s="360" t="n">
        <v>37859</v>
      </c>
      <c r="J87" s="370" t="n">
        <f aca="false">WORKDAY(H87,1)</f>
        <v>37861</v>
      </c>
    </row>
    <row r="88" customFormat="false" ht="12.75" hidden="false" customHeight="false" outlineLevel="0" collapsed="false">
      <c r="A88" s="369"/>
      <c r="B88" s="367"/>
      <c r="C88" s="368"/>
      <c r="D88" s="366"/>
      <c r="E88" s="366"/>
      <c r="F88" s="336"/>
      <c r="G88" s="358" t="n">
        <v>37895</v>
      </c>
      <c r="H88" s="359" t="n">
        <v>37890</v>
      </c>
      <c r="I88" s="360" t="n">
        <v>37889</v>
      </c>
      <c r="J88" s="370" t="n">
        <f aca="false">WORKDAY(H88,1)</f>
        <v>37893</v>
      </c>
    </row>
    <row r="89" customFormat="false" ht="12.75" hidden="false" customHeight="false" outlineLevel="0" collapsed="false">
      <c r="A89" s="369"/>
      <c r="B89" s="367"/>
      <c r="C89" s="368"/>
      <c r="D89" s="366"/>
      <c r="E89" s="366"/>
      <c r="F89" s="336"/>
      <c r="G89" s="358" t="n">
        <v>37926</v>
      </c>
      <c r="H89" s="359" t="n">
        <v>37923</v>
      </c>
      <c r="I89" s="360" t="n">
        <v>37922</v>
      </c>
      <c r="J89" s="370" t="n">
        <f aca="false">WORKDAY(H89,1)</f>
        <v>37924</v>
      </c>
    </row>
    <row r="90" customFormat="false" ht="12.75" hidden="false" customHeight="false" outlineLevel="0" collapsed="false">
      <c r="A90" s="369"/>
      <c r="B90" s="367"/>
      <c r="C90" s="368"/>
      <c r="D90" s="366"/>
      <c r="E90" s="366"/>
      <c r="F90" s="336"/>
      <c r="G90" s="358" t="n">
        <v>37956</v>
      </c>
      <c r="H90" s="359" t="n">
        <v>37950</v>
      </c>
      <c r="I90" s="360" t="n">
        <v>37949</v>
      </c>
      <c r="J90" s="370" t="n">
        <f aca="false">WORKDAY(H90,1)</f>
        <v>37951</v>
      </c>
    </row>
    <row r="91" customFormat="false" ht="12.75" hidden="false" customHeight="false" outlineLevel="0" collapsed="false">
      <c r="A91" s="369"/>
      <c r="B91" s="367"/>
      <c r="C91" s="368"/>
      <c r="D91" s="366"/>
      <c r="E91" s="366"/>
      <c r="F91" s="336"/>
      <c r="G91" s="358" t="n">
        <v>37987</v>
      </c>
      <c r="H91" s="359" t="n">
        <v>37984</v>
      </c>
      <c r="I91" s="360" t="n">
        <v>37981</v>
      </c>
      <c r="J91" s="370" t="n">
        <f aca="false">WORKDAY(H91,1)</f>
        <v>37985</v>
      </c>
    </row>
    <row r="92" customFormat="false" ht="12.75" hidden="false" customHeight="false" outlineLevel="0" collapsed="false">
      <c r="A92" s="369"/>
      <c r="B92" s="367"/>
      <c r="C92" s="368"/>
      <c r="D92" s="366"/>
      <c r="E92" s="366"/>
      <c r="F92" s="336"/>
      <c r="G92" s="358" t="n">
        <v>38018</v>
      </c>
      <c r="H92" s="359" t="n">
        <v>38014</v>
      </c>
      <c r="I92" s="360" t="n">
        <v>38013</v>
      </c>
      <c r="J92" s="370" t="n">
        <f aca="false">WORKDAY(H92,1)</f>
        <v>38015</v>
      </c>
    </row>
    <row r="93" customFormat="false" ht="12.75" hidden="false" customHeight="false" outlineLevel="0" collapsed="false">
      <c r="A93" s="369"/>
      <c r="B93" s="367"/>
      <c r="C93" s="368"/>
      <c r="D93" s="366"/>
      <c r="E93" s="366"/>
      <c r="F93" s="336"/>
      <c r="G93" s="358" t="n">
        <v>38047</v>
      </c>
      <c r="H93" s="359" t="n">
        <v>38042</v>
      </c>
      <c r="I93" s="360" t="n">
        <v>38041</v>
      </c>
      <c r="J93" s="370" t="n">
        <f aca="false">WORKDAY(H93,1)</f>
        <v>38043</v>
      </c>
    </row>
    <row r="94" customFormat="false" ht="12.75" hidden="false" customHeight="false" outlineLevel="0" collapsed="false">
      <c r="A94" s="369"/>
      <c r="B94" s="367"/>
      <c r="C94" s="368"/>
      <c r="D94" s="366"/>
      <c r="E94" s="366"/>
      <c r="F94" s="336"/>
      <c r="G94" s="358" t="n">
        <v>38078</v>
      </c>
      <c r="H94" s="359" t="n">
        <v>38075</v>
      </c>
      <c r="I94" s="360" t="n">
        <v>38072</v>
      </c>
      <c r="J94" s="370" t="n">
        <f aca="false">WORKDAY(H94,1)</f>
        <v>38076</v>
      </c>
    </row>
    <row r="95" customFormat="false" ht="12.75" hidden="false" customHeight="false" outlineLevel="0" collapsed="false">
      <c r="A95" s="369"/>
      <c r="B95" s="367"/>
      <c r="C95" s="368"/>
      <c r="D95" s="366"/>
      <c r="E95" s="366"/>
      <c r="F95" s="336"/>
      <c r="G95" s="358" t="n">
        <v>38108</v>
      </c>
      <c r="H95" s="359" t="n">
        <v>38105</v>
      </c>
      <c r="I95" s="360" t="n">
        <v>38104</v>
      </c>
      <c r="J95" s="370" t="n">
        <f aca="false">WORKDAY(H95,1)</f>
        <v>38106</v>
      </c>
    </row>
    <row r="96" customFormat="false" ht="12.75" hidden="false" customHeight="false" outlineLevel="0" collapsed="false">
      <c r="A96" s="369"/>
      <c r="B96" s="367"/>
      <c r="C96" s="368"/>
      <c r="D96" s="366"/>
      <c r="E96" s="366"/>
      <c r="F96" s="336"/>
      <c r="G96" s="358" t="n">
        <v>38139</v>
      </c>
      <c r="H96" s="359" t="n">
        <v>38133</v>
      </c>
      <c r="I96" s="360" t="n">
        <v>38132</v>
      </c>
      <c r="J96" s="370" t="n">
        <f aca="false">WORKDAY(H96,1)</f>
        <v>38134</v>
      </c>
    </row>
    <row r="97" customFormat="false" ht="12.75" hidden="false" customHeight="false" outlineLevel="0" collapsed="false">
      <c r="A97" s="369"/>
      <c r="B97" s="367"/>
      <c r="C97" s="368"/>
      <c r="D97" s="366"/>
      <c r="E97" s="366"/>
      <c r="F97" s="336"/>
      <c r="G97" s="358" t="n">
        <v>38169</v>
      </c>
      <c r="H97" s="359" t="n">
        <v>38166</v>
      </c>
      <c r="I97" s="360" t="n">
        <v>38163</v>
      </c>
      <c r="J97" s="370" t="n">
        <f aca="false">WORKDAY(H97,1)</f>
        <v>38167</v>
      </c>
    </row>
    <row r="98" customFormat="false" ht="12.75" hidden="false" customHeight="false" outlineLevel="0" collapsed="false">
      <c r="A98" s="369"/>
      <c r="B98" s="367"/>
      <c r="C98" s="368"/>
      <c r="D98" s="366"/>
      <c r="E98" s="366"/>
      <c r="F98" s="336"/>
      <c r="G98" s="358" t="n">
        <v>38200</v>
      </c>
      <c r="H98" s="359" t="n">
        <v>38196</v>
      </c>
      <c r="I98" s="360" t="n">
        <v>38195</v>
      </c>
      <c r="J98" s="370" t="n">
        <f aca="false">WORKDAY(H98,1)</f>
        <v>38197</v>
      </c>
    </row>
    <row r="99" customFormat="false" ht="12.75" hidden="false" customHeight="false" outlineLevel="0" collapsed="false">
      <c r="A99" s="369"/>
      <c r="B99" s="367"/>
      <c r="C99" s="368"/>
      <c r="D99" s="366"/>
      <c r="E99" s="366"/>
      <c r="F99" s="336"/>
      <c r="G99" s="358" t="n">
        <v>38231</v>
      </c>
      <c r="H99" s="359" t="n">
        <v>38226</v>
      </c>
      <c r="I99" s="360" t="n">
        <v>38225</v>
      </c>
      <c r="J99" s="370" t="n">
        <f aca="false">WORKDAY(H99,1)</f>
        <v>38229</v>
      </c>
    </row>
    <row r="100" customFormat="false" ht="12.75" hidden="false" customHeight="false" outlineLevel="0" collapsed="false">
      <c r="A100" s="369"/>
      <c r="B100" s="367"/>
      <c r="C100" s="368"/>
      <c r="D100" s="366"/>
      <c r="E100" s="366"/>
      <c r="F100" s="336"/>
      <c r="G100" s="358" t="n">
        <v>38261</v>
      </c>
      <c r="H100" s="359" t="n">
        <v>38258</v>
      </c>
      <c r="I100" s="360" t="n">
        <v>38257</v>
      </c>
      <c r="J100" s="370" t="n">
        <f aca="false">WORKDAY(H100,1)</f>
        <v>38259</v>
      </c>
    </row>
    <row r="101" customFormat="false" ht="12.75" hidden="false" customHeight="false" outlineLevel="0" collapsed="false">
      <c r="A101" s="369"/>
      <c r="B101" s="367"/>
      <c r="C101" s="368"/>
      <c r="D101" s="366"/>
      <c r="E101" s="366"/>
      <c r="F101" s="336"/>
      <c r="G101" s="358" t="n">
        <v>38292</v>
      </c>
      <c r="H101" s="359" t="n">
        <v>38287</v>
      </c>
      <c r="I101" s="360" t="n">
        <v>38286</v>
      </c>
      <c r="J101" s="370" t="n">
        <f aca="false">WORKDAY(H101,1)</f>
        <v>38288</v>
      </c>
    </row>
    <row r="102" customFormat="false" ht="12.75" hidden="false" customHeight="false" outlineLevel="0" collapsed="false">
      <c r="A102" s="369"/>
      <c r="B102" s="367"/>
      <c r="C102" s="368"/>
      <c r="D102" s="366"/>
      <c r="E102" s="366"/>
      <c r="F102" s="336"/>
      <c r="G102" s="358" t="n">
        <v>38322</v>
      </c>
      <c r="H102" s="359" t="n">
        <v>38317</v>
      </c>
      <c r="I102" s="360" t="n">
        <v>38315</v>
      </c>
      <c r="J102" s="370" t="n">
        <f aca="false">WORKDAY(H102,1)</f>
        <v>38320</v>
      </c>
    </row>
    <row r="103" customFormat="false" ht="12.75" hidden="false" customHeight="false" outlineLevel="0" collapsed="false">
      <c r="A103" s="369"/>
      <c r="B103" s="367"/>
      <c r="C103" s="368"/>
      <c r="D103" s="366"/>
      <c r="E103" s="366"/>
      <c r="F103" s="336"/>
      <c r="G103" s="358" t="n">
        <v>38353</v>
      </c>
      <c r="H103" s="359" t="n">
        <v>38349</v>
      </c>
      <c r="I103" s="360" t="n">
        <v>38348</v>
      </c>
      <c r="J103" s="370" t="n">
        <f aca="false">WORKDAY(H103,1)</f>
        <v>38350</v>
      </c>
    </row>
    <row r="104" customFormat="false" ht="12.75" hidden="false" customHeight="false" outlineLevel="0" collapsed="false">
      <c r="A104" s="369"/>
      <c r="B104" s="367"/>
      <c r="C104" s="368"/>
      <c r="D104" s="366"/>
      <c r="E104" s="366"/>
      <c r="F104" s="336"/>
      <c r="G104" s="358" t="n">
        <v>38384</v>
      </c>
      <c r="H104" s="359" t="n">
        <v>38379</v>
      </c>
      <c r="I104" s="360" t="n">
        <v>38378</v>
      </c>
      <c r="J104" s="370" t="n">
        <f aca="false">WORKDAY(H104,1)</f>
        <v>38380</v>
      </c>
    </row>
    <row r="105" customFormat="false" ht="12.75" hidden="false" customHeight="false" outlineLevel="0" collapsed="false">
      <c r="A105" s="369"/>
      <c r="B105" s="367"/>
      <c r="C105" s="368"/>
      <c r="D105" s="366"/>
      <c r="E105" s="366"/>
      <c r="F105" s="336"/>
      <c r="G105" s="358" t="n">
        <v>38412</v>
      </c>
      <c r="H105" s="359" t="n">
        <v>38407</v>
      </c>
      <c r="I105" s="360" t="n">
        <v>38406</v>
      </c>
      <c r="J105" s="370" t="n">
        <f aca="false">WORKDAY(H105,1)</f>
        <v>38408</v>
      </c>
    </row>
    <row r="106" customFormat="false" ht="12.75" hidden="false" customHeight="false" outlineLevel="0" collapsed="false">
      <c r="A106" s="369"/>
      <c r="B106" s="367"/>
      <c r="C106" s="368"/>
      <c r="D106" s="366"/>
      <c r="E106" s="366"/>
      <c r="F106" s="336"/>
      <c r="G106" s="358" t="n">
        <v>38443</v>
      </c>
      <c r="H106" s="359" t="n">
        <v>38440</v>
      </c>
      <c r="I106" s="360" t="n">
        <v>38439</v>
      </c>
      <c r="J106" s="370" t="n">
        <f aca="false">WORKDAY(H106,1)</f>
        <v>38441</v>
      </c>
    </row>
    <row r="107" customFormat="false" ht="12.75" hidden="false" customHeight="false" outlineLevel="0" collapsed="false">
      <c r="A107" s="369"/>
      <c r="B107" s="367"/>
      <c r="C107" s="368"/>
      <c r="D107" s="366"/>
      <c r="E107" s="366"/>
      <c r="F107" s="336"/>
      <c r="G107" s="358" t="n">
        <v>38473</v>
      </c>
      <c r="H107" s="359" t="n">
        <v>38469</v>
      </c>
      <c r="I107" s="360" t="n">
        <v>38468</v>
      </c>
      <c r="J107" s="370" t="n">
        <f aca="false">WORKDAY(H107,1)</f>
        <v>38470</v>
      </c>
    </row>
    <row r="108" customFormat="false" ht="12.75" hidden="false" customHeight="false" outlineLevel="0" collapsed="false">
      <c r="A108" s="369"/>
      <c r="B108" s="367"/>
      <c r="C108" s="368"/>
      <c r="D108" s="366"/>
      <c r="E108" s="366"/>
      <c r="F108" s="336"/>
      <c r="G108" s="358" t="n">
        <v>38504</v>
      </c>
      <c r="H108" s="359" t="n">
        <v>38498</v>
      </c>
      <c r="I108" s="360" t="n">
        <v>38497</v>
      </c>
      <c r="J108" s="370" t="n">
        <f aca="false">WORKDAY(H108,1)</f>
        <v>38499</v>
      </c>
    </row>
    <row r="109" customFormat="false" ht="12.75" hidden="false" customHeight="false" outlineLevel="0" collapsed="false">
      <c r="A109" s="369"/>
      <c r="B109" s="367"/>
      <c r="C109" s="368"/>
      <c r="D109" s="366"/>
      <c r="E109" s="366"/>
      <c r="F109" s="336"/>
      <c r="G109" s="358" t="n">
        <v>38534</v>
      </c>
      <c r="H109" s="359" t="n">
        <v>38531</v>
      </c>
      <c r="I109" s="360" t="n">
        <v>38530</v>
      </c>
      <c r="J109" s="370" t="n">
        <f aca="false">WORKDAY(H109,1)</f>
        <v>38532</v>
      </c>
    </row>
    <row r="110" customFormat="false" ht="12.75" hidden="false" customHeight="false" outlineLevel="0" collapsed="false">
      <c r="A110" s="369"/>
      <c r="B110" s="367"/>
      <c r="C110" s="368"/>
      <c r="D110" s="366"/>
      <c r="E110" s="366"/>
      <c r="F110" s="336"/>
      <c r="G110" s="358" t="n">
        <v>38565</v>
      </c>
      <c r="H110" s="359" t="n">
        <v>38560</v>
      </c>
      <c r="I110" s="360" t="n">
        <v>38559</v>
      </c>
      <c r="J110" s="370" t="n">
        <f aca="false">WORKDAY(H110,1)</f>
        <v>38561</v>
      </c>
    </row>
    <row r="111" customFormat="false" ht="12.75" hidden="false" customHeight="false" outlineLevel="0" collapsed="false">
      <c r="A111" s="369"/>
      <c r="B111" s="367"/>
      <c r="C111" s="368"/>
      <c r="D111" s="366"/>
      <c r="E111" s="366"/>
      <c r="F111" s="336"/>
      <c r="G111" s="358" t="n">
        <v>38596</v>
      </c>
      <c r="H111" s="359" t="n">
        <v>38593</v>
      </c>
      <c r="I111" s="360" t="n">
        <v>38590</v>
      </c>
      <c r="J111" s="370" t="n">
        <f aca="false">WORKDAY(H111,1)</f>
        <v>38594</v>
      </c>
    </row>
    <row r="112" customFormat="false" ht="12.75" hidden="false" customHeight="false" outlineLevel="0" collapsed="false">
      <c r="A112" s="369"/>
      <c r="B112" s="367"/>
      <c r="C112" s="368"/>
      <c r="D112" s="366"/>
      <c r="E112" s="366"/>
      <c r="F112" s="336"/>
      <c r="G112" s="358" t="n">
        <v>38626</v>
      </c>
      <c r="H112" s="359" t="n">
        <v>38623</v>
      </c>
      <c r="I112" s="360" t="n">
        <v>38622</v>
      </c>
      <c r="J112" s="370" t="n">
        <f aca="false">WORKDAY(H112,1)</f>
        <v>38624</v>
      </c>
    </row>
    <row r="113" customFormat="false" ht="12.75" hidden="false" customHeight="false" outlineLevel="0" collapsed="false">
      <c r="A113" s="369"/>
      <c r="B113" s="367"/>
      <c r="C113" s="368"/>
      <c r="D113" s="366"/>
      <c r="E113" s="366"/>
      <c r="F113" s="336"/>
      <c r="G113" s="358" t="n">
        <v>38657</v>
      </c>
      <c r="H113" s="359" t="n">
        <v>38652</v>
      </c>
      <c r="I113" s="360" t="n">
        <v>38651</v>
      </c>
      <c r="J113" s="370" t="n">
        <f aca="false">WORKDAY(H113,1)</f>
        <v>38653</v>
      </c>
    </row>
    <row r="114" customFormat="false" ht="12.75" hidden="false" customHeight="false" outlineLevel="0" collapsed="false">
      <c r="A114" s="369"/>
      <c r="B114" s="367"/>
      <c r="C114" s="368"/>
      <c r="D114" s="366"/>
      <c r="E114" s="366"/>
      <c r="F114" s="336"/>
      <c r="G114" s="358" t="n">
        <v>38687</v>
      </c>
      <c r="H114" s="359" t="n">
        <v>38684</v>
      </c>
      <c r="I114" s="360" t="n">
        <v>38681</v>
      </c>
      <c r="J114" s="370" t="n">
        <f aca="false">WORKDAY(H114,1)</f>
        <v>38685</v>
      </c>
    </row>
    <row r="115" customFormat="false" ht="12.75" hidden="false" customHeight="false" outlineLevel="0" collapsed="false">
      <c r="A115" s="369"/>
      <c r="B115" s="367"/>
      <c r="C115" s="368"/>
      <c r="D115" s="366"/>
      <c r="E115" s="366"/>
      <c r="F115" s="336"/>
      <c r="G115" s="358" t="n">
        <v>38718</v>
      </c>
      <c r="H115" s="359" t="n">
        <v>38714</v>
      </c>
      <c r="I115" s="360" t="n">
        <v>38713</v>
      </c>
      <c r="J115" s="370" t="n">
        <f aca="false">WORKDAY(H115,1)</f>
        <v>38715</v>
      </c>
    </row>
    <row r="116" customFormat="false" ht="12.75" hidden="false" customHeight="false" outlineLevel="0" collapsed="false">
      <c r="A116" s="369"/>
      <c r="B116" s="367"/>
      <c r="C116" s="368"/>
      <c r="D116" s="366"/>
      <c r="E116" s="366"/>
      <c r="F116" s="336"/>
      <c r="G116" s="358" t="n">
        <v>38749</v>
      </c>
      <c r="H116" s="359" t="n">
        <v>38744</v>
      </c>
      <c r="I116" s="360" t="n">
        <v>38743</v>
      </c>
      <c r="J116" s="370" t="n">
        <f aca="false">WORKDAY(H116,1)</f>
        <v>38747</v>
      </c>
    </row>
    <row r="117" customFormat="false" ht="12.75" hidden="false" customHeight="false" outlineLevel="0" collapsed="false">
      <c r="A117" s="369"/>
      <c r="B117" s="367"/>
      <c r="C117" s="368"/>
      <c r="D117" s="366"/>
      <c r="E117" s="366"/>
      <c r="F117" s="336"/>
      <c r="G117" s="358" t="n">
        <v>38777</v>
      </c>
      <c r="H117" s="359" t="n">
        <v>38772</v>
      </c>
      <c r="I117" s="360" t="n">
        <v>38771</v>
      </c>
      <c r="J117" s="370" t="n">
        <f aca="false">WORKDAY(H117,1)</f>
        <v>38775</v>
      </c>
    </row>
    <row r="118" customFormat="false" ht="12.75" hidden="false" customHeight="false" outlineLevel="0" collapsed="false">
      <c r="A118" s="369"/>
      <c r="B118" s="367"/>
      <c r="C118" s="368"/>
      <c r="D118" s="366"/>
      <c r="E118" s="366"/>
      <c r="F118" s="336"/>
      <c r="G118" s="358" t="n">
        <v>38808</v>
      </c>
      <c r="H118" s="359" t="n">
        <v>38805</v>
      </c>
      <c r="I118" s="360" t="n">
        <v>38804</v>
      </c>
      <c r="J118" s="370" t="n">
        <f aca="false">WORKDAY(H118,1)</f>
        <v>38806</v>
      </c>
    </row>
    <row r="119" customFormat="false" ht="12.75" hidden="false" customHeight="false" outlineLevel="0" collapsed="false">
      <c r="A119" s="369"/>
      <c r="B119" s="367"/>
      <c r="C119" s="368"/>
      <c r="D119" s="366"/>
      <c r="E119" s="366"/>
      <c r="F119" s="336"/>
      <c r="G119" s="358" t="n">
        <v>38838</v>
      </c>
      <c r="H119" s="359" t="n">
        <v>38833</v>
      </c>
      <c r="I119" s="360" t="n">
        <v>38832</v>
      </c>
      <c r="J119" s="370" t="n">
        <f aca="false">WORKDAY(H119,1)</f>
        <v>38834</v>
      </c>
    </row>
    <row r="120" customFormat="false" ht="12.75" hidden="false" customHeight="false" outlineLevel="0" collapsed="false">
      <c r="A120" s="369"/>
      <c r="B120" s="367"/>
      <c r="C120" s="368"/>
      <c r="D120" s="366"/>
      <c r="E120" s="366"/>
      <c r="F120" s="336"/>
      <c r="G120" s="358" t="n">
        <v>38869</v>
      </c>
      <c r="H120" s="359" t="n">
        <v>38863</v>
      </c>
      <c r="I120" s="360" t="n">
        <v>38862</v>
      </c>
      <c r="J120" s="370" t="n">
        <f aca="false">WORKDAY(H120,1)</f>
        <v>38866</v>
      </c>
    </row>
    <row r="121" customFormat="false" ht="12.75" hidden="false" customHeight="false" outlineLevel="0" collapsed="false">
      <c r="A121" s="369"/>
      <c r="B121" s="367"/>
      <c r="C121" s="368"/>
      <c r="D121" s="366"/>
      <c r="E121" s="366"/>
      <c r="F121" s="336"/>
      <c r="G121" s="358" t="n">
        <v>38899</v>
      </c>
      <c r="H121" s="359" t="n">
        <v>38896</v>
      </c>
      <c r="I121" s="360" t="n">
        <v>38895</v>
      </c>
      <c r="J121" s="370" t="n">
        <f aca="false">WORKDAY(H121,1)</f>
        <v>38897</v>
      </c>
    </row>
    <row r="122" customFormat="false" ht="12.75" hidden="false" customHeight="false" outlineLevel="0" collapsed="false">
      <c r="A122" s="369"/>
      <c r="B122" s="367"/>
      <c r="C122" s="368"/>
      <c r="D122" s="366"/>
      <c r="E122" s="366"/>
      <c r="F122" s="336"/>
      <c r="G122" s="358" t="n">
        <v>38930</v>
      </c>
      <c r="H122" s="359" t="n">
        <v>38925</v>
      </c>
      <c r="I122" s="360" t="n">
        <v>38924</v>
      </c>
      <c r="J122" s="370" t="n">
        <f aca="false">WORKDAY(H122,1)</f>
        <v>38926</v>
      </c>
    </row>
    <row r="123" customFormat="false" ht="12.75" hidden="false" customHeight="false" outlineLevel="0" collapsed="false">
      <c r="A123" s="369"/>
      <c r="B123" s="367"/>
      <c r="C123" s="368"/>
      <c r="D123" s="366"/>
      <c r="E123" s="366"/>
      <c r="F123" s="336"/>
      <c r="G123" s="358" t="n">
        <v>38961</v>
      </c>
      <c r="H123" s="359" t="n">
        <v>38958</v>
      </c>
      <c r="I123" s="360" t="n">
        <v>38957</v>
      </c>
      <c r="J123" s="370" t="n">
        <f aca="false">WORKDAY(H123,1)</f>
        <v>38959</v>
      </c>
    </row>
    <row r="124" customFormat="false" ht="12.75" hidden="false" customHeight="false" outlineLevel="0" collapsed="false">
      <c r="A124" s="369"/>
      <c r="B124" s="367"/>
      <c r="C124" s="368"/>
      <c r="D124" s="366"/>
      <c r="E124" s="366"/>
      <c r="F124" s="336"/>
      <c r="G124" s="358" t="n">
        <v>38991</v>
      </c>
      <c r="H124" s="359" t="n">
        <v>38987</v>
      </c>
      <c r="I124" s="360" t="n">
        <v>38986</v>
      </c>
      <c r="J124" s="370" t="n">
        <f aca="false">WORKDAY(H124,1)</f>
        <v>38988</v>
      </c>
    </row>
    <row r="125" customFormat="false" ht="12.75" hidden="false" customHeight="false" outlineLevel="0" collapsed="false">
      <c r="A125" s="369"/>
      <c r="B125" s="367"/>
      <c r="C125" s="368"/>
      <c r="D125" s="366"/>
      <c r="E125" s="366"/>
      <c r="F125" s="336"/>
      <c r="G125" s="358" t="n">
        <v>39022</v>
      </c>
      <c r="H125" s="359" t="n">
        <v>39017</v>
      </c>
      <c r="I125" s="360" t="n">
        <v>39016</v>
      </c>
      <c r="J125" s="370" t="n">
        <f aca="false">WORKDAY(H125,1)</f>
        <v>39020</v>
      </c>
    </row>
    <row r="126" customFormat="false" ht="12.75" hidden="false" customHeight="false" outlineLevel="0" collapsed="false">
      <c r="A126" s="369"/>
      <c r="B126" s="367"/>
      <c r="C126" s="368"/>
      <c r="D126" s="366"/>
      <c r="E126" s="366"/>
      <c r="F126" s="336"/>
      <c r="G126" s="358" t="n">
        <v>39052</v>
      </c>
      <c r="H126" s="359" t="n">
        <v>39049</v>
      </c>
      <c r="I126" s="360" t="n">
        <v>39048</v>
      </c>
      <c r="J126" s="370" t="n">
        <f aca="false">WORKDAY(H126,1)</f>
        <v>39050</v>
      </c>
    </row>
    <row r="127" customFormat="false" ht="12.75" hidden="false" customHeight="false" outlineLevel="0" collapsed="false">
      <c r="A127" s="369"/>
      <c r="B127" s="367"/>
      <c r="C127" s="368"/>
      <c r="D127" s="366"/>
      <c r="E127" s="366"/>
      <c r="F127" s="336"/>
      <c r="G127" s="358" t="n">
        <v>39083</v>
      </c>
      <c r="H127" s="359" t="n">
        <v>39078</v>
      </c>
      <c r="I127" s="360" t="n">
        <v>39077</v>
      </c>
      <c r="J127" s="370" t="n">
        <f aca="false">WORKDAY(H127,1)</f>
        <v>39079</v>
      </c>
    </row>
    <row r="128" customFormat="false" ht="12.75" hidden="false" customHeight="false" outlineLevel="0" collapsed="false">
      <c r="A128" s="369"/>
      <c r="B128" s="367"/>
      <c r="C128" s="368"/>
      <c r="D128" s="366"/>
      <c r="E128" s="366"/>
      <c r="F128" s="336"/>
      <c r="G128" s="358" t="n">
        <v>39114</v>
      </c>
      <c r="H128" s="359" t="n">
        <v>39111</v>
      </c>
      <c r="I128" s="360" t="n">
        <v>39108</v>
      </c>
      <c r="J128" s="370" t="n">
        <f aca="false">WORKDAY(H128,1)</f>
        <v>39112</v>
      </c>
    </row>
    <row r="129" customFormat="false" ht="12.75" hidden="false" customHeight="false" outlineLevel="0" collapsed="false">
      <c r="A129" s="369"/>
      <c r="B129" s="367"/>
      <c r="C129" s="368"/>
      <c r="D129" s="366"/>
      <c r="E129" s="366"/>
      <c r="F129" s="336"/>
      <c r="G129" s="358" t="n">
        <v>39142</v>
      </c>
      <c r="H129" s="359" t="n">
        <v>39139</v>
      </c>
      <c r="I129" s="360" t="n">
        <v>39136</v>
      </c>
      <c r="J129" s="370" t="n">
        <f aca="false">WORKDAY(H129,1)</f>
        <v>39140</v>
      </c>
    </row>
    <row r="130" customFormat="false" ht="12.75" hidden="false" customHeight="false" outlineLevel="0" collapsed="false">
      <c r="A130" s="369"/>
      <c r="B130" s="367"/>
      <c r="C130" s="368"/>
      <c r="D130" s="366"/>
      <c r="E130" s="366"/>
      <c r="F130" s="336"/>
      <c r="G130" s="358" t="n">
        <v>39173</v>
      </c>
      <c r="H130" s="359" t="n">
        <v>39169</v>
      </c>
      <c r="I130" s="360" t="n">
        <v>39168</v>
      </c>
      <c r="J130" s="370" t="n">
        <f aca="false">WORKDAY(H130,1)</f>
        <v>39170</v>
      </c>
    </row>
    <row r="131" customFormat="false" ht="12.75" hidden="false" customHeight="false" outlineLevel="0" collapsed="false">
      <c r="A131" s="369"/>
      <c r="B131" s="367"/>
      <c r="C131" s="368"/>
      <c r="D131" s="366"/>
      <c r="E131" s="366"/>
      <c r="F131" s="336"/>
      <c r="G131" s="358" t="n">
        <v>39203</v>
      </c>
      <c r="H131" s="359" t="n">
        <v>39198</v>
      </c>
      <c r="I131" s="360" t="n">
        <v>39197</v>
      </c>
      <c r="J131" s="370" t="n">
        <f aca="false">WORKDAY(H131,1)</f>
        <v>39199</v>
      </c>
    </row>
    <row r="132" customFormat="false" ht="12.75" hidden="false" customHeight="false" outlineLevel="0" collapsed="false">
      <c r="A132" s="369"/>
      <c r="B132" s="367"/>
      <c r="C132" s="368"/>
      <c r="D132" s="366"/>
      <c r="E132" s="366"/>
      <c r="F132" s="336"/>
      <c r="G132" s="358" t="n">
        <v>39234</v>
      </c>
      <c r="H132" s="359" t="n">
        <v>39231</v>
      </c>
      <c r="I132" s="360" t="n">
        <v>39227</v>
      </c>
      <c r="J132" s="370" t="n">
        <f aca="false">WORKDAY(H132,1)</f>
        <v>39232</v>
      </c>
    </row>
    <row r="133" customFormat="false" ht="12.75" hidden="false" customHeight="false" outlineLevel="0" collapsed="false">
      <c r="A133" s="369"/>
      <c r="B133" s="367"/>
      <c r="C133" s="368"/>
      <c r="D133" s="366"/>
      <c r="E133" s="366"/>
      <c r="F133" s="336"/>
      <c r="G133" s="358" t="n">
        <v>39264</v>
      </c>
      <c r="H133" s="359" t="n">
        <v>39260</v>
      </c>
      <c r="I133" s="360" t="n">
        <v>39259</v>
      </c>
      <c r="J133" s="370" t="n">
        <f aca="false">WORKDAY(H133,1)</f>
        <v>39261</v>
      </c>
    </row>
    <row r="134" customFormat="false" ht="12.75" hidden="false" customHeight="false" outlineLevel="0" collapsed="false">
      <c r="A134" s="369"/>
      <c r="B134" s="367"/>
      <c r="C134" s="368"/>
      <c r="D134" s="366"/>
      <c r="E134" s="366"/>
      <c r="F134" s="336"/>
      <c r="G134" s="358" t="n">
        <v>39295</v>
      </c>
      <c r="H134" s="359" t="n">
        <v>39290</v>
      </c>
      <c r="I134" s="360" t="n">
        <v>39289</v>
      </c>
      <c r="J134" s="370" t="n">
        <f aca="false">WORKDAY(H134,1)</f>
        <v>39293</v>
      </c>
    </row>
    <row r="135" customFormat="false" ht="12.75" hidden="false" customHeight="false" outlineLevel="0" collapsed="false">
      <c r="A135" s="369"/>
      <c r="B135" s="367"/>
      <c r="C135" s="368"/>
      <c r="D135" s="366"/>
      <c r="E135" s="366"/>
      <c r="F135" s="336"/>
      <c r="G135" s="358" t="n">
        <v>39326</v>
      </c>
      <c r="H135" s="359" t="n">
        <v>39323</v>
      </c>
      <c r="I135" s="360" t="n">
        <v>39322</v>
      </c>
      <c r="J135" s="370" t="n">
        <f aca="false">WORKDAY(H135,1)</f>
        <v>39324</v>
      </c>
    </row>
    <row r="136" customFormat="false" ht="12.75" hidden="false" customHeight="false" outlineLevel="0" collapsed="false">
      <c r="A136" s="369"/>
      <c r="B136" s="367"/>
      <c r="C136" s="368"/>
      <c r="D136" s="366"/>
      <c r="E136" s="366"/>
      <c r="F136" s="336"/>
      <c r="G136" s="358" t="n">
        <v>39356</v>
      </c>
      <c r="H136" s="359" t="n">
        <v>39351</v>
      </c>
      <c r="I136" s="360" t="n">
        <v>39350</v>
      </c>
      <c r="J136" s="370" t="n">
        <f aca="false">WORKDAY(H136,1)</f>
        <v>39352</v>
      </c>
    </row>
    <row r="137" customFormat="false" ht="12.75" hidden="false" customHeight="false" outlineLevel="0" collapsed="false">
      <c r="A137" s="369"/>
      <c r="B137" s="367"/>
      <c r="C137" s="368"/>
      <c r="D137" s="366"/>
      <c r="E137" s="366"/>
      <c r="F137" s="336"/>
      <c r="G137" s="358" t="n">
        <v>39387</v>
      </c>
      <c r="H137" s="359" t="n">
        <v>39384</v>
      </c>
      <c r="I137" s="360" t="n">
        <v>39381</v>
      </c>
      <c r="J137" s="370" t="n">
        <f aca="false">WORKDAY(H137,1)</f>
        <v>39385</v>
      </c>
    </row>
    <row r="138" customFormat="false" ht="12.75" hidden="false" customHeight="false" outlineLevel="0" collapsed="false">
      <c r="A138" s="369"/>
      <c r="B138" s="367"/>
      <c r="C138" s="368"/>
      <c r="D138" s="366"/>
      <c r="E138" s="366"/>
      <c r="F138" s="336"/>
      <c r="G138" s="358" t="n">
        <v>39417</v>
      </c>
      <c r="H138" s="359" t="n">
        <v>39414</v>
      </c>
      <c r="I138" s="360" t="n">
        <v>39413</v>
      </c>
      <c r="J138" s="370" t="n">
        <f aca="false">WORKDAY(H138,1)</f>
        <v>39415</v>
      </c>
    </row>
    <row r="139" customFormat="false" ht="12.75" hidden="false" customHeight="false" outlineLevel="0" collapsed="false">
      <c r="A139" s="369"/>
      <c r="B139" s="367"/>
      <c r="C139" s="368"/>
      <c r="D139" s="366"/>
      <c r="E139" s="366"/>
      <c r="F139" s="336"/>
      <c r="G139" s="358" t="n">
        <v>39448</v>
      </c>
      <c r="H139" s="359" t="n">
        <v>39443</v>
      </c>
      <c r="I139" s="360" t="n">
        <v>39442</v>
      </c>
      <c r="J139" s="370" t="n">
        <f aca="false">WORKDAY(H139,1)</f>
        <v>39444</v>
      </c>
    </row>
    <row r="140" customFormat="false" ht="12.75" hidden="false" customHeight="false" outlineLevel="0" collapsed="false">
      <c r="A140" s="369"/>
      <c r="B140" s="367"/>
      <c r="C140" s="368"/>
      <c r="D140" s="366"/>
      <c r="E140" s="366"/>
      <c r="F140" s="336"/>
      <c r="G140" s="358" t="n">
        <v>39479</v>
      </c>
      <c r="H140" s="359" t="n">
        <v>39476</v>
      </c>
      <c r="I140" s="360" t="n">
        <v>39475</v>
      </c>
      <c r="J140" s="370" t="n">
        <f aca="false">WORKDAY(H140,1)</f>
        <v>39477</v>
      </c>
    </row>
    <row r="141" customFormat="false" ht="12.75" hidden="false" customHeight="false" outlineLevel="0" collapsed="false">
      <c r="A141" s="369"/>
      <c r="B141" s="367"/>
      <c r="C141" s="368"/>
      <c r="D141" s="366"/>
      <c r="E141" s="366"/>
      <c r="F141" s="336"/>
      <c r="G141" s="358" t="n">
        <v>39508</v>
      </c>
      <c r="H141" s="359" t="n">
        <v>39505</v>
      </c>
      <c r="I141" s="360" t="n">
        <v>39504</v>
      </c>
      <c r="J141" s="370" t="n">
        <f aca="false">WORKDAY(H141,1)</f>
        <v>39506</v>
      </c>
    </row>
    <row r="142" customFormat="false" ht="12.75" hidden="false" customHeight="false" outlineLevel="0" collapsed="false">
      <c r="A142" s="369"/>
      <c r="B142" s="367"/>
      <c r="C142" s="368"/>
      <c r="D142" s="366"/>
      <c r="E142" s="366"/>
      <c r="F142" s="336"/>
      <c r="G142" s="358" t="n">
        <v>39539</v>
      </c>
      <c r="H142" s="359" t="n">
        <v>39534</v>
      </c>
      <c r="I142" s="360" t="n">
        <v>39533</v>
      </c>
      <c r="J142" s="370" t="n">
        <f aca="false">WORKDAY(H142,1)</f>
        <v>39535</v>
      </c>
    </row>
    <row r="143" customFormat="false" ht="12.75" hidden="false" customHeight="false" outlineLevel="0" collapsed="false">
      <c r="A143" s="369"/>
      <c r="B143" s="367"/>
      <c r="C143" s="368"/>
      <c r="D143" s="366"/>
      <c r="E143" s="366"/>
      <c r="F143" s="336"/>
      <c r="G143" s="358" t="n">
        <v>39569</v>
      </c>
      <c r="H143" s="359" t="n">
        <v>39566</v>
      </c>
      <c r="I143" s="360" t="n">
        <v>39563</v>
      </c>
      <c r="J143" s="370" t="n">
        <f aca="false">WORKDAY(H143,1)</f>
        <v>39567</v>
      </c>
    </row>
    <row r="144" customFormat="false" ht="12.75" hidden="false" customHeight="false" outlineLevel="0" collapsed="false">
      <c r="A144" s="369"/>
      <c r="B144" s="367"/>
      <c r="C144" s="368"/>
      <c r="D144" s="366"/>
      <c r="E144" s="366"/>
      <c r="F144" s="336"/>
      <c r="G144" s="358" t="n">
        <v>39600</v>
      </c>
      <c r="H144" s="359" t="n">
        <v>39596</v>
      </c>
      <c r="I144" s="360" t="n">
        <v>39595</v>
      </c>
      <c r="J144" s="370" t="n">
        <f aca="false">WORKDAY(H144,1)</f>
        <v>39597</v>
      </c>
    </row>
    <row r="145" customFormat="false" ht="12.75" hidden="false" customHeight="false" outlineLevel="0" collapsed="false">
      <c r="A145" s="369"/>
      <c r="B145" s="367"/>
      <c r="C145" s="368"/>
      <c r="D145" s="366"/>
      <c r="E145" s="366"/>
      <c r="F145" s="336"/>
      <c r="G145" s="358" t="n">
        <v>39630</v>
      </c>
      <c r="H145" s="359" t="n">
        <v>39625</v>
      </c>
      <c r="I145" s="360" t="n">
        <v>39624</v>
      </c>
      <c r="J145" s="370" t="n">
        <f aca="false">WORKDAY(H145,1)</f>
        <v>39626</v>
      </c>
    </row>
    <row r="146" customFormat="false" ht="12.75" hidden="false" customHeight="false" outlineLevel="0" collapsed="false">
      <c r="A146" s="369"/>
      <c r="B146" s="367"/>
      <c r="C146" s="368"/>
      <c r="D146" s="366"/>
      <c r="E146" s="366"/>
      <c r="F146" s="336"/>
      <c r="G146" s="358" t="n">
        <v>39661</v>
      </c>
      <c r="H146" s="359" t="n">
        <v>39658</v>
      </c>
      <c r="I146" s="360" t="n">
        <v>39657</v>
      </c>
      <c r="J146" s="370" t="n">
        <f aca="false">WORKDAY(H146,1)</f>
        <v>39659</v>
      </c>
    </row>
    <row r="147" customFormat="false" ht="12.75" hidden="false" customHeight="false" outlineLevel="0" collapsed="false">
      <c r="A147" s="369"/>
      <c r="B147" s="367"/>
      <c r="C147" s="368"/>
      <c r="D147" s="366"/>
      <c r="E147" s="366"/>
      <c r="F147" s="336"/>
      <c r="G147" s="358" t="n">
        <v>39692</v>
      </c>
      <c r="H147" s="359" t="n">
        <v>39687</v>
      </c>
      <c r="I147" s="360" t="n">
        <v>39686</v>
      </c>
      <c r="J147" s="370" t="n">
        <f aca="false">WORKDAY(H147,1)</f>
        <v>39688</v>
      </c>
    </row>
    <row r="148" customFormat="false" ht="12.75" hidden="false" customHeight="false" outlineLevel="0" collapsed="false">
      <c r="A148" s="369"/>
      <c r="B148" s="367"/>
      <c r="C148" s="368"/>
      <c r="D148" s="366"/>
      <c r="E148" s="366"/>
      <c r="F148" s="336"/>
      <c r="G148" s="358" t="n">
        <v>39722</v>
      </c>
      <c r="H148" s="359" t="n">
        <v>39717</v>
      </c>
      <c r="I148" s="360" t="n">
        <v>39716</v>
      </c>
      <c r="J148" s="370" t="n">
        <f aca="false">WORKDAY(H148,1)</f>
        <v>39720</v>
      </c>
    </row>
    <row r="149" customFormat="false" ht="12.75" hidden="false" customHeight="false" outlineLevel="0" collapsed="false">
      <c r="A149" s="369"/>
      <c r="B149" s="367"/>
      <c r="C149" s="368"/>
      <c r="D149" s="366"/>
      <c r="E149" s="366"/>
      <c r="F149" s="336"/>
      <c r="G149" s="358" t="n">
        <v>39753</v>
      </c>
      <c r="H149" s="359" t="n">
        <v>39750</v>
      </c>
      <c r="I149" s="360" t="n">
        <v>39749</v>
      </c>
      <c r="J149" s="370" t="n">
        <f aca="false">WORKDAY(H149,1)</f>
        <v>39751</v>
      </c>
    </row>
    <row r="150" customFormat="false" ht="12.75" hidden="false" customHeight="false" outlineLevel="0" collapsed="false">
      <c r="A150" s="369"/>
      <c r="B150" s="367"/>
      <c r="C150" s="368"/>
      <c r="D150" s="366"/>
      <c r="E150" s="366"/>
      <c r="F150" s="336"/>
      <c r="G150" s="358" t="n">
        <v>39783</v>
      </c>
      <c r="H150" s="359" t="n">
        <v>39777</v>
      </c>
      <c r="I150" s="360" t="n">
        <v>39776</v>
      </c>
      <c r="J150" s="370" t="n">
        <f aca="false">WORKDAY(H150,1)</f>
        <v>39778</v>
      </c>
    </row>
    <row r="151" customFormat="false" ht="12.75" hidden="false" customHeight="false" outlineLevel="0" collapsed="false">
      <c r="A151" s="369"/>
      <c r="B151" s="367"/>
      <c r="C151" s="368"/>
      <c r="D151" s="366"/>
      <c r="E151" s="366"/>
      <c r="F151" s="336"/>
      <c r="G151" s="358" t="n">
        <v>39814</v>
      </c>
      <c r="H151" s="359" t="n">
        <v>39811</v>
      </c>
      <c r="I151" s="360" t="n">
        <v>39808</v>
      </c>
      <c r="J151" s="370" t="n">
        <f aca="false">WORKDAY(H151,1)</f>
        <v>39812</v>
      </c>
    </row>
    <row r="152" customFormat="false" ht="12.75" hidden="false" customHeight="false" outlineLevel="0" collapsed="false">
      <c r="A152" s="369"/>
      <c r="B152" s="367"/>
      <c r="C152" s="368"/>
      <c r="D152" s="366"/>
      <c r="E152" s="366"/>
      <c r="F152" s="336"/>
      <c r="G152" s="358" t="n">
        <v>39845</v>
      </c>
      <c r="H152" s="359" t="n">
        <v>39841</v>
      </c>
      <c r="I152" s="360" t="n">
        <v>39840</v>
      </c>
      <c r="J152" s="370" t="n">
        <f aca="false">WORKDAY(H152,1)</f>
        <v>39842</v>
      </c>
    </row>
    <row r="153" customFormat="false" ht="12.75" hidden="false" customHeight="false" outlineLevel="0" collapsed="false">
      <c r="A153" s="369"/>
      <c r="B153" s="367"/>
      <c r="C153" s="368"/>
      <c r="D153" s="366"/>
      <c r="E153" s="366"/>
      <c r="F153" s="336"/>
      <c r="G153" s="358" t="n">
        <v>39873</v>
      </c>
      <c r="H153" s="359" t="n">
        <v>39869</v>
      </c>
      <c r="I153" s="360" t="n">
        <v>39868</v>
      </c>
      <c r="J153" s="370" t="n">
        <f aca="false">WORKDAY(H153,1)</f>
        <v>39870</v>
      </c>
    </row>
    <row r="154" customFormat="false" ht="12.75" hidden="false" customHeight="false" outlineLevel="0" collapsed="false">
      <c r="A154" s="369"/>
      <c r="B154" s="367"/>
      <c r="C154" s="368"/>
      <c r="D154" s="366"/>
      <c r="E154" s="366"/>
      <c r="F154" s="336"/>
      <c r="G154" s="358" t="n">
        <v>39904</v>
      </c>
      <c r="H154" s="359" t="n">
        <v>39899</v>
      </c>
      <c r="I154" s="360" t="n">
        <v>39898</v>
      </c>
      <c r="J154" s="370" t="n">
        <f aca="false">WORKDAY(H154,1)</f>
        <v>39902</v>
      </c>
    </row>
    <row r="155" customFormat="false" ht="12.75" hidden="false" customHeight="false" outlineLevel="0" collapsed="false">
      <c r="A155" s="369"/>
      <c r="B155" s="367"/>
      <c r="C155" s="368"/>
      <c r="D155" s="366"/>
      <c r="E155" s="366"/>
      <c r="F155" s="336"/>
      <c r="G155" s="358" t="n">
        <v>39934</v>
      </c>
      <c r="H155" s="359" t="n">
        <v>39931</v>
      </c>
      <c r="I155" s="360" t="n">
        <v>39930</v>
      </c>
      <c r="J155" s="370" t="n">
        <f aca="false">WORKDAY(H155,1)</f>
        <v>39932</v>
      </c>
    </row>
    <row r="156" customFormat="false" ht="12.75" hidden="false" customHeight="false" outlineLevel="0" collapsed="false">
      <c r="A156" s="369"/>
      <c r="B156" s="367"/>
      <c r="C156" s="368"/>
      <c r="D156" s="366"/>
      <c r="E156" s="366"/>
      <c r="F156" s="336"/>
      <c r="G156" s="358" t="n">
        <v>39965</v>
      </c>
      <c r="H156" s="359" t="n">
        <v>39960</v>
      </c>
      <c r="I156" s="360" t="n">
        <v>39959</v>
      </c>
      <c r="J156" s="370" t="n">
        <f aca="false">WORKDAY(H156,1)</f>
        <v>39961</v>
      </c>
    </row>
    <row r="157" customFormat="false" ht="12.75" hidden="false" customHeight="false" outlineLevel="0" collapsed="false">
      <c r="A157" s="369"/>
      <c r="B157" s="367"/>
      <c r="C157" s="368"/>
      <c r="D157" s="366"/>
      <c r="E157" s="366"/>
      <c r="F157" s="336"/>
      <c r="G157" s="358" t="n">
        <v>39995</v>
      </c>
      <c r="H157" s="359" t="n">
        <v>39990</v>
      </c>
      <c r="I157" s="360" t="n">
        <v>39989</v>
      </c>
      <c r="J157" s="370" t="n">
        <f aca="false">WORKDAY(H157,1)</f>
        <v>39993</v>
      </c>
    </row>
    <row r="158" customFormat="false" ht="12.75" hidden="false" customHeight="false" outlineLevel="0" collapsed="false">
      <c r="A158" s="369"/>
      <c r="B158" s="367"/>
      <c r="C158" s="368"/>
      <c r="D158" s="366"/>
      <c r="E158" s="366"/>
      <c r="F158" s="336"/>
      <c r="G158" s="358" t="n">
        <v>40026</v>
      </c>
      <c r="H158" s="359" t="n">
        <v>40023</v>
      </c>
      <c r="I158" s="360" t="n">
        <v>40022</v>
      </c>
      <c r="J158" s="370" t="n">
        <f aca="false">WORKDAY(H158,1)</f>
        <v>40024</v>
      </c>
    </row>
    <row r="159" customFormat="false" ht="12.75" hidden="false" customHeight="false" outlineLevel="0" collapsed="false">
      <c r="A159" s="369"/>
      <c r="B159" s="367"/>
      <c r="C159" s="368"/>
      <c r="D159" s="366"/>
      <c r="E159" s="366"/>
      <c r="F159" s="336"/>
      <c r="G159" s="358" t="n">
        <v>40057</v>
      </c>
      <c r="H159" s="359" t="n">
        <v>40052</v>
      </c>
      <c r="I159" s="360" t="n">
        <v>40051</v>
      </c>
      <c r="J159" s="370" t="n">
        <f aca="false">WORKDAY(H159,1)</f>
        <v>40053</v>
      </c>
    </row>
    <row r="160" customFormat="false" ht="12.75" hidden="false" customHeight="false" outlineLevel="0" collapsed="false">
      <c r="A160" s="369"/>
      <c r="B160" s="367"/>
      <c r="C160" s="368"/>
      <c r="D160" s="366"/>
      <c r="E160" s="366"/>
      <c r="F160" s="336"/>
      <c r="G160" s="358" t="n">
        <v>40087</v>
      </c>
      <c r="H160" s="359" t="n">
        <v>40084</v>
      </c>
      <c r="I160" s="360" t="n">
        <v>40081</v>
      </c>
      <c r="J160" s="370" t="n">
        <f aca="false">WORKDAY(H160,1)</f>
        <v>40085</v>
      </c>
    </row>
    <row r="161" customFormat="false" ht="12.75" hidden="false" customHeight="false" outlineLevel="0" collapsed="false">
      <c r="A161" s="369"/>
      <c r="B161" s="367"/>
      <c r="C161" s="368"/>
      <c r="D161" s="366"/>
      <c r="E161" s="366"/>
      <c r="F161" s="336"/>
      <c r="G161" s="358" t="n">
        <v>40118</v>
      </c>
      <c r="H161" s="359" t="n">
        <v>40114</v>
      </c>
      <c r="I161" s="360" t="n">
        <v>40113</v>
      </c>
      <c r="J161" s="370" t="n">
        <f aca="false">WORKDAY(H161,1)</f>
        <v>40115</v>
      </c>
    </row>
    <row r="162" customFormat="false" ht="12.75" hidden="false" customHeight="false" outlineLevel="0" collapsed="false">
      <c r="A162" s="369"/>
      <c r="B162" s="367"/>
      <c r="C162" s="368"/>
      <c r="D162" s="366"/>
      <c r="E162" s="366"/>
      <c r="F162" s="336"/>
      <c r="G162" s="358" t="n">
        <v>40148</v>
      </c>
      <c r="H162" s="359" t="n">
        <v>40142</v>
      </c>
      <c r="I162" s="360" t="n">
        <v>40141</v>
      </c>
      <c r="J162" s="370" t="n">
        <f aca="false">WORKDAY(H162,1)</f>
        <v>40143</v>
      </c>
    </row>
    <row r="163" customFormat="false" ht="12.75" hidden="false" customHeight="false" outlineLevel="0" collapsed="false">
      <c r="A163" s="369"/>
      <c r="B163" s="367"/>
      <c r="C163" s="368"/>
      <c r="D163" s="366"/>
      <c r="E163" s="366"/>
      <c r="F163" s="336"/>
      <c r="G163" s="358" t="n">
        <v>40179</v>
      </c>
      <c r="H163" s="359" t="n">
        <v>40176</v>
      </c>
      <c r="I163" s="360" t="n">
        <v>40175</v>
      </c>
      <c r="J163" s="370" t="n">
        <f aca="false">WORKDAY(H163,1)</f>
        <v>40177</v>
      </c>
    </row>
    <row r="164" customFormat="false" ht="12.75" hidden="false" customHeight="false" outlineLevel="0" collapsed="false">
      <c r="A164" s="369"/>
      <c r="B164" s="367"/>
      <c r="C164" s="368"/>
      <c r="D164" s="366"/>
      <c r="E164" s="366"/>
      <c r="F164" s="336"/>
      <c r="G164" s="358" t="n">
        <v>40210</v>
      </c>
      <c r="H164" s="359" t="n">
        <v>40205</v>
      </c>
      <c r="I164" s="360" t="n">
        <v>40204</v>
      </c>
      <c r="J164" s="370" t="n">
        <f aca="false">WORKDAY(H164,1)</f>
        <v>40206</v>
      </c>
    </row>
    <row r="165" customFormat="false" ht="12.75" hidden="false" customHeight="false" outlineLevel="0" collapsed="false">
      <c r="A165" s="369"/>
      <c r="B165" s="367"/>
      <c r="C165" s="368"/>
      <c r="D165" s="366"/>
      <c r="E165" s="366"/>
      <c r="F165" s="336"/>
      <c r="G165" s="358" t="n">
        <v>40238</v>
      </c>
      <c r="H165" s="359" t="n">
        <v>40233</v>
      </c>
      <c r="I165" s="360" t="n">
        <v>40232</v>
      </c>
      <c r="J165" s="370" t="n">
        <f aca="false">WORKDAY(H165,1)</f>
        <v>40234</v>
      </c>
    </row>
    <row r="166" customFormat="false" ht="12.75" hidden="false" customHeight="false" outlineLevel="0" collapsed="false">
      <c r="A166" s="369"/>
      <c r="B166" s="367"/>
      <c r="C166" s="368"/>
      <c r="D166" s="366"/>
      <c r="E166" s="366"/>
      <c r="F166" s="336"/>
      <c r="G166" s="358" t="n">
        <v>40269</v>
      </c>
      <c r="H166" s="359" t="n">
        <v>40266</v>
      </c>
      <c r="I166" s="360" t="n">
        <v>40263</v>
      </c>
      <c r="J166" s="370" t="n">
        <f aca="false">WORKDAY(H166,1)</f>
        <v>40267</v>
      </c>
    </row>
    <row r="167" customFormat="false" ht="12.75" hidden="false" customHeight="false" outlineLevel="0" collapsed="false">
      <c r="A167" s="369"/>
      <c r="B167" s="367"/>
      <c r="C167" s="368"/>
      <c r="D167" s="366"/>
      <c r="E167" s="366"/>
      <c r="F167" s="336"/>
      <c r="G167" s="358" t="n">
        <v>40299</v>
      </c>
      <c r="H167" s="359" t="n">
        <v>40296</v>
      </c>
      <c r="I167" s="360" t="n">
        <v>40295</v>
      </c>
      <c r="J167" s="370" t="n">
        <f aca="false">WORKDAY(H167,1)</f>
        <v>40297</v>
      </c>
    </row>
    <row r="168" customFormat="false" ht="12.75" hidden="false" customHeight="false" outlineLevel="0" collapsed="false">
      <c r="A168" s="369"/>
      <c r="B168" s="367"/>
      <c r="C168" s="368"/>
      <c r="D168" s="366"/>
      <c r="E168" s="366"/>
      <c r="F168" s="336"/>
      <c r="G168" s="358" t="n">
        <v>40330</v>
      </c>
      <c r="H168" s="359" t="n">
        <v>40324</v>
      </c>
      <c r="I168" s="360" t="n">
        <v>40323</v>
      </c>
      <c r="J168" s="370" t="n">
        <f aca="false">WORKDAY(H168,1)</f>
        <v>40325</v>
      </c>
    </row>
    <row r="169" customFormat="false" ht="12.75" hidden="false" customHeight="false" outlineLevel="0" collapsed="false">
      <c r="A169" s="369"/>
      <c r="B169" s="367"/>
      <c r="C169" s="368"/>
      <c r="D169" s="366"/>
      <c r="E169" s="366"/>
      <c r="F169" s="336"/>
      <c r="G169" s="358" t="n">
        <v>40360</v>
      </c>
      <c r="H169" s="359" t="n">
        <v>40357</v>
      </c>
      <c r="I169" s="360" t="n">
        <v>40354</v>
      </c>
      <c r="J169" s="370" t="n">
        <f aca="false">WORKDAY(H169,1)</f>
        <v>40358</v>
      </c>
    </row>
    <row r="170" customFormat="false" ht="12.75" hidden="false" customHeight="false" outlineLevel="0" collapsed="false">
      <c r="A170" s="369"/>
      <c r="B170" s="367"/>
      <c r="C170" s="368"/>
      <c r="D170" s="366"/>
      <c r="E170" s="366"/>
      <c r="F170" s="336"/>
      <c r="G170" s="358" t="n">
        <v>40391</v>
      </c>
      <c r="H170" s="359" t="n">
        <v>40387</v>
      </c>
      <c r="I170" s="360" t="n">
        <v>40386</v>
      </c>
      <c r="J170" s="370" t="n">
        <f aca="false">WORKDAY(H170,1)</f>
        <v>40388</v>
      </c>
    </row>
    <row r="171" customFormat="false" ht="12.75" hidden="false" customHeight="false" outlineLevel="0" collapsed="false">
      <c r="A171" s="369"/>
      <c r="B171" s="367"/>
      <c r="C171" s="368"/>
      <c r="D171" s="366"/>
      <c r="E171" s="366"/>
      <c r="F171" s="336"/>
      <c r="G171" s="358" t="n">
        <v>40422</v>
      </c>
      <c r="H171" s="359" t="n">
        <v>40417</v>
      </c>
      <c r="I171" s="360" t="n">
        <v>40416</v>
      </c>
      <c r="J171" s="370" t="n">
        <f aca="false">WORKDAY(H171,1)</f>
        <v>40420</v>
      </c>
    </row>
    <row r="172" customFormat="false" ht="12.75" hidden="false" customHeight="false" outlineLevel="0" collapsed="false">
      <c r="A172" s="369"/>
      <c r="B172" s="367"/>
      <c r="C172" s="368"/>
      <c r="D172" s="366"/>
      <c r="E172" s="366"/>
      <c r="F172" s="336"/>
      <c r="G172" s="358" t="n">
        <v>40452</v>
      </c>
      <c r="H172" s="359" t="n">
        <v>40449</v>
      </c>
      <c r="I172" s="360" t="n">
        <v>40448</v>
      </c>
      <c r="J172" s="370" t="n">
        <f aca="false">WORKDAY(H172,1)</f>
        <v>40450</v>
      </c>
    </row>
    <row r="173" customFormat="false" ht="12.75" hidden="false" customHeight="false" outlineLevel="0" collapsed="false">
      <c r="A173" s="369"/>
      <c r="B173" s="367"/>
      <c r="C173" s="368"/>
      <c r="D173" s="366"/>
      <c r="E173" s="366"/>
      <c r="F173" s="336"/>
      <c r="G173" s="358" t="n">
        <v>40483</v>
      </c>
      <c r="H173" s="359" t="n">
        <v>40478</v>
      </c>
      <c r="I173" s="360" t="n">
        <v>40477</v>
      </c>
      <c r="J173" s="370" t="n">
        <f aca="false">WORKDAY(H173,1)</f>
        <v>40479</v>
      </c>
    </row>
    <row r="174" customFormat="false" ht="12.75" hidden="false" customHeight="false" outlineLevel="0" collapsed="false">
      <c r="A174" s="369"/>
      <c r="B174" s="367"/>
      <c r="C174" s="368"/>
      <c r="D174" s="366"/>
      <c r="E174" s="366"/>
      <c r="F174" s="336"/>
      <c r="G174" s="358" t="n">
        <v>40513</v>
      </c>
      <c r="H174" s="359" t="n">
        <v>40508</v>
      </c>
      <c r="I174" s="360" t="n">
        <v>40506</v>
      </c>
      <c r="J174" s="370" t="n">
        <f aca="false">WORKDAY(H174,1)</f>
        <v>40511</v>
      </c>
    </row>
    <row r="175" customFormat="false" ht="12.75" hidden="false" customHeight="false" outlineLevel="0" collapsed="false">
      <c r="A175" s="369"/>
      <c r="B175" s="367"/>
      <c r="C175" s="368"/>
      <c r="D175" s="366"/>
      <c r="E175" s="366"/>
      <c r="F175" s="336"/>
      <c r="G175" s="358" t="n">
        <v>40544</v>
      </c>
      <c r="H175" s="359" t="n">
        <v>40540</v>
      </c>
      <c r="I175" s="360" t="n">
        <v>40539</v>
      </c>
      <c r="J175" s="370" t="n">
        <f aca="false">WORKDAY(H175,1)</f>
        <v>40541</v>
      </c>
    </row>
    <row r="176" customFormat="false" ht="12.75" hidden="false" customHeight="false" outlineLevel="0" collapsed="false">
      <c r="A176" s="369"/>
      <c r="B176" s="367"/>
      <c r="C176" s="368"/>
      <c r="D176" s="366"/>
      <c r="E176" s="366"/>
      <c r="F176" s="336"/>
      <c r="G176" s="358" t="n">
        <v>40575</v>
      </c>
      <c r="H176" s="359" t="n">
        <v>40570</v>
      </c>
      <c r="I176" s="360" t="n">
        <v>40569</v>
      </c>
      <c r="J176" s="370" t="n">
        <f aca="false">WORKDAY(H176,1)</f>
        <v>40571</v>
      </c>
    </row>
    <row r="177" customFormat="false" ht="12.75" hidden="false" customHeight="false" outlineLevel="0" collapsed="false">
      <c r="A177" s="369"/>
      <c r="B177" s="367"/>
      <c r="C177" s="368"/>
      <c r="D177" s="366"/>
      <c r="E177" s="366"/>
      <c r="F177" s="336"/>
      <c r="G177" s="358" t="n">
        <v>40603</v>
      </c>
      <c r="H177" s="359" t="n">
        <v>40598</v>
      </c>
      <c r="I177" s="360" t="n">
        <v>40597</v>
      </c>
      <c r="J177" s="370" t="n">
        <f aca="false">WORKDAY(H177,1)</f>
        <v>40599</v>
      </c>
    </row>
    <row r="178" customFormat="false" ht="12.75" hidden="false" customHeight="false" outlineLevel="0" collapsed="false">
      <c r="A178" s="369"/>
      <c r="B178" s="367"/>
      <c r="C178" s="368"/>
      <c r="D178" s="366"/>
      <c r="E178" s="366"/>
      <c r="F178" s="336"/>
      <c r="G178" s="358" t="n">
        <v>40634</v>
      </c>
      <c r="H178" s="359" t="n">
        <v>40631</v>
      </c>
      <c r="I178" s="360" t="n">
        <v>40630</v>
      </c>
      <c r="J178" s="370" t="n">
        <f aca="false">WORKDAY(H178,1)</f>
        <v>40632</v>
      </c>
    </row>
    <row r="179" customFormat="false" ht="12.75" hidden="false" customHeight="false" outlineLevel="0" collapsed="false">
      <c r="A179" s="369"/>
      <c r="B179" s="367"/>
      <c r="C179" s="368"/>
      <c r="D179" s="366"/>
      <c r="E179" s="366"/>
      <c r="F179" s="336"/>
      <c r="G179" s="358" t="n">
        <v>40664</v>
      </c>
      <c r="H179" s="359" t="n">
        <v>40660</v>
      </c>
      <c r="I179" s="360" t="n">
        <v>40659</v>
      </c>
      <c r="J179" s="370" t="n">
        <f aca="false">WORKDAY(H179,1)</f>
        <v>40661</v>
      </c>
    </row>
    <row r="180" customFormat="false" ht="12.75" hidden="false" customHeight="false" outlineLevel="0" collapsed="false">
      <c r="A180" s="369"/>
      <c r="B180" s="367"/>
      <c r="C180" s="368"/>
      <c r="D180" s="366"/>
      <c r="E180" s="366"/>
      <c r="F180" s="336"/>
      <c r="G180" s="358" t="n">
        <v>40695</v>
      </c>
      <c r="H180" s="359" t="n">
        <v>40689</v>
      </c>
      <c r="I180" s="360" t="n">
        <v>40688</v>
      </c>
      <c r="J180" s="370" t="n">
        <f aca="false">WORKDAY(H180,1)</f>
        <v>40690</v>
      </c>
    </row>
    <row r="181" customFormat="false" ht="12.75" hidden="false" customHeight="false" outlineLevel="0" collapsed="false">
      <c r="A181" s="369"/>
      <c r="B181" s="367"/>
      <c r="C181" s="368"/>
      <c r="D181" s="366"/>
      <c r="E181" s="366"/>
      <c r="F181" s="336"/>
      <c r="G181" s="358" t="n">
        <v>40725</v>
      </c>
      <c r="H181" s="359" t="n">
        <v>40722</v>
      </c>
      <c r="I181" s="360" t="n">
        <v>40721</v>
      </c>
      <c r="J181" s="370" t="n">
        <f aca="false">WORKDAY(H181,1)</f>
        <v>40723</v>
      </c>
    </row>
    <row r="182" customFormat="false" ht="12.75" hidden="false" customHeight="false" outlineLevel="0" collapsed="false">
      <c r="A182" s="369"/>
      <c r="B182" s="367"/>
      <c r="C182" s="368"/>
      <c r="D182" s="366"/>
      <c r="E182" s="366"/>
      <c r="F182" s="336"/>
      <c r="G182" s="358" t="n">
        <v>40756</v>
      </c>
      <c r="H182" s="359" t="n">
        <v>40751</v>
      </c>
      <c r="I182" s="360" t="n">
        <v>40750</v>
      </c>
      <c r="J182" s="370" t="n">
        <f aca="false">WORKDAY(H182,1)</f>
        <v>40752</v>
      </c>
    </row>
    <row r="183" customFormat="false" ht="12.75" hidden="false" customHeight="false" outlineLevel="0" collapsed="false">
      <c r="A183" s="369"/>
      <c r="B183" s="367"/>
      <c r="C183" s="368"/>
      <c r="D183" s="366"/>
      <c r="E183" s="366"/>
      <c r="F183" s="336"/>
      <c r="G183" s="358" t="n">
        <v>40787</v>
      </c>
      <c r="H183" s="359" t="n">
        <v>40784</v>
      </c>
      <c r="I183" s="360" t="n">
        <v>40781</v>
      </c>
      <c r="J183" s="370" t="n">
        <f aca="false">WORKDAY(H183,1)</f>
        <v>40785</v>
      </c>
    </row>
    <row r="184" customFormat="false" ht="12.75" hidden="false" customHeight="false" outlineLevel="0" collapsed="false">
      <c r="A184" s="369"/>
      <c r="B184" s="367"/>
      <c r="C184" s="368"/>
      <c r="D184" s="366"/>
      <c r="E184" s="366"/>
      <c r="F184" s="336"/>
      <c r="G184" s="358" t="n">
        <v>40817</v>
      </c>
      <c r="H184" s="359" t="n">
        <v>40814</v>
      </c>
      <c r="I184" s="360" t="n">
        <v>40813</v>
      </c>
      <c r="J184" s="370" t="n">
        <f aca="false">WORKDAY(H184,1)</f>
        <v>40815</v>
      </c>
    </row>
    <row r="185" customFormat="false" ht="12.75" hidden="false" customHeight="false" outlineLevel="0" collapsed="false">
      <c r="A185" s="369"/>
      <c r="B185" s="367"/>
      <c r="C185" s="368"/>
      <c r="D185" s="366"/>
      <c r="E185" s="366"/>
      <c r="F185" s="336"/>
      <c r="G185" s="358" t="n">
        <v>40848</v>
      </c>
      <c r="H185" s="359" t="n">
        <v>40843</v>
      </c>
      <c r="I185" s="360" t="n">
        <v>40842</v>
      </c>
      <c r="J185" s="370" t="n">
        <f aca="false">WORKDAY(H185,1)</f>
        <v>40844</v>
      </c>
    </row>
    <row r="186" customFormat="false" ht="12.75" hidden="false" customHeight="false" outlineLevel="0" collapsed="false">
      <c r="A186" s="369"/>
      <c r="B186" s="367"/>
      <c r="C186" s="368"/>
      <c r="D186" s="366"/>
      <c r="E186" s="366"/>
      <c r="F186" s="336"/>
      <c r="G186" s="358" t="n">
        <v>40878</v>
      </c>
      <c r="H186" s="359" t="n">
        <v>40875</v>
      </c>
      <c r="I186" s="360" t="n">
        <v>40872</v>
      </c>
      <c r="J186" s="370" t="n">
        <f aca="false">WORKDAY(H186,1)</f>
        <v>40876</v>
      </c>
    </row>
    <row r="187" customFormat="false" ht="12.75" hidden="false" customHeight="false" outlineLevel="0" collapsed="false">
      <c r="A187" s="369"/>
      <c r="B187" s="367"/>
      <c r="C187" s="368"/>
      <c r="D187" s="366"/>
      <c r="E187" s="366"/>
      <c r="F187" s="336"/>
      <c r="G187" s="358" t="n">
        <v>40909</v>
      </c>
      <c r="H187" s="359" t="n">
        <v>40905</v>
      </c>
      <c r="I187" s="360" t="n">
        <v>40904</v>
      </c>
      <c r="J187" s="370" t="n">
        <f aca="false">WORKDAY(H187,1)</f>
        <v>40906</v>
      </c>
    </row>
    <row r="188" customFormat="false" ht="12.75" hidden="false" customHeight="false" outlineLevel="0" collapsed="false">
      <c r="A188" s="369"/>
      <c r="B188" s="367"/>
      <c r="C188" s="368"/>
      <c r="D188" s="366"/>
      <c r="E188" s="366"/>
      <c r="F188" s="336"/>
      <c r="G188" s="358" t="n">
        <v>40940</v>
      </c>
      <c r="H188" s="359" t="n">
        <v>40935</v>
      </c>
      <c r="I188" s="360" t="n">
        <v>40934</v>
      </c>
      <c r="J188" s="370" t="n">
        <f aca="false">WORKDAY(H188,1)</f>
        <v>40938</v>
      </c>
    </row>
    <row r="189" customFormat="false" ht="12.75" hidden="false" customHeight="false" outlineLevel="0" collapsed="false">
      <c r="A189" s="369"/>
      <c r="B189" s="367"/>
      <c r="C189" s="368"/>
      <c r="D189" s="366"/>
      <c r="E189" s="366"/>
      <c r="F189" s="336"/>
      <c r="G189" s="358" t="n">
        <v>40969</v>
      </c>
      <c r="H189" s="359" t="n">
        <v>40966</v>
      </c>
      <c r="I189" s="360" t="n">
        <v>40963</v>
      </c>
      <c r="J189" s="370" t="n">
        <f aca="false">WORKDAY(H189,1)</f>
        <v>40967</v>
      </c>
    </row>
    <row r="190" customFormat="false" ht="12.75" hidden="false" customHeight="false" outlineLevel="0" collapsed="false">
      <c r="A190" s="369"/>
      <c r="B190" s="367"/>
      <c r="C190" s="368"/>
      <c r="D190" s="366"/>
      <c r="E190" s="366"/>
      <c r="F190" s="336"/>
      <c r="G190" s="358" t="n">
        <v>41000</v>
      </c>
      <c r="H190" s="359" t="n">
        <v>40996</v>
      </c>
      <c r="I190" s="360" t="n">
        <v>40995</v>
      </c>
      <c r="J190" s="370" t="n">
        <f aca="false">WORKDAY(H190,1)</f>
        <v>40997</v>
      </c>
    </row>
    <row r="191" customFormat="false" ht="12.75" hidden="false" customHeight="false" outlineLevel="0" collapsed="false">
      <c r="A191" s="369"/>
      <c r="B191" s="367"/>
      <c r="C191" s="368"/>
      <c r="D191" s="366"/>
      <c r="E191" s="366"/>
      <c r="F191" s="336"/>
      <c r="G191" s="358" t="n">
        <v>41030</v>
      </c>
      <c r="H191" s="359" t="n">
        <v>41025</v>
      </c>
      <c r="I191" s="360" t="n">
        <v>41024</v>
      </c>
      <c r="J191" s="370" t="n">
        <f aca="false">WORKDAY(H191,1)</f>
        <v>41026</v>
      </c>
    </row>
    <row r="192" customFormat="false" ht="12.75" hidden="false" customHeight="false" outlineLevel="0" collapsed="false">
      <c r="A192" s="369"/>
      <c r="B192" s="367"/>
      <c r="C192" s="368"/>
      <c r="D192" s="366"/>
      <c r="E192" s="366"/>
      <c r="F192" s="336"/>
      <c r="G192" s="358" t="n">
        <v>41061</v>
      </c>
      <c r="H192" s="359" t="n">
        <v>41058</v>
      </c>
      <c r="I192" s="360" t="n">
        <v>41054</v>
      </c>
      <c r="J192" s="370" t="n">
        <f aca="false">WORKDAY(H192,1)</f>
        <v>41059</v>
      </c>
    </row>
    <row r="193" customFormat="false" ht="12.75" hidden="false" customHeight="false" outlineLevel="0" collapsed="false">
      <c r="A193" s="369"/>
      <c r="B193" s="367"/>
      <c r="C193" s="368"/>
      <c r="D193" s="366"/>
      <c r="E193" s="366"/>
      <c r="F193" s="336"/>
      <c r="G193" s="358" t="n">
        <v>41091</v>
      </c>
      <c r="H193" s="359" t="n">
        <v>41087</v>
      </c>
      <c r="I193" s="360" t="n">
        <v>41086</v>
      </c>
      <c r="J193" s="370" t="n">
        <f aca="false">WORKDAY(H193,1)</f>
        <v>41088</v>
      </c>
    </row>
    <row r="194" customFormat="false" ht="12.75" hidden="false" customHeight="false" outlineLevel="0" collapsed="false">
      <c r="A194" s="369"/>
      <c r="B194" s="367"/>
      <c r="C194" s="368"/>
      <c r="D194" s="366"/>
      <c r="E194" s="366"/>
      <c r="F194" s="336"/>
      <c r="G194" s="358" t="n">
        <v>41122</v>
      </c>
      <c r="H194" s="359" t="n">
        <v>41117</v>
      </c>
      <c r="I194" s="360" t="n">
        <v>41116</v>
      </c>
      <c r="J194" s="370" t="n">
        <f aca="false">WORKDAY(H194,1)</f>
        <v>41120</v>
      </c>
    </row>
    <row r="195" customFormat="false" ht="12.75" hidden="false" customHeight="false" outlineLevel="0" collapsed="false">
      <c r="A195" s="369"/>
      <c r="B195" s="367"/>
      <c r="C195" s="368"/>
      <c r="D195" s="366"/>
      <c r="E195" s="366"/>
      <c r="F195" s="336"/>
      <c r="G195" s="358" t="n">
        <v>41153</v>
      </c>
      <c r="H195" s="359" t="n">
        <v>41150</v>
      </c>
      <c r="I195" s="360" t="n">
        <v>41149</v>
      </c>
      <c r="J195" s="370" t="n">
        <f aca="false">WORKDAY(H195,1)</f>
        <v>41151</v>
      </c>
    </row>
    <row r="196" customFormat="false" ht="12.75" hidden="false" customHeight="false" outlineLevel="0" collapsed="false">
      <c r="A196" s="369"/>
      <c r="B196" s="367"/>
      <c r="C196" s="368"/>
      <c r="D196" s="366"/>
      <c r="E196" s="366"/>
      <c r="F196" s="336"/>
      <c r="G196" s="358" t="n">
        <v>41183</v>
      </c>
      <c r="H196" s="359" t="n">
        <v>41178</v>
      </c>
      <c r="I196" s="360" t="n">
        <v>41177</v>
      </c>
      <c r="J196" s="370" t="n">
        <f aca="false">WORKDAY(H196,1)</f>
        <v>41179</v>
      </c>
    </row>
    <row r="197" customFormat="false" ht="12.75" hidden="false" customHeight="false" outlineLevel="0" collapsed="false">
      <c r="A197" s="369"/>
      <c r="B197" s="367"/>
      <c r="C197" s="368"/>
      <c r="D197" s="366"/>
      <c r="E197" s="366"/>
      <c r="F197" s="336"/>
      <c r="G197" s="358" t="n">
        <v>41214</v>
      </c>
      <c r="H197" s="359" t="n">
        <v>41211</v>
      </c>
      <c r="I197" s="360" t="n">
        <v>41208</v>
      </c>
      <c r="J197" s="370" t="n">
        <f aca="false">WORKDAY(H197,1)</f>
        <v>41212</v>
      </c>
    </row>
    <row r="198" customFormat="false" ht="12.75" hidden="false" customHeight="false" outlineLevel="0" collapsed="false">
      <c r="A198" s="369"/>
      <c r="B198" s="367"/>
      <c r="C198" s="368"/>
      <c r="D198" s="366"/>
      <c r="E198" s="366"/>
      <c r="F198" s="336"/>
      <c r="G198" s="358" t="n">
        <v>41244</v>
      </c>
      <c r="H198" s="359" t="n">
        <v>41241</v>
      </c>
      <c r="I198" s="360" t="n">
        <v>41240</v>
      </c>
      <c r="J198" s="370" t="n">
        <f aca="false">WORKDAY(H198,1)</f>
        <v>41242</v>
      </c>
    </row>
    <row r="199" customFormat="false" ht="12.75" hidden="false" customHeight="false" outlineLevel="0" collapsed="false">
      <c r="A199" s="369"/>
      <c r="B199" s="367"/>
      <c r="C199" s="368"/>
      <c r="D199" s="366"/>
      <c r="E199" s="366"/>
      <c r="F199" s="336"/>
      <c r="G199" s="358" t="n">
        <v>41275</v>
      </c>
      <c r="H199" s="359" t="n">
        <v>41270</v>
      </c>
      <c r="I199" s="360" t="n">
        <v>41269</v>
      </c>
      <c r="J199" s="370" t="n">
        <f aca="false">WORKDAY(H199,1)</f>
        <v>41271</v>
      </c>
    </row>
    <row r="200" customFormat="false" ht="12.75" hidden="false" customHeight="false" outlineLevel="0" collapsed="false">
      <c r="A200" s="369"/>
      <c r="B200" s="367"/>
      <c r="C200" s="368"/>
      <c r="D200" s="366"/>
      <c r="E200" s="366"/>
      <c r="F200" s="336"/>
      <c r="G200" s="358" t="n">
        <v>41306</v>
      </c>
      <c r="H200" s="359" t="n">
        <v>41303</v>
      </c>
      <c r="I200" s="360" t="n">
        <v>41302</v>
      </c>
      <c r="J200" s="370" t="n">
        <f aca="false">WORKDAY(H200,1)</f>
        <v>41304</v>
      </c>
    </row>
    <row r="201" customFormat="false" ht="12.75" hidden="false" customHeight="false" outlineLevel="0" collapsed="false">
      <c r="A201" s="369"/>
      <c r="B201" s="367"/>
      <c r="C201" s="368"/>
      <c r="D201" s="366"/>
      <c r="E201" s="366"/>
      <c r="F201" s="336"/>
      <c r="G201" s="358" t="n">
        <v>41334</v>
      </c>
      <c r="H201" s="359" t="n">
        <v>41331</v>
      </c>
      <c r="I201" s="360" t="n">
        <v>41330</v>
      </c>
      <c r="J201" s="370" t="n">
        <f aca="false">WORKDAY(H201,1)</f>
        <v>41332</v>
      </c>
    </row>
    <row r="202" customFormat="false" ht="12.75" hidden="false" customHeight="false" outlineLevel="0" collapsed="false">
      <c r="A202" s="369"/>
      <c r="B202" s="367"/>
      <c r="C202" s="368"/>
      <c r="D202" s="366"/>
      <c r="E202" s="366"/>
      <c r="F202" s="336"/>
      <c r="G202" s="358" t="n">
        <v>41365</v>
      </c>
      <c r="H202" s="359" t="n">
        <v>41359</v>
      </c>
      <c r="I202" s="360" t="n">
        <v>41358</v>
      </c>
      <c r="J202" s="370" t="n">
        <f aca="false">WORKDAY(H202,1)</f>
        <v>41360</v>
      </c>
    </row>
    <row r="203" customFormat="false" ht="12.75" hidden="false" customHeight="false" outlineLevel="0" collapsed="false">
      <c r="A203" s="369"/>
      <c r="B203" s="367"/>
      <c r="C203" s="368"/>
      <c r="D203" s="366"/>
      <c r="E203" s="366"/>
      <c r="F203" s="336"/>
      <c r="G203" s="358" t="n">
        <v>41395</v>
      </c>
      <c r="H203" s="359" t="n">
        <v>41390</v>
      </c>
      <c r="I203" s="360" t="n">
        <v>41389</v>
      </c>
      <c r="J203" s="370" t="n">
        <f aca="false">WORKDAY(H203,1)</f>
        <v>41393</v>
      </c>
    </row>
    <row r="204" customFormat="false" ht="12.75" hidden="false" customHeight="false" outlineLevel="0" collapsed="false">
      <c r="A204" s="369"/>
      <c r="B204" s="367"/>
      <c r="C204" s="368"/>
      <c r="D204" s="366"/>
      <c r="E204" s="366"/>
      <c r="F204" s="336"/>
      <c r="G204" s="358" t="n">
        <v>41426</v>
      </c>
      <c r="H204" s="359" t="n">
        <v>41423</v>
      </c>
      <c r="I204" s="360" t="n">
        <v>41422</v>
      </c>
      <c r="J204" s="370" t="n">
        <f aca="false">WORKDAY(H204,1)</f>
        <v>41424</v>
      </c>
    </row>
    <row r="205" customFormat="false" ht="12.75" hidden="false" customHeight="false" outlineLevel="0" collapsed="false">
      <c r="A205" s="369"/>
      <c r="B205" s="367"/>
      <c r="C205" s="368"/>
      <c r="D205" s="366"/>
      <c r="E205" s="366"/>
      <c r="F205" s="336"/>
      <c r="G205" s="358" t="n">
        <v>41456</v>
      </c>
      <c r="H205" s="359" t="n">
        <v>41451</v>
      </c>
      <c r="I205" s="360" t="n">
        <v>41450</v>
      </c>
      <c r="J205" s="370" t="n">
        <f aca="false">WORKDAY(H205,1)</f>
        <v>41452</v>
      </c>
    </row>
    <row r="206" customFormat="false" ht="12.75" hidden="false" customHeight="false" outlineLevel="0" collapsed="false">
      <c r="A206" s="369"/>
      <c r="B206" s="367"/>
      <c r="C206" s="368"/>
      <c r="D206" s="366"/>
      <c r="E206" s="366"/>
      <c r="F206" s="336"/>
      <c r="G206" s="358" t="n">
        <v>41487</v>
      </c>
      <c r="H206" s="359" t="n">
        <v>41484</v>
      </c>
      <c r="I206" s="360" t="n">
        <v>41481</v>
      </c>
      <c r="J206" s="370" t="n">
        <f aca="false">WORKDAY(H206,1)</f>
        <v>41485</v>
      </c>
    </row>
    <row r="207" customFormat="false" ht="12.75" hidden="false" customHeight="false" outlineLevel="0" collapsed="false">
      <c r="A207" s="369"/>
      <c r="B207" s="367"/>
      <c r="C207" s="368"/>
      <c r="D207" s="366"/>
      <c r="E207" s="366"/>
      <c r="F207" s="336"/>
      <c r="G207" s="358" t="n">
        <v>41518</v>
      </c>
      <c r="H207" s="359" t="n">
        <v>41514</v>
      </c>
      <c r="I207" s="360" t="n">
        <v>41513</v>
      </c>
      <c r="J207" s="370" t="n">
        <f aca="false">WORKDAY(H207,1)</f>
        <v>41515</v>
      </c>
    </row>
    <row r="208" customFormat="false" ht="12.75" hidden="false" customHeight="false" outlineLevel="0" collapsed="false">
      <c r="A208" s="369"/>
      <c r="B208" s="367"/>
      <c r="C208" s="368"/>
      <c r="D208" s="366"/>
      <c r="E208" s="366"/>
      <c r="F208" s="336"/>
      <c r="G208" s="358" t="n">
        <v>41548</v>
      </c>
      <c r="H208" s="359" t="n">
        <v>41543</v>
      </c>
      <c r="I208" s="360" t="n">
        <v>41542</v>
      </c>
      <c r="J208" s="370" t="n">
        <f aca="false">WORKDAY(H208,1)</f>
        <v>41544</v>
      </c>
    </row>
    <row r="209" customFormat="false" ht="12.75" hidden="false" customHeight="false" outlineLevel="0" collapsed="false">
      <c r="A209" s="369"/>
      <c r="B209" s="367"/>
      <c r="C209" s="368"/>
      <c r="D209" s="366"/>
      <c r="E209" s="366"/>
      <c r="F209" s="336"/>
      <c r="G209" s="358" t="n">
        <v>41579</v>
      </c>
      <c r="H209" s="359" t="n">
        <v>41576</v>
      </c>
      <c r="I209" s="360" t="n">
        <v>41575</v>
      </c>
      <c r="J209" s="370" t="n">
        <f aca="false">WORKDAY(H209,1)</f>
        <v>41577</v>
      </c>
    </row>
    <row r="210" customFormat="false" ht="12.75" hidden="false" customHeight="false" outlineLevel="0" collapsed="false">
      <c r="A210" s="369"/>
      <c r="B210" s="367"/>
      <c r="C210" s="368"/>
      <c r="D210" s="366"/>
      <c r="E210" s="366"/>
      <c r="F210" s="336"/>
      <c r="G210" s="358" t="n">
        <v>41609</v>
      </c>
      <c r="H210" s="359" t="n">
        <v>41604</v>
      </c>
      <c r="I210" s="360" t="n">
        <v>41603</v>
      </c>
      <c r="J210" s="370" t="n">
        <f aca="false">WORKDAY(H210,1)</f>
        <v>41605</v>
      </c>
    </row>
    <row r="211" customFormat="false" ht="12.75" hidden="false" customHeight="false" outlineLevel="0" collapsed="false">
      <c r="A211" s="369"/>
      <c r="B211" s="367"/>
      <c r="C211" s="368"/>
      <c r="D211" s="366"/>
      <c r="E211" s="366"/>
      <c r="F211" s="336"/>
      <c r="G211" s="358" t="n">
        <v>41640</v>
      </c>
      <c r="H211" s="359" t="n">
        <v>41635</v>
      </c>
      <c r="I211" s="360" t="n">
        <v>41634</v>
      </c>
      <c r="J211" s="370" t="n">
        <f aca="false">WORKDAY(H211,1)</f>
        <v>41638</v>
      </c>
    </row>
    <row r="212" customFormat="false" ht="12.75" hidden="false" customHeight="false" outlineLevel="0" collapsed="false">
      <c r="A212" s="369"/>
      <c r="B212" s="367"/>
      <c r="C212" s="368"/>
      <c r="D212" s="366"/>
      <c r="E212" s="366"/>
      <c r="F212" s="336"/>
      <c r="G212" s="358" t="n">
        <v>41671</v>
      </c>
      <c r="H212" s="359" t="n">
        <v>41668</v>
      </c>
      <c r="I212" s="360" t="n">
        <v>41667</v>
      </c>
      <c r="J212" s="370" t="n">
        <f aca="false">WORKDAY(H212,1)</f>
        <v>41669</v>
      </c>
    </row>
    <row r="213" customFormat="false" ht="12.75" hidden="false" customHeight="false" outlineLevel="0" collapsed="false">
      <c r="A213" s="369"/>
      <c r="B213" s="367"/>
      <c r="C213" s="368"/>
      <c r="D213" s="366"/>
      <c r="E213" s="366"/>
      <c r="F213" s="336"/>
      <c r="G213" s="358" t="n">
        <v>41699</v>
      </c>
      <c r="H213" s="359" t="n">
        <v>41696</v>
      </c>
      <c r="I213" s="360" t="n">
        <v>41695</v>
      </c>
      <c r="J213" s="370" t="n">
        <f aca="false">WORKDAY(H213,1)</f>
        <v>41697</v>
      </c>
    </row>
    <row r="214" customFormat="false" ht="12.75" hidden="false" customHeight="false" outlineLevel="0" collapsed="false">
      <c r="A214" s="369"/>
      <c r="B214" s="367"/>
      <c r="C214" s="368"/>
      <c r="D214" s="366"/>
      <c r="E214" s="366"/>
      <c r="F214" s="336"/>
      <c r="G214" s="358" t="n">
        <v>41730</v>
      </c>
      <c r="H214" s="359" t="n">
        <v>41725</v>
      </c>
      <c r="I214" s="360" t="n">
        <v>41724</v>
      </c>
      <c r="J214" s="370" t="n">
        <f aca="false">WORKDAY(H214,1)</f>
        <v>41726</v>
      </c>
    </row>
    <row r="215" customFormat="false" ht="12.75" hidden="false" customHeight="false" outlineLevel="0" collapsed="false">
      <c r="A215" s="369"/>
      <c r="B215" s="367"/>
      <c r="C215" s="368"/>
      <c r="D215" s="366"/>
      <c r="E215" s="366"/>
      <c r="F215" s="336"/>
      <c r="G215" s="358" t="n">
        <v>41760</v>
      </c>
      <c r="H215" s="359" t="n">
        <v>41757</v>
      </c>
      <c r="I215" s="360" t="n">
        <v>41754</v>
      </c>
      <c r="J215" s="370" t="n">
        <f aca="false">WORKDAY(H215,1)</f>
        <v>41758</v>
      </c>
    </row>
    <row r="216" customFormat="false" ht="12.75" hidden="false" customHeight="false" outlineLevel="0" collapsed="false">
      <c r="A216" s="369"/>
      <c r="B216" s="367"/>
      <c r="C216" s="368"/>
      <c r="D216" s="366"/>
      <c r="E216" s="366"/>
      <c r="F216" s="336"/>
      <c r="G216" s="358" t="n">
        <v>41791</v>
      </c>
      <c r="H216" s="359" t="n">
        <v>41787</v>
      </c>
      <c r="I216" s="360" t="n">
        <v>41786</v>
      </c>
      <c r="J216" s="370" t="n">
        <f aca="false">WORKDAY(H216,1)</f>
        <v>41788</v>
      </c>
    </row>
    <row r="217" customFormat="false" ht="12.75" hidden="false" customHeight="false" outlineLevel="0" collapsed="false">
      <c r="A217" s="369"/>
      <c r="B217" s="367"/>
      <c r="C217" s="368"/>
      <c r="D217" s="366"/>
      <c r="E217" s="366"/>
      <c r="F217" s="336"/>
      <c r="G217" s="358" t="n">
        <v>41821</v>
      </c>
      <c r="H217" s="359" t="n">
        <v>41816</v>
      </c>
      <c r="I217" s="360" t="n">
        <v>41815</v>
      </c>
      <c r="J217" s="370" t="n">
        <f aca="false">WORKDAY(H217,1)</f>
        <v>41817</v>
      </c>
    </row>
    <row r="218" customFormat="false" ht="12.75" hidden="false" customHeight="false" outlineLevel="0" collapsed="false">
      <c r="A218" s="369"/>
      <c r="B218" s="367"/>
      <c r="C218" s="368"/>
      <c r="D218" s="366"/>
      <c r="E218" s="366"/>
      <c r="F218" s="336"/>
      <c r="G218" s="358" t="n">
        <v>41852</v>
      </c>
      <c r="H218" s="359" t="n">
        <v>41849</v>
      </c>
      <c r="I218" s="360" t="n">
        <v>41848</v>
      </c>
      <c r="J218" s="370" t="n">
        <f aca="false">WORKDAY(H218,1)</f>
        <v>41850</v>
      </c>
    </row>
    <row r="219" customFormat="false" ht="12.75" hidden="false" customHeight="false" outlineLevel="0" collapsed="false">
      <c r="A219" s="369"/>
      <c r="B219" s="367"/>
      <c r="C219" s="368"/>
      <c r="D219" s="366"/>
      <c r="E219" s="366"/>
      <c r="F219" s="336"/>
      <c r="G219" s="358" t="n">
        <v>41883</v>
      </c>
      <c r="H219" s="359" t="n">
        <v>41878</v>
      </c>
      <c r="I219" s="360" t="n">
        <v>41877</v>
      </c>
      <c r="J219" s="370" t="n">
        <f aca="false">WORKDAY(H219,1)</f>
        <v>41879</v>
      </c>
    </row>
    <row r="220" customFormat="false" ht="12.75" hidden="false" customHeight="false" outlineLevel="0" collapsed="false">
      <c r="A220" s="369"/>
      <c r="B220" s="367"/>
      <c r="C220" s="368"/>
      <c r="D220" s="366"/>
      <c r="E220" s="366"/>
      <c r="F220" s="336"/>
      <c r="G220" s="358" t="n">
        <v>41913</v>
      </c>
      <c r="H220" s="359" t="n">
        <v>41908</v>
      </c>
      <c r="I220" s="360" t="n">
        <v>41907</v>
      </c>
      <c r="J220" s="370" t="n">
        <f aca="false">WORKDAY(H220,1)</f>
        <v>41911</v>
      </c>
    </row>
    <row r="221" customFormat="false" ht="12.75" hidden="false" customHeight="false" outlineLevel="0" collapsed="false">
      <c r="A221" s="369"/>
      <c r="B221" s="367"/>
      <c r="C221" s="368"/>
      <c r="D221" s="366"/>
      <c r="E221" s="366"/>
      <c r="F221" s="336"/>
      <c r="G221" s="358" t="n">
        <v>41944</v>
      </c>
      <c r="H221" s="359" t="n">
        <v>41941</v>
      </c>
      <c r="I221" s="360" t="n">
        <v>41940</v>
      </c>
      <c r="J221" s="370" t="n">
        <f aca="false">WORKDAY(H221,1)</f>
        <v>41942</v>
      </c>
    </row>
    <row r="222" customFormat="false" ht="12.75" hidden="false" customHeight="false" outlineLevel="0" collapsed="false">
      <c r="A222" s="369"/>
      <c r="B222" s="367"/>
      <c r="C222" s="368"/>
      <c r="D222" s="366"/>
      <c r="E222" s="366"/>
      <c r="F222" s="336"/>
      <c r="G222" s="358" t="n">
        <v>41974</v>
      </c>
      <c r="H222" s="359" t="n">
        <v>41968</v>
      </c>
      <c r="I222" s="360" t="n">
        <v>41967</v>
      </c>
      <c r="J222" s="370" t="n">
        <f aca="false">WORKDAY(H222,1)</f>
        <v>41969</v>
      </c>
    </row>
    <row r="223" customFormat="false" ht="12.75" hidden="false" customHeight="false" outlineLevel="0" collapsed="false">
      <c r="A223" s="369"/>
      <c r="B223" s="367"/>
      <c r="C223" s="368"/>
      <c r="D223" s="366"/>
      <c r="E223" s="366"/>
      <c r="F223" s="336"/>
      <c r="G223" s="358" t="n">
        <v>42005</v>
      </c>
      <c r="H223" s="359" t="n">
        <v>42002</v>
      </c>
      <c r="I223" s="360" t="n">
        <v>41999</v>
      </c>
      <c r="J223" s="370" t="n">
        <f aca="false">WORKDAY(H223,1)</f>
        <v>42003</v>
      </c>
    </row>
    <row r="224" customFormat="false" ht="12.75" hidden="false" customHeight="false" outlineLevel="0" collapsed="false">
      <c r="A224" s="369"/>
      <c r="B224" s="367"/>
      <c r="C224" s="368"/>
      <c r="D224" s="366"/>
      <c r="E224" s="366"/>
      <c r="F224" s="336"/>
      <c r="G224" s="358" t="n">
        <v>42036</v>
      </c>
      <c r="H224" s="359" t="n">
        <v>42032</v>
      </c>
      <c r="I224" s="360" t="n">
        <v>42031</v>
      </c>
      <c r="J224" s="370" t="n">
        <f aca="false">WORKDAY(H224,1)</f>
        <v>42033</v>
      </c>
    </row>
    <row r="225" customFormat="false" ht="12.75" hidden="false" customHeight="false" outlineLevel="0" collapsed="false">
      <c r="A225" s="369"/>
      <c r="B225" s="367"/>
      <c r="C225" s="368"/>
      <c r="D225" s="366"/>
      <c r="E225" s="366"/>
      <c r="F225" s="336"/>
      <c r="G225" s="358" t="n">
        <v>42064</v>
      </c>
      <c r="H225" s="359" t="n">
        <v>42060</v>
      </c>
      <c r="I225" s="360" t="n">
        <v>42059</v>
      </c>
      <c r="J225" s="370" t="n">
        <f aca="false">WORKDAY(H225,1)</f>
        <v>42061</v>
      </c>
    </row>
    <row r="226" customFormat="false" ht="12.75" hidden="false" customHeight="false" outlineLevel="0" collapsed="false">
      <c r="A226" s="369"/>
      <c r="B226" s="367"/>
      <c r="C226" s="368"/>
      <c r="D226" s="366"/>
      <c r="E226" s="366"/>
      <c r="F226" s="336"/>
      <c r="G226" s="358" t="n">
        <v>42095</v>
      </c>
      <c r="H226" s="359" t="n">
        <v>42090</v>
      </c>
      <c r="I226" s="360" t="n">
        <v>42089</v>
      </c>
      <c r="J226" s="370" t="n">
        <f aca="false">WORKDAY(H226,1)</f>
        <v>42093</v>
      </c>
    </row>
    <row r="227" customFormat="false" ht="12.75" hidden="false" customHeight="false" outlineLevel="0" collapsed="false">
      <c r="A227" s="369"/>
      <c r="B227" s="367"/>
      <c r="C227" s="368"/>
      <c r="D227" s="366"/>
      <c r="E227" s="366"/>
      <c r="F227" s="336"/>
      <c r="G227" s="358" t="n">
        <v>42125</v>
      </c>
      <c r="H227" s="359" t="n">
        <v>42122</v>
      </c>
      <c r="I227" s="360" t="n">
        <v>42121</v>
      </c>
      <c r="J227" s="370" t="n">
        <f aca="false">WORKDAY(H227,1)</f>
        <v>42123</v>
      </c>
    </row>
    <row r="228" customFormat="false" ht="12.75" hidden="false" customHeight="false" outlineLevel="0" collapsed="false">
      <c r="A228" s="369"/>
      <c r="B228" s="367"/>
      <c r="C228" s="368"/>
      <c r="D228" s="366"/>
      <c r="E228" s="366"/>
      <c r="F228" s="336"/>
      <c r="G228" s="358" t="n">
        <v>42156</v>
      </c>
      <c r="H228" s="359" t="n">
        <v>42151</v>
      </c>
      <c r="I228" s="360" t="n">
        <v>42150</v>
      </c>
      <c r="J228" s="370" t="n">
        <f aca="false">WORKDAY(H228,1)</f>
        <v>42152</v>
      </c>
    </row>
    <row r="229" customFormat="false" ht="12.75" hidden="false" customHeight="false" outlineLevel="0" collapsed="false">
      <c r="A229" s="369"/>
      <c r="B229" s="367"/>
      <c r="C229" s="368"/>
      <c r="D229" s="366"/>
      <c r="E229" s="366"/>
      <c r="F229" s="336"/>
      <c r="G229" s="358" t="n">
        <v>42186</v>
      </c>
      <c r="H229" s="359" t="n">
        <v>42181</v>
      </c>
      <c r="I229" s="360" t="n">
        <v>42180</v>
      </c>
      <c r="J229" s="370" t="n">
        <f aca="false">WORKDAY(H229,1)</f>
        <v>42184</v>
      </c>
    </row>
    <row r="230" customFormat="false" ht="12.75" hidden="false" customHeight="false" outlineLevel="0" collapsed="false">
      <c r="A230" s="369"/>
      <c r="B230" s="367"/>
      <c r="C230" s="368"/>
      <c r="D230" s="366"/>
      <c r="E230" s="366"/>
      <c r="F230" s="336"/>
      <c r="G230" s="358" t="n">
        <v>42217</v>
      </c>
      <c r="H230" s="359" t="n">
        <v>42214</v>
      </c>
      <c r="I230" s="360" t="n">
        <v>42213</v>
      </c>
      <c r="J230" s="370" t="n">
        <f aca="false">WORKDAY(H230,1)</f>
        <v>42215</v>
      </c>
    </row>
    <row r="231" customFormat="false" ht="12.75" hidden="false" customHeight="false" outlineLevel="0" collapsed="false">
      <c r="A231" s="369"/>
      <c r="B231" s="367"/>
      <c r="C231" s="368"/>
      <c r="D231" s="366"/>
      <c r="E231" s="366"/>
      <c r="F231" s="336"/>
      <c r="G231" s="358" t="n">
        <v>42248</v>
      </c>
      <c r="H231" s="359" t="n">
        <v>42243</v>
      </c>
      <c r="I231" s="360" t="n">
        <v>42242</v>
      </c>
      <c r="J231" s="370" t="n">
        <f aca="false">WORKDAY(H231,1)</f>
        <v>42244</v>
      </c>
    </row>
    <row r="232" customFormat="false" ht="12.75" hidden="false" customHeight="false" outlineLevel="0" collapsed="false">
      <c r="A232" s="369"/>
      <c r="B232" s="367"/>
      <c r="C232" s="368"/>
      <c r="D232" s="366"/>
      <c r="E232" s="366"/>
      <c r="F232" s="336"/>
      <c r="G232" s="358" t="n">
        <v>42278</v>
      </c>
      <c r="H232" s="359" t="n">
        <v>42275</v>
      </c>
      <c r="I232" s="360" t="n">
        <v>42272</v>
      </c>
      <c r="J232" s="370" t="n">
        <f aca="false">WORKDAY(H232,1)</f>
        <v>42276</v>
      </c>
    </row>
    <row r="233" customFormat="false" ht="12.75" hidden="false" customHeight="false" outlineLevel="0" collapsed="false">
      <c r="A233" s="369"/>
      <c r="B233" s="367"/>
      <c r="C233" s="368"/>
      <c r="D233" s="366"/>
      <c r="E233" s="366"/>
      <c r="F233" s="336"/>
      <c r="G233" s="358" t="n">
        <v>42309</v>
      </c>
      <c r="H233" s="359" t="n">
        <v>42305</v>
      </c>
      <c r="I233" s="360" t="n">
        <v>42304</v>
      </c>
      <c r="J233" s="370" t="n">
        <f aca="false">WORKDAY(H233,1)</f>
        <v>42306</v>
      </c>
    </row>
    <row r="234" customFormat="false" ht="12.75" hidden="false" customHeight="false" outlineLevel="0" collapsed="false">
      <c r="A234" s="369"/>
      <c r="B234" s="367"/>
      <c r="C234" s="368"/>
      <c r="D234" s="366"/>
      <c r="E234" s="366"/>
      <c r="F234" s="366"/>
      <c r="G234" s="371" t="n">
        <v>42339</v>
      </c>
      <c r="H234" s="359" t="n">
        <v>42333</v>
      </c>
      <c r="I234" s="360" t="n">
        <v>42332</v>
      </c>
      <c r="J234" s="370" t="n">
        <f aca="false">WORKDAY(H234,1)</f>
        <v>42334</v>
      </c>
    </row>
    <row r="235" customFormat="false" ht="12.75" hidden="false" customHeight="false" outlineLevel="0" collapsed="false">
      <c r="A235" s="369"/>
      <c r="B235" s="367"/>
      <c r="C235" s="368"/>
      <c r="D235" s="366"/>
      <c r="E235" s="366"/>
      <c r="F235" s="366"/>
      <c r="G235" s="371" t="n">
        <v>42370</v>
      </c>
      <c r="H235" s="359" t="n">
        <v>42367</v>
      </c>
      <c r="I235" s="360" t="n">
        <v>42366</v>
      </c>
      <c r="J235" s="370" t="n">
        <f aca="false">WORKDAY(H235,1)</f>
        <v>42368</v>
      </c>
    </row>
    <row r="236" customFormat="false" ht="12.75" hidden="false" customHeight="false" outlineLevel="0" collapsed="false">
      <c r="A236" s="369"/>
      <c r="B236" s="367"/>
      <c r="C236" s="368"/>
      <c r="D236" s="366"/>
      <c r="E236" s="366"/>
      <c r="F236" s="366"/>
      <c r="G236" s="371" t="n">
        <v>42401</v>
      </c>
      <c r="H236" s="359" t="n">
        <v>42396</v>
      </c>
      <c r="I236" s="360" t="n">
        <v>42395</v>
      </c>
      <c r="J236" s="370" t="n">
        <f aca="false">WORKDAY(H236,1)</f>
        <v>42397</v>
      </c>
    </row>
    <row r="237" customFormat="false" ht="12.75" hidden="false" customHeight="false" outlineLevel="0" collapsed="false">
      <c r="A237" s="369"/>
      <c r="B237" s="367"/>
      <c r="C237" s="368"/>
      <c r="D237" s="366"/>
      <c r="E237" s="366"/>
      <c r="F237" s="366"/>
      <c r="G237" s="371" t="n">
        <v>42430</v>
      </c>
      <c r="H237" s="359" t="n">
        <v>42425</v>
      </c>
      <c r="I237" s="360" t="n">
        <v>42424</v>
      </c>
      <c r="J237" s="370" t="n">
        <f aca="false">WORKDAY(H237,1)</f>
        <v>42426</v>
      </c>
    </row>
    <row r="238" customFormat="false" ht="12.75" hidden="false" customHeight="false" outlineLevel="0" collapsed="false">
      <c r="A238" s="369"/>
      <c r="B238" s="367"/>
      <c r="C238" s="368"/>
      <c r="D238" s="366"/>
      <c r="E238" s="366"/>
      <c r="F238" s="366"/>
      <c r="G238" s="371" t="n">
        <v>42461</v>
      </c>
      <c r="H238" s="359" t="n">
        <v>42458</v>
      </c>
      <c r="I238" s="360" t="n">
        <v>42457</v>
      </c>
      <c r="J238" s="370" t="n">
        <f aca="false">WORKDAY(H238,1)</f>
        <v>42459</v>
      </c>
    </row>
    <row r="239" customFormat="false" ht="12.75" hidden="false" customHeight="false" outlineLevel="0" collapsed="false">
      <c r="A239" s="369"/>
      <c r="B239" s="367"/>
      <c r="C239" s="368"/>
      <c r="D239" s="366"/>
      <c r="E239" s="366"/>
      <c r="F239" s="366"/>
      <c r="G239" s="371" t="n">
        <v>42491</v>
      </c>
      <c r="H239" s="359" t="n">
        <v>42487</v>
      </c>
      <c r="I239" s="360" t="n">
        <v>42486</v>
      </c>
      <c r="J239" s="370" t="n">
        <f aca="false">WORKDAY(H239,1)</f>
        <v>42488</v>
      </c>
    </row>
    <row r="240" customFormat="false" ht="12.75" hidden="false" customHeight="false" outlineLevel="0" collapsed="false">
      <c r="A240" s="369"/>
      <c r="B240" s="367"/>
      <c r="C240" s="368"/>
      <c r="D240" s="366"/>
      <c r="E240" s="366"/>
      <c r="F240" s="366"/>
      <c r="G240" s="371" t="n">
        <v>42522</v>
      </c>
      <c r="H240" s="359" t="n">
        <v>42516</v>
      </c>
      <c r="I240" s="360" t="n">
        <v>42515</v>
      </c>
      <c r="J240" s="370" t="n">
        <f aca="false">WORKDAY(H240,1)</f>
        <v>42517</v>
      </c>
    </row>
    <row r="241" customFormat="false" ht="12.75" hidden="false" customHeight="false" outlineLevel="0" collapsed="false">
      <c r="A241" s="369"/>
      <c r="B241" s="367"/>
      <c r="C241" s="368"/>
      <c r="D241" s="366"/>
      <c r="E241" s="366"/>
      <c r="F241" s="366"/>
      <c r="G241" s="371" t="n">
        <v>42552</v>
      </c>
      <c r="H241" s="359" t="n">
        <v>42549</v>
      </c>
      <c r="I241" s="360" t="n">
        <v>42548</v>
      </c>
      <c r="J241" s="370" t="n">
        <f aca="false">WORKDAY(H241,1)</f>
        <v>42550</v>
      </c>
    </row>
    <row r="242" customFormat="false" ht="12.75" hidden="false" customHeight="false" outlineLevel="0" collapsed="false">
      <c r="A242" s="369"/>
      <c r="B242" s="367"/>
      <c r="C242" s="368"/>
      <c r="D242" s="366"/>
      <c r="E242" s="366"/>
      <c r="F242" s="366"/>
      <c r="G242" s="371" t="n">
        <v>42583</v>
      </c>
      <c r="H242" s="359" t="n">
        <v>42578</v>
      </c>
      <c r="I242" s="360" t="n">
        <v>42577</v>
      </c>
      <c r="J242" s="370" t="n">
        <f aca="false">WORKDAY(H242,1)</f>
        <v>42579</v>
      </c>
    </row>
    <row r="243" customFormat="false" ht="12.75" hidden="false" customHeight="false" outlineLevel="0" collapsed="false">
      <c r="A243" s="369"/>
      <c r="B243" s="367"/>
      <c r="C243" s="368"/>
      <c r="D243" s="366"/>
      <c r="E243" s="366"/>
      <c r="F243" s="366"/>
      <c r="G243" s="371" t="n">
        <v>42614</v>
      </c>
      <c r="H243" s="359" t="n">
        <v>42611</v>
      </c>
      <c r="I243" s="360" t="n">
        <v>42608</v>
      </c>
      <c r="J243" s="370" t="n">
        <f aca="false">WORKDAY(H243,1)</f>
        <v>42612</v>
      </c>
    </row>
    <row r="244" customFormat="false" ht="12.75" hidden="false" customHeight="false" outlineLevel="0" collapsed="false">
      <c r="A244" s="369"/>
      <c r="B244" s="367"/>
      <c r="C244" s="368"/>
      <c r="D244" s="366"/>
      <c r="E244" s="366"/>
      <c r="F244" s="366"/>
      <c r="G244" s="371" t="n">
        <v>42644</v>
      </c>
      <c r="H244" s="359" t="n">
        <v>42641</v>
      </c>
      <c r="I244" s="360" t="n">
        <v>42640</v>
      </c>
      <c r="J244" s="370" t="n">
        <f aca="false">WORKDAY(H244,1)</f>
        <v>42642</v>
      </c>
    </row>
    <row r="245" customFormat="false" ht="12.75" hidden="false" customHeight="false" outlineLevel="0" collapsed="false">
      <c r="A245" s="369"/>
      <c r="B245" s="367"/>
      <c r="C245" s="368"/>
      <c r="D245" s="366"/>
      <c r="E245" s="366"/>
      <c r="F245" s="366"/>
      <c r="G245" s="371" t="n">
        <v>42675</v>
      </c>
      <c r="H245" s="359" t="n">
        <v>42670</v>
      </c>
      <c r="I245" s="360" t="n">
        <v>42669</v>
      </c>
      <c r="J245" s="370" t="n">
        <f aca="false">WORKDAY(H245,1)</f>
        <v>42671</v>
      </c>
    </row>
    <row r="246" customFormat="false" ht="12.75" hidden="false" customHeight="false" outlineLevel="0" collapsed="false">
      <c r="A246" s="369"/>
      <c r="B246" s="367"/>
      <c r="C246" s="368"/>
      <c r="D246" s="366"/>
      <c r="E246" s="366"/>
      <c r="F246" s="366"/>
      <c r="G246" s="371" t="n">
        <v>42705</v>
      </c>
      <c r="H246" s="359" t="n">
        <v>42702</v>
      </c>
      <c r="I246" s="360" t="n">
        <v>42699</v>
      </c>
      <c r="J246" s="370" t="n">
        <f aca="false">WORKDAY(H246,1)</f>
        <v>42703</v>
      </c>
    </row>
    <row r="247" customFormat="false" ht="12.75" hidden="false" customHeight="false" outlineLevel="0" collapsed="false">
      <c r="A247" s="369"/>
      <c r="B247" s="367"/>
      <c r="C247" s="368"/>
      <c r="D247" s="366"/>
      <c r="E247" s="366"/>
      <c r="F247" s="366"/>
      <c r="G247" s="371" t="n">
        <v>42736</v>
      </c>
      <c r="H247" s="359" t="n">
        <v>42732</v>
      </c>
      <c r="I247" s="360" t="n">
        <v>42731</v>
      </c>
      <c r="J247" s="370" t="n">
        <f aca="false">WORKDAY(H247,1)</f>
        <v>42733</v>
      </c>
    </row>
    <row r="248" customFormat="false" ht="12.75" hidden="false" customHeight="false" outlineLevel="0" collapsed="false">
      <c r="A248" s="369"/>
      <c r="B248" s="367"/>
      <c r="C248" s="368"/>
      <c r="D248" s="366"/>
      <c r="E248" s="366"/>
      <c r="F248" s="366"/>
      <c r="G248" s="371" t="n">
        <v>42767</v>
      </c>
      <c r="H248" s="359" t="n">
        <v>42762</v>
      </c>
      <c r="I248" s="360" t="n">
        <v>42761</v>
      </c>
      <c r="J248" s="370" t="n">
        <f aca="false">WORKDAY(H248,1)</f>
        <v>42765</v>
      </c>
    </row>
    <row r="249" customFormat="false" ht="12.75" hidden="false" customHeight="false" outlineLevel="0" collapsed="false">
      <c r="A249" s="369"/>
      <c r="B249" s="367"/>
      <c r="C249" s="368"/>
      <c r="D249" s="366"/>
      <c r="E249" s="366"/>
      <c r="F249" s="366"/>
      <c r="G249" s="371" t="n">
        <v>42795</v>
      </c>
      <c r="H249" s="359" t="n">
        <v>42790</v>
      </c>
      <c r="I249" s="360" t="n">
        <v>42789</v>
      </c>
      <c r="J249" s="370" t="n">
        <f aca="false">WORKDAY(H249,1)</f>
        <v>42793</v>
      </c>
    </row>
    <row r="250" customFormat="false" ht="12.75" hidden="false" customHeight="false" outlineLevel="0" collapsed="false">
      <c r="A250" s="369"/>
      <c r="B250" s="367"/>
      <c r="C250" s="368"/>
      <c r="D250" s="366"/>
      <c r="E250" s="366"/>
      <c r="F250" s="366"/>
      <c r="G250" s="371" t="n">
        <v>42826</v>
      </c>
      <c r="H250" s="359" t="n">
        <v>42823</v>
      </c>
      <c r="I250" s="360" t="n">
        <v>42822</v>
      </c>
      <c r="J250" s="370" t="n">
        <f aca="false">WORKDAY(H250,1)</f>
        <v>42824</v>
      </c>
    </row>
    <row r="251" customFormat="false" ht="12.75" hidden="false" customHeight="false" outlineLevel="0" collapsed="false">
      <c r="A251" s="369"/>
      <c r="B251" s="367"/>
      <c r="C251" s="368"/>
      <c r="D251" s="366"/>
      <c r="E251" s="366"/>
      <c r="F251" s="366"/>
      <c r="G251" s="371" t="n">
        <v>42856</v>
      </c>
      <c r="H251" s="359" t="n">
        <v>42851</v>
      </c>
      <c r="I251" s="360" t="n">
        <v>42850</v>
      </c>
      <c r="J251" s="370" t="n">
        <f aca="false">WORKDAY(H251,1)</f>
        <v>42852</v>
      </c>
    </row>
    <row r="252" customFormat="false" ht="12.75" hidden="false" customHeight="false" outlineLevel="0" collapsed="false">
      <c r="A252" s="369"/>
      <c r="B252" s="367"/>
      <c r="C252" s="368"/>
      <c r="D252" s="366"/>
      <c r="E252" s="366"/>
      <c r="F252" s="366"/>
      <c r="G252" s="371" t="n">
        <v>42887</v>
      </c>
      <c r="H252" s="359" t="n">
        <v>42881</v>
      </c>
      <c r="I252" s="360" t="n">
        <v>42880</v>
      </c>
      <c r="J252" s="370" t="n">
        <f aca="false">WORKDAY(H252,1)</f>
        <v>42884</v>
      </c>
    </row>
    <row r="253" customFormat="false" ht="12.75" hidden="false" customHeight="false" outlineLevel="0" collapsed="false">
      <c r="A253" s="369"/>
      <c r="B253" s="367"/>
      <c r="C253" s="368"/>
      <c r="D253" s="366"/>
      <c r="E253" s="366"/>
      <c r="F253" s="366"/>
      <c r="G253" s="371" t="n">
        <v>42917</v>
      </c>
      <c r="H253" s="359" t="n">
        <v>42914</v>
      </c>
      <c r="I253" s="360" t="n">
        <v>42913</v>
      </c>
      <c r="J253" s="370" t="n">
        <f aca="false">WORKDAY(H253,1)</f>
        <v>42915</v>
      </c>
    </row>
    <row r="254" customFormat="false" ht="12.75" hidden="false" customHeight="false" outlineLevel="0" collapsed="false">
      <c r="A254" s="369"/>
      <c r="B254" s="367"/>
      <c r="C254" s="368"/>
      <c r="D254" s="366"/>
      <c r="E254" s="366"/>
      <c r="F254" s="366"/>
      <c r="G254" s="371" t="n">
        <v>42948</v>
      </c>
      <c r="H254" s="359" t="n">
        <v>42943</v>
      </c>
      <c r="I254" s="360" t="n">
        <v>42942</v>
      </c>
      <c r="J254" s="370" t="n">
        <f aca="false">WORKDAY(H254,1)</f>
        <v>42944</v>
      </c>
    </row>
    <row r="255" customFormat="false" ht="12.75" hidden="false" customHeight="false" outlineLevel="0" collapsed="false">
      <c r="A255" s="369"/>
      <c r="B255" s="367"/>
      <c r="C255" s="368"/>
      <c r="D255" s="366"/>
      <c r="E255" s="366"/>
      <c r="F255" s="366"/>
      <c r="G255" s="371" t="n">
        <v>42979</v>
      </c>
      <c r="H255" s="359" t="n">
        <v>42976</v>
      </c>
      <c r="I255" s="360" t="n">
        <v>42975</v>
      </c>
      <c r="J255" s="370" t="n">
        <f aca="false">WORKDAY(H255,1)</f>
        <v>42977</v>
      </c>
    </row>
    <row r="256" customFormat="false" ht="12.75" hidden="false" customHeight="false" outlineLevel="0" collapsed="false">
      <c r="A256" s="369"/>
      <c r="B256" s="367"/>
      <c r="C256" s="368"/>
      <c r="D256" s="366"/>
      <c r="E256" s="366"/>
      <c r="F256" s="366"/>
      <c r="G256" s="371" t="n">
        <v>43009</v>
      </c>
      <c r="H256" s="359" t="n">
        <v>43005</v>
      </c>
      <c r="I256" s="360" t="n">
        <v>43004</v>
      </c>
      <c r="J256" s="370" t="n">
        <f aca="false">WORKDAY(H256,1)</f>
        <v>43006</v>
      </c>
    </row>
    <row r="257" customFormat="false" ht="12.75" hidden="false" customHeight="false" outlineLevel="0" collapsed="false">
      <c r="A257" s="369"/>
      <c r="B257" s="367"/>
      <c r="C257" s="368"/>
      <c r="D257" s="366"/>
      <c r="E257" s="366"/>
      <c r="F257" s="366"/>
      <c r="G257" s="371" t="n">
        <v>43040</v>
      </c>
      <c r="H257" s="359" t="n">
        <v>43035</v>
      </c>
      <c r="I257" s="360" t="n">
        <v>43034</v>
      </c>
      <c r="J257" s="370" t="n">
        <f aca="false">WORKDAY(H257,1)</f>
        <v>43038</v>
      </c>
    </row>
    <row r="258" customFormat="false" ht="12.75" hidden="false" customHeight="false" outlineLevel="0" collapsed="false">
      <c r="A258" s="369"/>
      <c r="B258" s="367"/>
      <c r="C258" s="368"/>
      <c r="D258" s="366"/>
      <c r="E258" s="366"/>
      <c r="F258" s="366"/>
      <c r="G258" s="371" t="n">
        <v>43070</v>
      </c>
      <c r="H258" s="359" t="n">
        <v>43067</v>
      </c>
      <c r="I258" s="360" t="n">
        <v>43066</v>
      </c>
      <c r="J258" s="370" t="n">
        <f aca="false">WORKDAY(H258,1)</f>
        <v>43068</v>
      </c>
    </row>
    <row r="259" customFormat="false" ht="12.75" hidden="false" customHeight="false" outlineLevel="0" collapsed="false">
      <c r="A259" s="369"/>
      <c r="B259" s="367"/>
      <c r="C259" s="368"/>
      <c r="D259" s="366"/>
      <c r="E259" s="366"/>
      <c r="F259" s="366"/>
      <c r="G259" s="371" t="n">
        <v>43101</v>
      </c>
      <c r="H259" s="359" t="n">
        <v>43096</v>
      </c>
      <c r="I259" s="360" t="n">
        <v>43095</v>
      </c>
      <c r="J259" s="370" t="n">
        <f aca="false">WORKDAY(H259,1)</f>
        <v>43097</v>
      </c>
    </row>
    <row r="260" customFormat="false" ht="12.75" hidden="false" customHeight="false" outlineLevel="0" collapsed="false">
      <c r="A260" s="369"/>
      <c r="B260" s="367"/>
      <c r="C260" s="368"/>
      <c r="D260" s="366"/>
      <c r="E260" s="366"/>
      <c r="F260" s="366"/>
      <c r="G260" s="371" t="n">
        <v>43132</v>
      </c>
      <c r="H260" s="359" t="n">
        <v>43129</v>
      </c>
      <c r="I260" s="360" t="n">
        <v>43126</v>
      </c>
      <c r="J260" s="370" t="n">
        <f aca="false">WORKDAY(H260,1)</f>
        <v>43130</v>
      </c>
    </row>
    <row r="261" customFormat="false" ht="12.75" hidden="false" customHeight="false" outlineLevel="0" collapsed="false">
      <c r="A261" s="369"/>
      <c r="B261" s="367"/>
      <c r="C261" s="368"/>
      <c r="D261" s="366"/>
      <c r="E261" s="366"/>
      <c r="F261" s="366"/>
      <c r="G261" s="371" t="n">
        <v>43160</v>
      </c>
      <c r="H261" s="359" t="n">
        <v>43157</v>
      </c>
      <c r="I261" s="360" t="n">
        <v>43154</v>
      </c>
      <c r="J261" s="370" t="n">
        <f aca="false">WORKDAY(H261,1)</f>
        <v>43158</v>
      </c>
    </row>
    <row r="262" customFormat="false" ht="12.75" hidden="false" customHeight="false" outlineLevel="0" collapsed="false">
      <c r="A262" s="369"/>
      <c r="B262" s="367"/>
      <c r="C262" s="368"/>
      <c r="D262" s="366"/>
      <c r="E262" s="366"/>
      <c r="F262" s="366"/>
      <c r="G262" s="371" t="n">
        <v>43191</v>
      </c>
      <c r="H262" s="359" t="n">
        <v>43186</v>
      </c>
      <c r="I262" s="360" t="n">
        <v>43185</v>
      </c>
      <c r="J262" s="370" t="n">
        <f aca="false">WORKDAY(H262,1)</f>
        <v>43187</v>
      </c>
    </row>
    <row r="263" customFormat="false" ht="12.75" hidden="false" customHeight="false" outlineLevel="0" collapsed="false">
      <c r="A263" s="369"/>
      <c r="B263" s="367"/>
      <c r="C263" s="368"/>
      <c r="D263" s="366"/>
      <c r="E263" s="366"/>
      <c r="F263" s="366"/>
      <c r="G263" s="371" t="n">
        <v>43221</v>
      </c>
      <c r="H263" s="359" t="n">
        <v>43216</v>
      </c>
      <c r="I263" s="360" t="n">
        <v>43215</v>
      </c>
      <c r="J263" s="370" t="n">
        <f aca="false">WORKDAY(H263,1)</f>
        <v>43217</v>
      </c>
    </row>
    <row r="264" customFormat="false" ht="12.75" hidden="false" customHeight="false" outlineLevel="0" collapsed="false">
      <c r="A264" s="369"/>
      <c r="B264" s="367"/>
      <c r="C264" s="368"/>
      <c r="D264" s="366"/>
      <c r="E264" s="366"/>
      <c r="F264" s="366"/>
      <c r="G264" s="371" t="n">
        <v>43252</v>
      </c>
      <c r="H264" s="359" t="n">
        <v>43249</v>
      </c>
      <c r="I264" s="360" t="n">
        <v>43245</v>
      </c>
      <c r="J264" s="370" t="n">
        <f aca="false">WORKDAY(H264,1)</f>
        <v>43250</v>
      </c>
    </row>
    <row r="265" customFormat="false" ht="12.75" hidden="false" customHeight="false" outlineLevel="0" collapsed="false">
      <c r="A265" s="369"/>
      <c r="B265" s="367"/>
      <c r="C265" s="368"/>
      <c r="D265" s="366"/>
      <c r="E265" s="366"/>
      <c r="F265" s="366"/>
      <c r="G265" s="371" t="n">
        <v>43282</v>
      </c>
      <c r="H265" s="359" t="n">
        <v>43278</v>
      </c>
      <c r="I265" s="360" t="n">
        <v>43277</v>
      </c>
      <c r="J265" s="370" t="n">
        <f aca="false">WORKDAY(H265,1)</f>
        <v>43279</v>
      </c>
    </row>
    <row r="266" customFormat="false" ht="12.75" hidden="false" customHeight="false" outlineLevel="0" collapsed="false">
      <c r="A266" s="369"/>
      <c r="B266" s="367"/>
      <c r="C266" s="368"/>
      <c r="D266" s="366"/>
      <c r="E266" s="366"/>
      <c r="F266" s="366"/>
      <c r="G266" s="371" t="n">
        <v>43313</v>
      </c>
      <c r="H266" s="359" t="n">
        <v>43308</v>
      </c>
      <c r="I266" s="360" t="n">
        <v>43307</v>
      </c>
      <c r="J266" s="370" t="n">
        <f aca="false">WORKDAY(H266,1)</f>
        <v>43311</v>
      </c>
    </row>
    <row r="267" customFormat="false" ht="12.75" hidden="false" customHeight="false" outlineLevel="0" collapsed="false">
      <c r="A267" s="369"/>
      <c r="B267" s="367"/>
      <c r="C267" s="368"/>
      <c r="D267" s="366"/>
      <c r="E267" s="366"/>
      <c r="F267" s="366"/>
      <c r="G267" s="371" t="n">
        <v>43344</v>
      </c>
      <c r="H267" s="359" t="n">
        <v>43341</v>
      </c>
      <c r="I267" s="360" t="n">
        <v>43340</v>
      </c>
      <c r="J267" s="370" t="n">
        <f aca="false">WORKDAY(H267,1)</f>
        <v>43342</v>
      </c>
    </row>
    <row r="268" customFormat="false" ht="12.75" hidden="false" customHeight="false" outlineLevel="0" collapsed="false">
      <c r="A268" s="369"/>
      <c r="B268" s="367"/>
      <c r="C268" s="368"/>
      <c r="D268" s="366"/>
      <c r="E268" s="366"/>
      <c r="F268" s="366"/>
      <c r="G268" s="371" t="n">
        <v>43374</v>
      </c>
      <c r="H268" s="359" t="n">
        <v>43369</v>
      </c>
      <c r="I268" s="360" t="n">
        <v>43368</v>
      </c>
      <c r="J268" s="370" t="n">
        <f aca="false">WORKDAY(H268,1)</f>
        <v>43370</v>
      </c>
    </row>
    <row r="269" customFormat="false" ht="12.75" hidden="false" customHeight="false" outlineLevel="0" collapsed="false">
      <c r="A269" s="369"/>
      <c r="B269" s="367"/>
      <c r="C269" s="368"/>
      <c r="D269" s="366"/>
      <c r="E269" s="366"/>
      <c r="F269" s="366"/>
      <c r="G269" s="371" t="n">
        <v>43405</v>
      </c>
      <c r="H269" s="359" t="n">
        <v>43402</v>
      </c>
      <c r="I269" s="360" t="n">
        <v>43399</v>
      </c>
      <c r="J269" s="370" t="n">
        <f aca="false">WORKDAY(H269,1)</f>
        <v>43403</v>
      </c>
    </row>
    <row r="270" customFormat="false" ht="12.75" hidden="false" customHeight="false" outlineLevel="0" collapsed="false">
      <c r="A270" s="369"/>
      <c r="B270" s="367"/>
      <c r="C270" s="368"/>
      <c r="D270" s="366"/>
      <c r="E270" s="366"/>
      <c r="F270" s="366"/>
      <c r="G270" s="371" t="n">
        <v>43435</v>
      </c>
      <c r="H270" s="359" t="n">
        <v>43432</v>
      </c>
      <c r="I270" s="360" t="n">
        <v>43431</v>
      </c>
      <c r="J270" s="370" t="n">
        <f aca="false">WORKDAY(H270,1)</f>
        <v>43433</v>
      </c>
    </row>
    <row r="271" customFormat="false" ht="12.75" hidden="false" customHeight="false" outlineLevel="0" collapsed="false">
      <c r="A271" s="369"/>
      <c r="B271" s="367"/>
      <c r="C271" s="368"/>
      <c r="D271" s="366"/>
      <c r="E271" s="366"/>
      <c r="F271" s="366"/>
      <c r="G271" s="371" t="n">
        <v>43466</v>
      </c>
      <c r="H271" s="359" t="n">
        <v>43461</v>
      </c>
      <c r="I271" s="360" t="n">
        <v>43460</v>
      </c>
      <c r="J271" s="370" t="n">
        <f aca="false">WORKDAY(H271,1)</f>
        <v>43462</v>
      </c>
    </row>
    <row r="272" customFormat="false" ht="12.75" hidden="false" customHeight="false" outlineLevel="0" collapsed="false">
      <c r="A272" s="369"/>
      <c r="B272" s="367"/>
      <c r="C272" s="368"/>
      <c r="D272" s="366"/>
      <c r="E272" s="366"/>
      <c r="F272" s="366"/>
      <c r="G272" s="371" t="n">
        <v>43497</v>
      </c>
      <c r="H272" s="359" t="n">
        <v>43494</v>
      </c>
      <c r="I272" s="360" t="n">
        <v>43493</v>
      </c>
      <c r="J272" s="370" t="n">
        <f aca="false">WORKDAY(H272,1)</f>
        <v>43495</v>
      </c>
    </row>
    <row r="273" customFormat="false" ht="12.75" hidden="false" customHeight="false" outlineLevel="0" collapsed="false">
      <c r="A273" s="369"/>
      <c r="B273" s="367"/>
      <c r="C273" s="368"/>
      <c r="D273" s="366"/>
      <c r="E273" s="366"/>
      <c r="F273" s="366"/>
      <c r="G273" s="371" t="n">
        <v>43525</v>
      </c>
      <c r="H273" s="359" t="n">
        <v>43522</v>
      </c>
      <c r="I273" s="360" t="n">
        <v>43521</v>
      </c>
      <c r="J273" s="370" t="n">
        <f aca="false">WORKDAY(H273,1)</f>
        <v>43523</v>
      </c>
    </row>
    <row r="274" customFormat="false" ht="12.75" hidden="false" customHeight="false" outlineLevel="0" collapsed="false">
      <c r="A274" s="369"/>
      <c r="B274" s="367"/>
      <c r="C274" s="368"/>
      <c r="D274" s="366"/>
      <c r="E274" s="366"/>
      <c r="F274" s="366"/>
      <c r="G274" s="371" t="n">
        <v>43556</v>
      </c>
      <c r="H274" s="359" t="n">
        <v>43551</v>
      </c>
      <c r="I274" s="360" t="n">
        <v>43550</v>
      </c>
      <c r="J274" s="370" t="n">
        <f aca="false">WORKDAY(H274,1)</f>
        <v>43552</v>
      </c>
    </row>
    <row r="275" customFormat="false" ht="12.75" hidden="false" customHeight="false" outlineLevel="0" collapsed="false">
      <c r="A275" s="369"/>
      <c r="B275" s="367"/>
      <c r="C275" s="368"/>
      <c r="D275" s="366"/>
      <c r="E275" s="366"/>
      <c r="F275" s="366"/>
      <c r="G275" s="371" t="n">
        <v>43586</v>
      </c>
      <c r="H275" s="359" t="n">
        <v>43581</v>
      </c>
      <c r="I275" s="360" t="n">
        <v>43580</v>
      </c>
      <c r="J275" s="370" t="n">
        <f aca="false">WORKDAY(H275,1)</f>
        <v>43584</v>
      </c>
    </row>
    <row r="276" customFormat="false" ht="12.75" hidden="false" customHeight="false" outlineLevel="0" collapsed="false">
      <c r="A276" s="369"/>
      <c r="B276" s="367"/>
      <c r="C276" s="368"/>
      <c r="D276" s="366"/>
      <c r="E276" s="366"/>
      <c r="F276" s="366"/>
      <c r="G276" s="371" t="n">
        <v>43617</v>
      </c>
      <c r="H276" s="359" t="n">
        <v>43614</v>
      </c>
      <c r="I276" s="360" t="n">
        <v>43613</v>
      </c>
      <c r="J276" s="370" t="n">
        <f aca="false">WORKDAY(H276,1)</f>
        <v>43615</v>
      </c>
    </row>
    <row r="277" customFormat="false" ht="12.75" hidden="false" customHeight="false" outlineLevel="0" collapsed="false">
      <c r="A277" s="369"/>
      <c r="B277" s="367"/>
      <c r="C277" s="368"/>
      <c r="D277" s="366"/>
      <c r="E277" s="366"/>
      <c r="F277" s="366"/>
      <c r="G277" s="371" t="n">
        <v>43647</v>
      </c>
      <c r="H277" s="359" t="n">
        <v>43642</v>
      </c>
      <c r="I277" s="360" t="n">
        <v>43641</v>
      </c>
      <c r="J277" s="370" t="n">
        <f aca="false">WORKDAY(H277,1)</f>
        <v>43643</v>
      </c>
    </row>
    <row r="278" customFormat="false" ht="12.75" hidden="false" customHeight="false" outlineLevel="0" collapsed="false">
      <c r="A278" s="369"/>
      <c r="B278" s="367"/>
      <c r="C278" s="368"/>
      <c r="D278" s="366"/>
      <c r="E278" s="366"/>
      <c r="F278" s="366"/>
      <c r="G278" s="371" t="n">
        <v>43678</v>
      </c>
      <c r="H278" s="359" t="n">
        <v>43675</v>
      </c>
      <c r="I278" s="360" t="n">
        <v>43672</v>
      </c>
      <c r="J278" s="370" t="n">
        <f aca="false">WORKDAY(H278,1)</f>
        <v>43676</v>
      </c>
    </row>
    <row r="279" customFormat="false" ht="12.75" hidden="false" customHeight="false" outlineLevel="0" collapsed="false">
      <c r="A279" s="369"/>
      <c r="B279" s="367"/>
      <c r="C279" s="368"/>
      <c r="D279" s="366"/>
      <c r="E279" s="366"/>
      <c r="F279" s="366"/>
      <c r="G279" s="371" t="n">
        <v>43709</v>
      </c>
      <c r="H279" s="359" t="n">
        <v>43705</v>
      </c>
      <c r="I279" s="360" t="n">
        <v>43704</v>
      </c>
      <c r="J279" s="370" t="n">
        <f aca="false">WORKDAY(H279,1)</f>
        <v>43706</v>
      </c>
    </row>
    <row r="280" customFormat="false" ht="12.75" hidden="false" customHeight="false" outlineLevel="0" collapsed="false">
      <c r="A280" s="369"/>
      <c r="B280" s="367"/>
      <c r="C280" s="368"/>
      <c r="D280" s="366"/>
      <c r="E280" s="366"/>
      <c r="F280" s="366"/>
      <c r="G280" s="371" t="n">
        <v>43739</v>
      </c>
      <c r="H280" s="359" t="n">
        <v>43734</v>
      </c>
      <c r="I280" s="360" t="n">
        <v>43733</v>
      </c>
      <c r="J280" s="370" t="n">
        <f aca="false">WORKDAY(H280,1)</f>
        <v>43735</v>
      </c>
    </row>
    <row r="281" customFormat="false" ht="12.75" hidden="false" customHeight="false" outlineLevel="0" collapsed="false">
      <c r="A281" s="369"/>
      <c r="B281" s="367"/>
      <c r="C281" s="368"/>
      <c r="D281" s="366"/>
      <c r="E281" s="366"/>
      <c r="F281" s="366"/>
      <c r="G281" s="371" t="n">
        <v>43770</v>
      </c>
      <c r="H281" s="359" t="n">
        <v>43767</v>
      </c>
      <c r="I281" s="360" t="n">
        <v>43766</v>
      </c>
      <c r="J281" s="370" t="n">
        <f aca="false">WORKDAY(H281,1)</f>
        <v>43768</v>
      </c>
    </row>
    <row r="282" customFormat="false" ht="12.75" hidden="false" customHeight="false" outlineLevel="0" collapsed="false">
      <c r="A282" s="369"/>
      <c r="B282" s="367"/>
      <c r="C282" s="368"/>
      <c r="D282" s="366"/>
      <c r="E282" s="366"/>
      <c r="F282" s="366"/>
      <c r="G282" s="371" t="n">
        <v>43800</v>
      </c>
      <c r="H282" s="359" t="n">
        <v>43795</v>
      </c>
      <c r="I282" s="360" t="n">
        <v>43794</v>
      </c>
      <c r="J282" s="370" t="n">
        <f aca="false">WORKDAY(H282,1)</f>
        <v>43796</v>
      </c>
    </row>
    <row r="283" customFormat="false" ht="12.75" hidden="false" customHeight="false" outlineLevel="0" collapsed="false">
      <c r="A283" s="369"/>
      <c r="B283" s="367"/>
      <c r="C283" s="368"/>
      <c r="D283" s="366"/>
      <c r="E283" s="366"/>
      <c r="F283" s="366"/>
      <c r="G283" s="371" t="n">
        <v>43831</v>
      </c>
      <c r="H283" s="359" t="n">
        <v>43826</v>
      </c>
      <c r="I283" s="360" t="n">
        <v>43825</v>
      </c>
      <c r="J283" s="370" t="n">
        <f aca="false">WORKDAY(H283,1)</f>
        <v>43829</v>
      </c>
    </row>
    <row r="284" customFormat="false" ht="12.75" hidden="false" customHeight="false" outlineLevel="0" collapsed="false">
      <c r="A284" s="369"/>
      <c r="B284" s="367"/>
      <c r="C284" s="368"/>
      <c r="D284" s="366"/>
      <c r="E284" s="366"/>
      <c r="F284" s="366"/>
      <c r="G284" s="371" t="n">
        <v>43862</v>
      </c>
      <c r="H284" s="359" t="n">
        <v>43859</v>
      </c>
      <c r="I284" s="360" t="n">
        <v>43858</v>
      </c>
      <c r="J284" s="370" t="n">
        <f aca="false">WORKDAY(H284,1)</f>
        <v>43860</v>
      </c>
    </row>
    <row r="285" customFormat="false" ht="12.75" hidden="false" customHeight="false" outlineLevel="0" collapsed="false">
      <c r="A285" s="369"/>
      <c r="B285" s="367"/>
      <c r="C285" s="368"/>
      <c r="D285" s="366"/>
      <c r="E285" s="366"/>
      <c r="F285" s="366"/>
      <c r="G285" s="371" t="n">
        <v>43891</v>
      </c>
      <c r="H285" s="359" t="n">
        <v>43887</v>
      </c>
      <c r="I285" s="360" t="n">
        <v>43886</v>
      </c>
      <c r="J285" s="370" t="n">
        <f aca="false">WORKDAY(H285,1)</f>
        <v>43888</v>
      </c>
    </row>
    <row r="286" customFormat="false" ht="12.75" hidden="false" customHeight="false" outlineLevel="0" collapsed="false">
      <c r="A286" s="369"/>
      <c r="B286" s="367"/>
      <c r="C286" s="368"/>
      <c r="D286" s="366"/>
      <c r="E286" s="366"/>
      <c r="F286" s="366"/>
      <c r="G286" s="371" t="n">
        <v>43922</v>
      </c>
      <c r="H286" s="359" t="n">
        <v>43917</v>
      </c>
      <c r="I286" s="360" t="n">
        <v>43916</v>
      </c>
      <c r="J286" s="370" t="n">
        <f aca="false">WORKDAY(H286,1)</f>
        <v>43920</v>
      </c>
    </row>
    <row r="287" customFormat="false" ht="12.75" hidden="false" customHeight="false" outlineLevel="0" collapsed="false">
      <c r="A287" s="369"/>
      <c r="B287" s="367"/>
      <c r="C287" s="368"/>
      <c r="D287" s="366"/>
      <c r="E287" s="366"/>
      <c r="F287" s="366"/>
      <c r="G287" s="371" t="n">
        <v>43952</v>
      </c>
      <c r="H287" s="359" t="n">
        <v>43949</v>
      </c>
      <c r="I287" s="360" t="n">
        <v>43948</v>
      </c>
      <c r="J287" s="370" t="n">
        <f aca="false">WORKDAY(H287,1)</f>
        <v>43950</v>
      </c>
    </row>
    <row r="288" customFormat="false" ht="12.75" hidden="false" customHeight="false" outlineLevel="0" collapsed="false">
      <c r="A288" s="369"/>
      <c r="B288" s="367"/>
      <c r="C288" s="368"/>
      <c r="D288" s="366"/>
      <c r="E288" s="366"/>
      <c r="F288" s="366"/>
      <c r="G288" s="371" t="n">
        <v>43983</v>
      </c>
      <c r="H288" s="359" t="n">
        <v>43978</v>
      </c>
      <c r="I288" s="360" t="n">
        <v>43977</v>
      </c>
      <c r="J288" s="370" t="n">
        <f aca="false">WORKDAY(H288,1)</f>
        <v>43979</v>
      </c>
    </row>
    <row r="289" customFormat="false" ht="12.75" hidden="false" customHeight="false" outlineLevel="0" collapsed="false">
      <c r="A289" s="369"/>
      <c r="B289" s="367"/>
      <c r="C289" s="368"/>
      <c r="D289" s="366"/>
      <c r="E289" s="366"/>
      <c r="F289" s="366"/>
      <c r="G289" s="371" t="n">
        <v>44013</v>
      </c>
      <c r="H289" s="359" t="n">
        <v>44008</v>
      </c>
      <c r="I289" s="360" t="n">
        <v>44007</v>
      </c>
      <c r="J289" s="370" t="n">
        <f aca="false">WORKDAY(H289,1)</f>
        <v>44011</v>
      </c>
    </row>
    <row r="290" customFormat="false" ht="12.75" hidden="false" customHeight="false" outlineLevel="0" collapsed="false">
      <c r="A290" s="369"/>
      <c r="B290" s="367"/>
      <c r="C290" s="368"/>
      <c r="D290" s="366"/>
      <c r="E290" s="366"/>
      <c r="F290" s="366"/>
      <c r="G290" s="371" t="n">
        <v>44044</v>
      </c>
      <c r="H290" s="359" t="n">
        <v>44041</v>
      </c>
      <c r="I290" s="360" t="n">
        <v>44040</v>
      </c>
      <c r="J290" s="370" t="n">
        <f aca="false">WORKDAY(H290,1)</f>
        <v>44042</v>
      </c>
    </row>
    <row r="291" customFormat="false" ht="12.75" hidden="false" customHeight="false" outlineLevel="0" collapsed="false">
      <c r="A291" s="369"/>
      <c r="B291" s="367"/>
      <c r="C291" s="368"/>
      <c r="D291" s="366"/>
      <c r="E291" s="366"/>
      <c r="F291" s="366"/>
      <c r="G291" s="371" t="n">
        <v>44075</v>
      </c>
      <c r="H291" s="359" t="n">
        <v>44070</v>
      </c>
      <c r="I291" s="360" t="n">
        <v>44069</v>
      </c>
      <c r="J291" s="370" t="n">
        <f aca="false">WORKDAY(H291,1)</f>
        <v>44071</v>
      </c>
    </row>
    <row r="292" customFormat="false" ht="12.75" hidden="false" customHeight="false" outlineLevel="0" collapsed="false">
      <c r="A292" s="369"/>
      <c r="B292" s="367"/>
      <c r="C292" s="368"/>
      <c r="D292" s="366"/>
      <c r="E292" s="366"/>
      <c r="F292" s="366"/>
      <c r="G292" s="371" t="n">
        <v>44105</v>
      </c>
      <c r="H292" s="359" t="n">
        <v>44102</v>
      </c>
      <c r="I292" s="360" t="n">
        <v>44099</v>
      </c>
      <c r="J292" s="370" t="n">
        <f aca="false">WORKDAY(H292,1)</f>
        <v>44103</v>
      </c>
    </row>
    <row r="293" customFormat="false" ht="12.75" hidden="false" customHeight="false" outlineLevel="0" collapsed="false">
      <c r="A293" s="369"/>
      <c r="B293" s="367"/>
      <c r="C293" s="368"/>
      <c r="D293" s="366"/>
      <c r="E293" s="366"/>
      <c r="F293" s="366"/>
      <c r="G293" s="371" t="n">
        <v>44136</v>
      </c>
      <c r="H293" s="359" t="n">
        <v>44132</v>
      </c>
      <c r="I293" s="360" t="n">
        <v>44131</v>
      </c>
      <c r="J293" s="370" t="n">
        <f aca="false">WORKDAY(H293,1)</f>
        <v>44133</v>
      </c>
    </row>
    <row r="294" customFormat="false" ht="12.75" hidden="false" customHeight="false" outlineLevel="0" collapsed="false">
      <c r="A294" s="369"/>
      <c r="B294" s="367"/>
      <c r="C294" s="368"/>
      <c r="D294" s="366"/>
      <c r="E294" s="366"/>
      <c r="F294" s="366"/>
      <c r="G294" s="371" t="n">
        <v>44166</v>
      </c>
      <c r="H294" s="359" t="n">
        <v>44160</v>
      </c>
      <c r="I294" s="360" t="n">
        <v>44159</v>
      </c>
      <c r="J294" s="370" t="n">
        <f aca="false">WORKDAY(H294,1)</f>
        <v>44161</v>
      </c>
    </row>
    <row r="295" customFormat="false" ht="12.75" hidden="false" customHeight="false" outlineLevel="0" collapsed="false">
      <c r="A295" s="369"/>
      <c r="B295" s="367"/>
      <c r="C295" s="368"/>
      <c r="D295" s="366"/>
      <c r="E295" s="366"/>
      <c r="F295" s="366"/>
      <c r="G295" s="371" t="n">
        <v>44197</v>
      </c>
      <c r="H295" s="359" t="n">
        <v>44194</v>
      </c>
      <c r="I295" s="360" t="n">
        <v>44193</v>
      </c>
      <c r="J295" s="370" t="n">
        <f aca="false">WORKDAY(H295,1)</f>
        <v>44195</v>
      </c>
    </row>
    <row r="296" customFormat="false" ht="12.75" hidden="false" customHeight="false" outlineLevel="0" collapsed="false">
      <c r="A296" s="369"/>
      <c r="B296" s="367"/>
      <c r="C296" s="368"/>
      <c r="D296" s="366"/>
      <c r="E296" s="366"/>
      <c r="F296" s="366"/>
      <c r="G296" s="371" t="n">
        <v>44228</v>
      </c>
      <c r="H296" s="359" t="n">
        <v>44223</v>
      </c>
      <c r="I296" s="360" t="n">
        <v>44222</v>
      </c>
      <c r="J296" s="370" t="n">
        <f aca="false">WORKDAY(H296,1)</f>
        <v>44224</v>
      </c>
    </row>
    <row r="297" customFormat="false" ht="12.75" hidden="false" customHeight="false" outlineLevel="0" collapsed="false">
      <c r="A297" s="369"/>
      <c r="B297" s="367"/>
      <c r="C297" s="368"/>
      <c r="D297" s="366"/>
      <c r="E297" s="366"/>
      <c r="F297" s="366"/>
      <c r="G297" s="371" t="n">
        <v>44256</v>
      </c>
      <c r="H297" s="359" t="n">
        <v>44251</v>
      </c>
      <c r="I297" s="360" t="n">
        <v>44250</v>
      </c>
      <c r="J297" s="370" t="n">
        <f aca="false">WORKDAY(H297,1)</f>
        <v>44252</v>
      </c>
    </row>
    <row r="298" customFormat="false" ht="12.75" hidden="false" customHeight="false" outlineLevel="0" collapsed="false">
      <c r="A298" s="369"/>
      <c r="B298" s="367"/>
      <c r="C298" s="368"/>
      <c r="D298" s="366"/>
      <c r="E298" s="366"/>
      <c r="F298" s="366"/>
      <c r="G298" s="371" t="n">
        <v>44287</v>
      </c>
      <c r="H298" s="359" t="n">
        <v>44284</v>
      </c>
      <c r="I298" s="360" t="n">
        <v>44281</v>
      </c>
      <c r="J298" s="370" t="n">
        <f aca="false">WORKDAY(H298,1)</f>
        <v>44285</v>
      </c>
    </row>
    <row r="299" customFormat="false" ht="12.75" hidden="false" customHeight="false" outlineLevel="0" collapsed="false">
      <c r="A299" s="369"/>
      <c r="B299" s="367"/>
      <c r="C299" s="368"/>
      <c r="D299" s="366"/>
      <c r="E299" s="366"/>
      <c r="F299" s="366"/>
      <c r="G299" s="371" t="n">
        <v>44317</v>
      </c>
      <c r="H299" s="359" t="n">
        <v>44314</v>
      </c>
      <c r="I299" s="360" t="n">
        <v>44313</v>
      </c>
      <c r="J299" s="370" t="n">
        <f aca="false">WORKDAY(H299,1)</f>
        <v>44315</v>
      </c>
    </row>
    <row r="300" customFormat="false" ht="12.75" hidden="false" customHeight="false" outlineLevel="0" collapsed="false">
      <c r="A300" s="369"/>
      <c r="B300" s="367"/>
      <c r="C300" s="368"/>
      <c r="D300" s="366"/>
      <c r="E300" s="366"/>
      <c r="F300" s="366"/>
      <c r="G300" s="371" t="n">
        <v>44348</v>
      </c>
      <c r="H300" s="359" t="n">
        <v>44342</v>
      </c>
      <c r="I300" s="360" t="n">
        <v>44341</v>
      </c>
      <c r="J300" s="370" t="n">
        <f aca="false">WORKDAY(H300,1)</f>
        <v>44343</v>
      </c>
    </row>
    <row r="301" customFormat="false" ht="12.75" hidden="false" customHeight="false" outlineLevel="0" collapsed="false">
      <c r="A301" s="369"/>
      <c r="B301" s="367"/>
      <c r="C301" s="368"/>
      <c r="D301" s="366"/>
      <c r="E301" s="366"/>
      <c r="F301" s="366"/>
      <c r="G301" s="371" t="n">
        <v>44378</v>
      </c>
      <c r="H301" s="359" t="n">
        <v>44375</v>
      </c>
      <c r="I301" s="360" t="n">
        <v>44372</v>
      </c>
      <c r="J301" s="370" t="n">
        <f aca="false">WORKDAY(H301,1)</f>
        <v>44376</v>
      </c>
    </row>
    <row r="302" customFormat="false" ht="12.75" hidden="false" customHeight="false" outlineLevel="0" collapsed="false">
      <c r="A302" s="369"/>
      <c r="B302" s="367"/>
      <c r="C302" s="368"/>
      <c r="D302" s="366"/>
      <c r="E302" s="366"/>
      <c r="F302" s="366"/>
      <c r="G302" s="371" t="n">
        <v>44409</v>
      </c>
      <c r="H302" s="359" t="n">
        <v>44405</v>
      </c>
      <c r="I302" s="360" t="n">
        <v>44404</v>
      </c>
      <c r="J302" s="370" t="n">
        <f aca="false">WORKDAY(H302,1)</f>
        <v>44406</v>
      </c>
    </row>
    <row r="303" customFormat="false" ht="12.75" hidden="false" customHeight="false" outlineLevel="0" collapsed="false">
      <c r="A303" s="369"/>
      <c r="B303" s="367"/>
      <c r="C303" s="368"/>
      <c r="D303" s="366"/>
      <c r="E303" s="366"/>
      <c r="F303" s="366"/>
      <c r="G303" s="371" t="n">
        <v>44440</v>
      </c>
      <c r="H303" s="359" t="n">
        <v>44435</v>
      </c>
      <c r="I303" s="360" t="n">
        <v>44434</v>
      </c>
      <c r="J303" s="370" t="n">
        <f aca="false">WORKDAY(H303,1)</f>
        <v>44438</v>
      </c>
    </row>
    <row r="304" customFormat="false" ht="12.75" hidden="false" customHeight="false" outlineLevel="0" collapsed="false">
      <c r="A304" s="369"/>
      <c r="B304" s="367"/>
      <c r="C304" s="368"/>
      <c r="D304" s="366"/>
      <c r="E304" s="366"/>
      <c r="F304" s="366"/>
      <c r="G304" s="371" t="n">
        <v>44470</v>
      </c>
      <c r="H304" s="359" t="n">
        <v>44467</v>
      </c>
      <c r="I304" s="360" t="n">
        <v>44466</v>
      </c>
      <c r="J304" s="370" t="n">
        <f aca="false">WORKDAY(H304,1)</f>
        <v>44468</v>
      </c>
    </row>
    <row r="305" customFormat="false" ht="12.75" hidden="false" customHeight="false" outlineLevel="0" collapsed="false">
      <c r="A305" s="369"/>
      <c r="B305" s="367"/>
      <c r="C305" s="368"/>
      <c r="D305" s="366"/>
      <c r="E305" s="366"/>
      <c r="F305" s="366"/>
      <c r="G305" s="371" t="n">
        <v>44501</v>
      </c>
      <c r="H305" s="359" t="n">
        <v>44496</v>
      </c>
      <c r="I305" s="360" t="n">
        <v>44495</v>
      </c>
      <c r="J305" s="370" t="n">
        <f aca="false">WORKDAY(H305,1)</f>
        <v>44497</v>
      </c>
    </row>
    <row r="306" customFormat="false" ht="12.75" hidden="false" customHeight="false" outlineLevel="0" collapsed="false">
      <c r="A306" s="369"/>
      <c r="B306" s="367"/>
      <c r="C306" s="368"/>
      <c r="D306" s="366"/>
      <c r="E306" s="366"/>
      <c r="F306" s="366"/>
      <c r="G306" s="371" t="n">
        <v>44531</v>
      </c>
      <c r="H306" s="359" t="n">
        <v>44526</v>
      </c>
      <c r="I306" s="360" t="n">
        <v>44524</v>
      </c>
      <c r="J306" s="370" t="n">
        <f aca="false">WORKDAY(H306,1)</f>
        <v>44529</v>
      </c>
    </row>
    <row r="307" customFormat="false" ht="12.75" hidden="false" customHeight="false" outlineLevel="0" collapsed="false">
      <c r="A307" s="369"/>
      <c r="B307" s="367"/>
      <c r="C307" s="368"/>
      <c r="D307" s="366"/>
      <c r="E307" s="366"/>
      <c r="F307" s="366"/>
      <c r="G307" s="371" t="n">
        <v>44562</v>
      </c>
      <c r="H307" s="359" t="n">
        <v>44558</v>
      </c>
      <c r="I307" s="360" t="n">
        <v>44557</v>
      </c>
      <c r="J307" s="370" t="n">
        <f aca="false">WORKDAY(H307,1)</f>
        <v>44559</v>
      </c>
    </row>
    <row r="308" customFormat="false" ht="12.75" hidden="false" customHeight="false" outlineLevel="0" collapsed="false">
      <c r="A308" s="369"/>
      <c r="B308" s="367"/>
      <c r="C308" s="368"/>
      <c r="D308" s="366"/>
      <c r="E308" s="366"/>
      <c r="F308" s="366"/>
      <c r="G308" s="371" t="n">
        <v>44593</v>
      </c>
      <c r="H308" s="359" t="n">
        <v>44588</v>
      </c>
      <c r="I308" s="360" t="n">
        <v>44587</v>
      </c>
      <c r="J308" s="370" t="n">
        <f aca="false">WORKDAY(H308,1)</f>
        <v>44589</v>
      </c>
    </row>
    <row r="309" customFormat="false" ht="12.75" hidden="false" customHeight="false" outlineLevel="0" collapsed="false">
      <c r="A309" s="369"/>
      <c r="B309" s="367"/>
      <c r="C309" s="368"/>
      <c r="D309" s="366"/>
      <c r="E309" s="366"/>
      <c r="F309" s="366"/>
      <c r="G309" s="371" t="n">
        <v>44621</v>
      </c>
      <c r="H309" s="359" t="n">
        <v>44616</v>
      </c>
      <c r="I309" s="360" t="n">
        <v>44615</v>
      </c>
      <c r="J309" s="370" t="n">
        <f aca="false">WORKDAY(H309,1)</f>
        <v>44617</v>
      </c>
    </row>
    <row r="310" customFormat="false" ht="12.75" hidden="false" customHeight="false" outlineLevel="0" collapsed="false">
      <c r="A310" s="369"/>
      <c r="B310" s="367"/>
      <c r="C310" s="368"/>
      <c r="D310" s="366"/>
      <c r="E310" s="366"/>
      <c r="F310" s="366"/>
      <c r="G310" s="371" t="n">
        <v>44652</v>
      </c>
      <c r="H310" s="359" t="n">
        <v>44649</v>
      </c>
      <c r="I310" s="360" t="n">
        <v>44648</v>
      </c>
      <c r="J310" s="370" t="n">
        <f aca="false">WORKDAY(H310,1)</f>
        <v>44650</v>
      </c>
    </row>
    <row r="311" customFormat="false" ht="12.75" hidden="false" customHeight="false" outlineLevel="0" collapsed="false">
      <c r="A311" s="369"/>
      <c r="B311" s="367"/>
      <c r="C311" s="368"/>
      <c r="D311" s="368"/>
      <c r="E311" s="368"/>
      <c r="F311" s="366"/>
      <c r="G311" s="371" t="n">
        <v>44682</v>
      </c>
      <c r="H311" s="359" t="n">
        <v>44678</v>
      </c>
      <c r="I311" s="360" t="n">
        <v>44677</v>
      </c>
      <c r="J311" s="370" t="n">
        <f aca="false">WORKDAY(H311,1)</f>
        <v>44679</v>
      </c>
    </row>
    <row r="312" customFormat="false" ht="12.75" hidden="false" customHeight="false" outlineLevel="0" collapsed="false">
      <c r="A312" s="369"/>
      <c r="B312" s="367"/>
      <c r="C312" s="368"/>
      <c r="D312" s="368"/>
      <c r="E312" s="368"/>
      <c r="F312" s="366"/>
      <c r="G312" s="371" t="n">
        <v>44713</v>
      </c>
      <c r="H312" s="359" t="n">
        <v>44707</v>
      </c>
      <c r="I312" s="360" t="n">
        <v>44706</v>
      </c>
      <c r="J312" s="370" t="n">
        <f aca="false">WORKDAY(H312,1)</f>
        <v>44708</v>
      </c>
    </row>
    <row r="313" customFormat="false" ht="12.75" hidden="false" customHeight="false" outlineLevel="0" collapsed="false">
      <c r="A313" s="369"/>
      <c r="B313" s="367"/>
      <c r="C313" s="368"/>
      <c r="D313" s="368"/>
      <c r="E313" s="368"/>
      <c r="F313" s="366"/>
      <c r="G313" s="371" t="n">
        <v>44743</v>
      </c>
      <c r="H313" s="359" t="n">
        <v>44740</v>
      </c>
      <c r="I313" s="360" t="n">
        <v>44739</v>
      </c>
      <c r="J313" s="370" t="n">
        <f aca="false">WORKDAY(H313,1)</f>
        <v>44741</v>
      </c>
    </row>
    <row r="314" customFormat="false" ht="12.75" hidden="false" customHeight="false" outlineLevel="0" collapsed="false">
      <c r="A314" s="369"/>
      <c r="B314" s="367"/>
      <c r="C314" s="368"/>
      <c r="D314" s="368"/>
      <c r="E314" s="368"/>
      <c r="F314" s="366"/>
      <c r="G314" s="371" t="n">
        <v>44774</v>
      </c>
      <c r="H314" s="359" t="n">
        <v>44769</v>
      </c>
      <c r="I314" s="360" t="n">
        <v>44768</v>
      </c>
      <c r="J314" s="370" t="n">
        <f aca="false">WORKDAY(H314,1)</f>
        <v>44770</v>
      </c>
    </row>
    <row r="315" customFormat="false" ht="12.75" hidden="false" customHeight="false" outlineLevel="0" collapsed="false">
      <c r="A315" s="369"/>
      <c r="B315" s="367"/>
      <c r="C315" s="368"/>
      <c r="D315" s="368"/>
      <c r="E315" s="368"/>
      <c r="F315" s="366"/>
      <c r="G315" s="371" t="n">
        <v>44805</v>
      </c>
      <c r="H315" s="359" t="n">
        <v>44802</v>
      </c>
      <c r="I315" s="360" t="n">
        <v>44799</v>
      </c>
      <c r="J315" s="370" t="n">
        <f aca="false">WORKDAY(H315,1)</f>
        <v>44803</v>
      </c>
    </row>
    <row r="316" customFormat="false" ht="12.75" hidden="false" customHeight="false" outlineLevel="0" collapsed="false">
      <c r="A316" s="369"/>
      <c r="B316" s="367"/>
      <c r="C316" s="368"/>
      <c r="D316" s="368"/>
      <c r="E316" s="368"/>
      <c r="F316" s="366"/>
      <c r="G316" s="371" t="n">
        <v>44835</v>
      </c>
      <c r="H316" s="359" t="n">
        <v>44832</v>
      </c>
      <c r="I316" s="360" t="n">
        <v>44831</v>
      </c>
      <c r="J316" s="370" t="n">
        <f aca="false">WORKDAY(H316,1)</f>
        <v>44833</v>
      </c>
    </row>
    <row r="317" customFormat="false" ht="12.75" hidden="false" customHeight="false" outlineLevel="0" collapsed="false">
      <c r="A317" s="369"/>
      <c r="B317" s="367"/>
      <c r="C317" s="368"/>
      <c r="D317" s="368"/>
      <c r="E317" s="368"/>
      <c r="F317" s="366"/>
      <c r="G317" s="371" t="n">
        <v>44866</v>
      </c>
      <c r="H317" s="359" t="n">
        <v>44861</v>
      </c>
      <c r="I317" s="360" t="n">
        <v>44860</v>
      </c>
      <c r="J317" s="370" t="n">
        <f aca="false">WORKDAY(H317,1)</f>
        <v>44862</v>
      </c>
    </row>
    <row r="318" customFormat="false" ht="12.75" hidden="false" customHeight="false" outlineLevel="0" collapsed="false">
      <c r="A318" s="369"/>
      <c r="B318" s="367"/>
      <c r="C318" s="368"/>
      <c r="D318" s="368"/>
      <c r="E318" s="368"/>
      <c r="F318" s="366"/>
      <c r="G318" s="371" t="n">
        <v>44896</v>
      </c>
      <c r="H318" s="359" t="n">
        <v>44893</v>
      </c>
      <c r="I318" s="360" t="n">
        <v>44890</v>
      </c>
      <c r="J318" s="370" t="n">
        <f aca="false">WORKDAY(H318,1)</f>
        <v>44894</v>
      </c>
    </row>
    <row r="319" customFormat="false" ht="12.75" hidden="false" customHeight="false" outlineLevel="0" collapsed="false">
      <c r="A319" s="369"/>
      <c r="B319" s="367"/>
      <c r="C319" s="368"/>
      <c r="D319" s="368"/>
      <c r="E319" s="368"/>
      <c r="F319" s="366"/>
      <c r="G319" s="371" t="n">
        <v>44927</v>
      </c>
      <c r="H319" s="359" t="n">
        <v>44923</v>
      </c>
      <c r="I319" s="360" t="n">
        <v>44922</v>
      </c>
      <c r="J319" s="370" t="n">
        <f aca="false">WORKDAY(H319,1)</f>
        <v>44924</v>
      </c>
    </row>
    <row r="320" customFormat="false" ht="12.75" hidden="false" customHeight="false" outlineLevel="0" collapsed="false">
      <c r="A320" s="369"/>
      <c r="B320" s="367"/>
      <c r="C320" s="368"/>
      <c r="D320" s="368"/>
      <c r="E320" s="368"/>
      <c r="F320" s="366"/>
      <c r="G320" s="371" t="n">
        <v>44958</v>
      </c>
      <c r="H320" s="359" t="n">
        <v>44953</v>
      </c>
      <c r="I320" s="360" t="n">
        <v>44952</v>
      </c>
      <c r="J320" s="370" t="n">
        <f aca="false">WORKDAY(H320,1)</f>
        <v>44956</v>
      </c>
    </row>
    <row r="321" customFormat="false" ht="12.75" hidden="false" customHeight="false" outlineLevel="0" collapsed="false">
      <c r="A321" s="369"/>
      <c r="B321" s="367"/>
      <c r="C321" s="368"/>
      <c r="D321" s="368"/>
      <c r="E321" s="368"/>
      <c r="F321" s="366"/>
      <c r="G321" s="371" t="n">
        <v>44986</v>
      </c>
      <c r="H321" s="359" t="n">
        <v>44981</v>
      </c>
      <c r="I321" s="360" t="n">
        <v>44980</v>
      </c>
      <c r="J321" s="370" t="n">
        <f aca="false">WORKDAY(H321,1)</f>
        <v>44984</v>
      </c>
    </row>
    <row r="322" customFormat="false" ht="12.75" hidden="false" customHeight="false" outlineLevel="0" collapsed="false">
      <c r="A322" s="369"/>
      <c r="B322" s="367"/>
      <c r="C322" s="368"/>
      <c r="D322" s="368"/>
      <c r="E322" s="368"/>
      <c r="F322" s="366"/>
      <c r="G322" s="371" t="n">
        <v>45017</v>
      </c>
      <c r="H322" s="359" t="n">
        <v>45014</v>
      </c>
      <c r="I322" s="360" t="n">
        <v>45013</v>
      </c>
      <c r="J322" s="370" t="n">
        <f aca="false">WORKDAY(H322,1)</f>
        <v>45015</v>
      </c>
    </row>
    <row r="323" customFormat="false" ht="12.75" hidden="false" customHeight="false" outlineLevel="0" collapsed="false">
      <c r="A323" s="369"/>
      <c r="B323" s="367"/>
      <c r="C323" s="368"/>
      <c r="D323" s="368"/>
      <c r="E323" s="368"/>
      <c r="F323" s="366"/>
      <c r="G323" s="371" t="n">
        <v>45047</v>
      </c>
      <c r="H323" s="359" t="n">
        <v>45042</v>
      </c>
      <c r="I323" s="360" t="n">
        <v>45041</v>
      </c>
      <c r="J323" s="370" t="n">
        <f aca="false">WORKDAY(H323,1)</f>
        <v>45043</v>
      </c>
    </row>
    <row r="324" customFormat="false" ht="12.75" hidden="false" customHeight="false" outlineLevel="0" collapsed="false">
      <c r="A324" s="369"/>
      <c r="B324" s="367"/>
      <c r="C324" s="368"/>
      <c r="D324" s="368"/>
      <c r="E324" s="368"/>
      <c r="F324" s="366"/>
      <c r="G324" s="371" t="n">
        <v>45078</v>
      </c>
      <c r="H324" s="359" t="n">
        <v>45072</v>
      </c>
      <c r="I324" s="360" t="n">
        <v>45071</v>
      </c>
      <c r="J324" s="370" t="n">
        <f aca="false">WORKDAY(H324,1)</f>
        <v>45075</v>
      </c>
    </row>
    <row r="325" customFormat="false" ht="12.75" hidden="false" customHeight="false" outlineLevel="0" collapsed="false">
      <c r="A325" s="369"/>
      <c r="B325" s="367"/>
      <c r="C325" s="368"/>
      <c r="D325" s="368"/>
      <c r="E325" s="368"/>
      <c r="F325" s="366"/>
      <c r="G325" s="371" t="n">
        <v>45108</v>
      </c>
      <c r="H325" s="359" t="n">
        <v>45105</v>
      </c>
      <c r="I325" s="360" t="n">
        <v>45104</v>
      </c>
      <c r="J325" s="370" t="n">
        <f aca="false">WORKDAY(H325,1)</f>
        <v>45106</v>
      </c>
    </row>
    <row r="326" customFormat="false" ht="12.75" hidden="false" customHeight="false" outlineLevel="0" collapsed="false">
      <c r="A326" s="369"/>
      <c r="B326" s="367"/>
      <c r="C326" s="368"/>
      <c r="D326" s="368"/>
      <c r="E326" s="368"/>
      <c r="F326" s="366"/>
      <c r="G326" s="371" t="n">
        <v>45139</v>
      </c>
      <c r="H326" s="359" t="n">
        <v>45134</v>
      </c>
      <c r="I326" s="360" t="n">
        <v>45133</v>
      </c>
      <c r="J326" s="370" t="n">
        <f aca="false">WORKDAY(H326,1)</f>
        <v>45135</v>
      </c>
    </row>
    <row r="327" customFormat="false" ht="12.75" hidden="false" customHeight="false" outlineLevel="0" collapsed="false">
      <c r="A327" s="369"/>
      <c r="B327" s="367"/>
      <c r="C327" s="368"/>
      <c r="D327" s="368"/>
      <c r="E327" s="368"/>
      <c r="F327" s="366"/>
      <c r="G327" s="371" t="n">
        <v>45170</v>
      </c>
      <c r="H327" s="359" t="n">
        <v>45167</v>
      </c>
      <c r="I327" s="360" t="n">
        <v>45166</v>
      </c>
      <c r="J327" s="370" t="n">
        <f aca="false">WORKDAY(H327,1)</f>
        <v>45168</v>
      </c>
    </row>
    <row r="328" customFormat="false" ht="12.75" hidden="false" customHeight="false" outlineLevel="0" collapsed="false">
      <c r="A328" s="369"/>
      <c r="B328" s="367"/>
      <c r="C328" s="368"/>
      <c r="D328" s="368"/>
      <c r="E328" s="368"/>
      <c r="F328" s="366"/>
      <c r="G328" s="371" t="n">
        <v>45200</v>
      </c>
      <c r="H328" s="359" t="n">
        <v>45196</v>
      </c>
      <c r="I328" s="360" t="n">
        <v>45195</v>
      </c>
      <c r="J328" s="370" t="n">
        <f aca="false">WORKDAY(H328,1)</f>
        <v>45197</v>
      </c>
    </row>
    <row r="329" customFormat="false" ht="12.75" hidden="false" customHeight="false" outlineLevel="0" collapsed="false">
      <c r="A329" s="369"/>
      <c r="B329" s="367"/>
      <c r="C329" s="368"/>
      <c r="D329" s="368"/>
      <c r="E329" s="368"/>
      <c r="F329" s="366"/>
      <c r="G329" s="371" t="n">
        <v>45231</v>
      </c>
      <c r="H329" s="359" t="n">
        <v>45226</v>
      </c>
      <c r="I329" s="360" t="n">
        <v>45225</v>
      </c>
      <c r="J329" s="370" t="n">
        <f aca="false">WORKDAY(H329,1)</f>
        <v>45229</v>
      </c>
    </row>
    <row r="330" customFormat="false" ht="12.75" hidden="false" customHeight="false" outlineLevel="0" collapsed="false">
      <c r="A330" s="369"/>
      <c r="B330" s="367"/>
      <c r="C330" s="368"/>
      <c r="D330" s="368"/>
      <c r="E330" s="368"/>
      <c r="F330" s="366"/>
      <c r="G330" s="371" t="n">
        <v>45261</v>
      </c>
      <c r="H330" s="359" t="n">
        <v>45258</v>
      </c>
      <c r="I330" s="360" t="n">
        <v>45257</v>
      </c>
      <c r="J330" s="370" t="n">
        <f aca="false">WORKDAY(H330,1)</f>
        <v>45259</v>
      </c>
    </row>
    <row r="331" customFormat="false" ht="12.75" hidden="false" customHeight="false" outlineLevel="0" collapsed="false">
      <c r="A331" s="369"/>
      <c r="B331" s="367"/>
      <c r="C331" s="368"/>
      <c r="D331" s="368"/>
      <c r="E331" s="368"/>
      <c r="F331" s="366"/>
      <c r="G331" s="371" t="n">
        <v>45292</v>
      </c>
      <c r="H331" s="359" t="n">
        <v>45287</v>
      </c>
      <c r="I331" s="360" t="n">
        <v>45286</v>
      </c>
      <c r="J331" s="370" t="n">
        <f aca="false">WORKDAY(H331,1)</f>
        <v>45288</v>
      </c>
    </row>
    <row r="332" customFormat="false" ht="12.75" hidden="false" customHeight="false" outlineLevel="0" collapsed="false">
      <c r="A332" s="369"/>
      <c r="B332" s="367"/>
      <c r="C332" s="368"/>
      <c r="D332" s="368"/>
      <c r="E332" s="368"/>
      <c r="F332" s="366"/>
      <c r="G332" s="371" t="n">
        <v>45323</v>
      </c>
      <c r="H332" s="359" t="n">
        <v>45320</v>
      </c>
      <c r="I332" s="360" t="n">
        <v>45317</v>
      </c>
      <c r="J332" s="370" t="n">
        <f aca="false">WORKDAY(H332,1)</f>
        <v>45321</v>
      </c>
    </row>
    <row r="333" customFormat="false" ht="12.75" hidden="false" customHeight="false" outlineLevel="0" collapsed="false">
      <c r="A333" s="369"/>
      <c r="B333" s="367"/>
      <c r="C333" s="368"/>
      <c r="D333" s="368"/>
      <c r="E333" s="368"/>
      <c r="F333" s="366"/>
      <c r="G333" s="371" t="n">
        <v>45352</v>
      </c>
      <c r="H333" s="359" t="n">
        <v>45349</v>
      </c>
      <c r="I333" s="360" t="n">
        <v>45348</v>
      </c>
      <c r="J333" s="370" t="n">
        <f aca="false">WORKDAY(H333,1)</f>
        <v>45350</v>
      </c>
    </row>
    <row r="334" customFormat="false" ht="12.75" hidden="false" customHeight="false" outlineLevel="0" collapsed="false">
      <c r="A334" s="369"/>
      <c r="B334" s="367"/>
      <c r="C334" s="368"/>
      <c r="D334" s="368"/>
      <c r="E334" s="368"/>
      <c r="F334" s="366"/>
      <c r="G334" s="371" t="n">
        <v>45383</v>
      </c>
      <c r="H334" s="359" t="n">
        <v>45377</v>
      </c>
      <c r="I334" s="360" t="n">
        <v>45376</v>
      </c>
      <c r="J334" s="370" t="n">
        <f aca="false">WORKDAY(H334,1)</f>
        <v>45378</v>
      </c>
    </row>
    <row r="335" customFormat="false" ht="12.75" hidden="false" customHeight="false" outlineLevel="0" collapsed="false">
      <c r="A335" s="369"/>
      <c r="B335" s="367"/>
      <c r="C335" s="368"/>
      <c r="D335" s="368"/>
      <c r="E335" s="368"/>
      <c r="F335" s="366"/>
      <c r="G335" s="371" t="n">
        <v>45413</v>
      </c>
      <c r="H335" s="359" t="n">
        <v>45408</v>
      </c>
      <c r="I335" s="360" t="n">
        <v>45407</v>
      </c>
      <c r="J335" s="370" t="n">
        <f aca="false">WORKDAY(H335,1)</f>
        <v>45411</v>
      </c>
    </row>
    <row r="336" customFormat="false" ht="12.75" hidden="false" customHeight="false" outlineLevel="0" collapsed="false">
      <c r="A336" s="369"/>
      <c r="B336" s="367"/>
      <c r="C336" s="368"/>
      <c r="D336" s="368"/>
      <c r="E336" s="368"/>
      <c r="F336" s="366"/>
      <c r="G336" s="371" t="n">
        <v>45444</v>
      </c>
      <c r="H336" s="359" t="n">
        <v>45441</v>
      </c>
      <c r="I336" s="360" t="n">
        <v>45440</v>
      </c>
      <c r="J336" s="370" t="n">
        <f aca="false">WORKDAY(H336,1)</f>
        <v>45442</v>
      </c>
    </row>
    <row r="337" customFormat="false" ht="12.75" hidden="false" customHeight="false" outlineLevel="0" collapsed="false">
      <c r="A337" s="369"/>
      <c r="B337" s="367"/>
      <c r="C337" s="368"/>
      <c r="D337" s="368"/>
      <c r="E337" s="368"/>
      <c r="F337" s="366"/>
      <c r="G337" s="371" t="n">
        <v>45474</v>
      </c>
      <c r="H337" s="359" t="n">
        <v>45469</v>
      </c>
      <c r="I337" s="360" t="n">
        <v>45468</v>
      </c>
      <c r="J337" s="370" t="n">
        <f aca="false">WORKDAY(H337,1)</f>
        <v>45470</v>
      </c>
    </row>
    <row r="338" customFormat="false" ht="12.75" hidden="false" customHeight="false" outlineLevel="0" collapsed="false">
      <c r="A338" s="369"/>
      <c r="B338" s="367"/>
      <c r="C338" s="368"/>
      <c r="D338" s="368"/>
      <c r="E338" s="368"/>
      <c r="F338" s="366"/>
      <c r="G338" s="371" t="n">
        <v>45505</v>
      </c>
      <c r="H338" s="359" t="n">
        <v>45502</v>
      </c>
      <c r="I338" s="360" t="n">
        <v>45499</v>
      </c>
      <c r="J338" s="370" t="n">
        <f aca="false">WORKDAY(H338,1)</f>
        <v>45503</v>
      </c>
    </row>
    <row r="339" customFormat="false" ht="12.75" hidden="false" customHeight="false" outlineLevel="0" collapsed="false">
      <c r="A339" s="369"/>
      <c r="B339" s="367"/>
      <c r="C339" s="368"/>
      <c r="D339" s="368"/>
      <c r="E339" s="368"/>
      <c r="F339" s="366"/>
      <c r="G339" s="371" t="n">
        <v>45536</v>
      </c>
      <c r="H339" s="359" t="n">
        <v>45532</v>
      </c>
      <c r="I339" s="360" t="n">
        <v>45531</v>
      </c>
      <c r="J339" s="370" t="n">
        <f aca="false">WORKDAY(H339,1)</f>
        <v>45533</v>
      </c>
    </row>
    <row r="340" customFormat="false" ht="12.75" hidden="false" customHeight="false" outlineLevel="0" collapsed="false">
      <c r="A340" s="369"/>
      <c r="B340" s="367"/>
      <c r="C340" s="368"/>
      <c r="D340" s="368"/>
      <c r="E340" s="368"/>
      <c r="F340" s="366"/>
      <c r="G340" s="371" t="n">
        <v>45566</v>
      </c>
      <c r="H340" s="359" t="n">
        <v>45561</v>
      </c>
      <c r="I340" s="360" t="n">
        <v>45560</v>
      </c>
      <c r="J340" s="370" t="n">
        <f aca="false">WORKDAY(H340,1)</f>
        <v>45562</v>
      </c>
    </row>
    <row r="341" customFormat="false" ht="12.75" hidden="false" customHeight="false" outlineLevel="0" collapsed="false">
      <c r="A341" s="369"/>
      <c r="B341" s="367"/>
      <c r="C341" s="368"/>
      <c r="D341" s="368"/>
      <c r="E341" s="368"/>
      <c r="F341" s="366"/>
      <c r="G341" s="371" t="n">
        <v>45597</v>
      </c>
      <c r="H341" s="359" t="n">
        <v>45594</v>
      </c>
      <c r="I341" s="360" t="n">
        <v>45593</v>
      </c>
      <c r="J341" s="370" t="n">
        <f aca="false">WORKDAY(H341,1)</f>
        <v>45595</v>
      </c>
    </row>
    <row r="342" customFormat="false" ht="12.75" hidden="false" customHeight="false" outlineLevel="0" collapsed="false">
      <c r="A342" s="369"/>
      <c r="B342" s="367"/>
      <c r="C342" s="368"/>
      <c r="D342" s="368"/>
      <c r="E342" s="368"/>
      <c r="F342" s="366"/>
      <c r="G342" s="371" t="n">
        <v>45627</v>
      </c>
      <c r="H342" s="359" t="n">
        <v>45622</v>
      </c>
      <c r="I342" s="360" t="n">
        <v>45621</v>
      </c>
      <c r="J342" s="370" t="n">
        <f aca="false">WORKDAY(H342,1)</f>
        <v>45623</v>
      </c>
    </row>
    <row r="343" customFormat="false" ht="12.75" hidden="false" customHeight="false" outlineLevel="0" collapsed="false">
      <c r="A343" s="369"/>
      <c r="B343" s="367"/>
      <c r="C343" s="368"/>
      <c r="D343" s="368"/>
      <c r="E343" s="368"/>
      <c r="F343" s="366"/>
      <c r="G343" s="371" t="n">
        <v>45658</v>
      </c>
      <c r="H343" s="359" t="n">
        <v>45653</v>
      </c>
      <c r="I343" s="360" t="n">
        <v>45652</v>
      </c>
      <c r="J343" s="370" t="n">
        <f aca="false">WORKDAY(H343,1)</f>
        <v>45656</v>
      </c>
    </row>
    <row r="344" customFormat="false" ht="12.75" hidden="false" customHeight="false" outlineLevel="0" collapsed="false">
      <c r="A344" s="369"/>
      <c r="B344" s="367"/>
      <c r="C344" s="368"/>
      <c r="D344" s="368"/>
      <c r="E344" s="368"/>
      <c r="F344" s="366"/>
      <c r="G344" s="371" t="n">
        <v>45689</v>
      </c>
      <c r="H344" s="359" t="n">
        <v>45686</v>
      </c>
      <c r="I344" s="360" t="n">
        <v>45685</v>
      </c>
      <c r="J344" s="370" t="n">
        <f aca="false">WORKDAY(H344,1)</f>
        <v>45687</v>
      </c>
    </row>
    <row r="345" customFormat="false" ht="12.75" hidden="false" customHeight="false" outlineLevel="0" collapsed="false">
      <c r="A345" s="369"/>
      <c r="B345" s="367"/>
      <c r="C345" s="368"/>
      <c r="D345" s="368"/>
      <c r="E345" s="368"/>
      <c r="F345" s="366"/>
      <c r="G345" s="371" t="n">
        <v>45717</v>
      </c>
      <c r="H345" s="359" t="n">
        <v>45714</v>
      </c>
      <c r="I345" s="360" t="n">
        <v>45713</v>
      </c>
      <c r="J345" s="370" t="n">
        <f aca="false">WORKDAY(H345,1)</f>
        <v>45715</v>
      </c>
    </row>
    <row r="346" customFormat="false" ht="12.75" hidden="false" customHeight="false" outlineLevel="0" collapsed="false">
      <c r="A346" s="369"/>
      <c r="B346" s="367"/>
      <c r="C346" s="368"/>
      <c r="D346" s="368"/>
      <c r="E346" s="368"/>
      <c r="F346" s="366"/>
      <c r="G346" s="371" t="n">
        <v>45748</v>
      </c>
      <c r="H346" s="359" t="n">
        <v>45743</v>
      </c>
      <c r="I346" s="360" t="n">
        <v>45742</v>
      </c>
      <c r="J346" s="370" t="n">
        <f aca="false">WORKDAY(H346,1)</f>
        <v>45744</v>
      </c>
    </row>
    <row r="347" customFormat="false" ht="12.75" hidden="false" customHeight="false" outlineLevel="0" collapsed="false">
      <c r="A347" s="369"/>
      <c r="B347" s="367"/>
      <c r="C347" s="368"/>
      <c r="D347" s="368"/>
      <c r="E347" s="368"/>
      <c r="F347" s="366"/>
      <c r="G347" s="371" t="n">
        <v>45778</v>
      </c>
      <c r="H347" s="359" t="n">
        <v>45775</v>
      </c>
      <c r="I347" s="360" t="n">
        <v>45772</v>
      </c>
      <c r="J347" s="370" t="n">
        <f aca="false">WORKDAY(H347,1)</f>
        <v>45776</v>
      </c>
    </row>
    <row r="348" customFormat="false" ht="12.75" hidden="false" customHeight="false" outlineLevel="0" collapsed="false">
      <c r="A348" s="369"/>
      <c r="B348" s="367"/>
      <c r="C348" s="368"/>
      <c r="D348" s="368"/>
      <c r="E348" s="368"/>
      <c r="F348" s="366"/>
      <c r="G348" s="371" t="n">
        <v>45809</v>
      </c>
      <c r="H348" s="359" t="n">
        <v>45805</v>
      </c>
      <c r="I348" s="360" t="n">
        <v>45804</v>
      </c>
      <c r="J348" s="370" t="n">
        <f aca="false">WORKDAY(H348,1)</f>
        <v>45806</v>
      </c>
    </row>
    <row r="349" customFormat="false" ht="12.75" hidden="false" customHeight="false" outlineLevel="0" collapsed="false">
      <c r="A349" s="369"/>
      <c r="B349" s="367"/>
      <c r="C349" s="368"/>
      <c r="D349" s="368"/>
      <c r="E349" s="368"/>
      <c r="F349" s="366"/>
      <c r="G349" s="371" t="n">
        <v>45839</v>
      </c>
      <c r="H349" s="359" t="n">
        <v>45834</v>
      </c>
      <c r="I349" s="360" t="n">
        <v>45833</v>
      </c>
      <c r="J349" s="370" t="n">
        <f aca="false">WORKDAY(H349,1)</f>
        <v>45835</v>
      </c>
    </row>
    <row r="350" customFormat="false" ht="12.75" hidden="false" customHeight="false" outlineLevel="0" collapsed="false">
      <c r="A350" s="369"/>
      <c r="B350" s="367"/>
      <c r="C350" s="368"/>
      <c r="D350" s="368"/>
      <c r="E350" s="368"/>
      <c r="F350" s="366"/>
      <c r="G350" s="371" t="n">
        <v>45870</v>
      </c>
      <c r="H350" s="359" t="n">
        <v>45867</v>
      </c>
      <c r="I350" s="360" t="n">
        <v>45866</v>
      </c>
      <c r="J350" s="370" t="n">
        <f aca="false">WORKDAY(H350,1)</f>
        <v>45868</v>
      </c>
    </row>
    <row r="351" customFormat="false" ht="12.75" hidden="false" customHeight="false" outlineLevel="0" collapsed="false">
      <c r="A351" s="369"/>
      <c r="B351" s="367"/>
      <c r="C351" s="368"/>
      <c r="D351" s="368"/>
      <c r="E351" s="368"/>
      <c r="F351" s="366"/>
      <c r="G351" s="371" t="n">
        <v>45901</v>
      </c>
      <c r="H351" s="359" t="n">
        <v>45896</v>
      </c>
      <c r="I351" s="360" t="n">
        <v>45895</v>
      </c>
      <c r="J351" s="370" t="n">
        <f aca="false">WORKDAY(H351,1)</f>
        <v>45897</v>
      </c>
    </row>
    <row r="352" customFormat="false" ht="12.75" hidden="false" customHeight="false" outlineLevel="0" collapsed="false">
      <c r="A352" s="369"/>
      <c r="B352" s="367"/>
      <c r="C352" s="368"/>
      <c r="D352" s="368"/>
      <c r="E352" s="368"/>
      <c r="F352" s="366"/>
      <c r="G352" s="371" t="n">
        <v>45931</v>
      </c>
      <c r="H352" s="359" t="n">
        <v>45926</v>
      </c>
      <c r="I352" s="360" t="n">
        <v>45925</v>
      </c>
      <c r="J352" s="370" t="n">
        <f aca="false">WORKDAY(H352,1)</f>
        <v>45929</v>
      </c>
    </row>
    <row r="353" customFormat="false" ht="12.75" hidden="false" customHeight="false" outlineLevel="0" collapsed="false">
      <c r="A353" s="369"/>
      <c r="B353" s="367"/>
      <c r="C353" s="368"/>
      <c r="D353" s="368"/>
      <c r="E353" s="368"/>
      <c r="F353" s="366"/>
      <c r="G353" s="371" t="n">
        <v>45962</v>
      </c>
      <c r="H353" s="359" t="n">
        <v>45959</v>
      </c>
      <c r="I353" s="360" t="n">
        <v>45958</v>
      </c>
      <c r="J353" s="370" t="n">
        <f aca="false">WORKDAY(H353,1)</f>
        <v>45960</v>
      </c>
    </row>
    <row r="354" customFormat="false" ht="12.75" hidden="false" customHeight="false" outlineLevel="0" collapsed="false">
      <c r="A354" s="369"/>
      <c r="B354" s="367"/>
      <c r="C354" s="368"/>
      <c r="D354" s="368"/>
      <c r="E354" s="368"/>
      <c r="F354" s="366"/>
      <c r="G354" s="371" t="n">
        <v>45992</v>
      </c>
      <c r="H354" s="359" t="n">
        <v>45986</v>
      </c>
      <c r="I354" s="360" t="n">
        <v>45985</v>
      </c>
      <c r="J354" s="370" t="n">
        <f aca="false">WORKDAY(H354,1)</f>
        <v>45987</v>
      </c>
    </row>
    <row r="355" customFormat="false" ht="12.75" hidden="false" customHeight="false" outlineLevel="0" collapsed="false">
      <c r="A355" s="369"/>
      <c r="B355" s="367"/>
      <c r="C355" s="368"/>
      <c r="D355" s="368"/>
      <c r="E355" s="368"/>
      <c r="F355" s="366"/>
      <c r="G355" s="371" t="n">
        <v>46023</v>
      </c>
      <c r="H355" s="359" t="n">
        <v>46020</v>
      </c>
      <c r="I355" s="360" t="n">
        <v>46017</v>
      </c>
      <c r="J355" s="370" t="n">
        <f aca="false">WORKDAY(H355,1)</f>
        <v>46021</v>
      </c>
    </row>
    <row r="356" customFormat="false" ht="12.75" hidden="false" customHeight="false" outlineLevel="0" collapsed="false">
      <c r="A356" s="369"/>
      <c r="B356" s="367"/>
      <c r="C356" s="368"/>
      <c r="D356" s="368"/>
      <c r="E356" s="368"/>
      <c r="F356" s="366"/>
      <c r="G356" s="371" t="n">
        <v>46054</v>
      </c>
      <c r="H356" s="359" t="n">
        <v>46050</v>
      </c>
      <c r="I356" s="360" t="n">
        <v>46049</v>
      </c>
      <c r="J356" s="370" t="n">
        <f aca="false">WORKDAY(H356,1)</f>
        <v>46051</v>
      </c>
    </row>
    <row r="357" customFormat="false" ht="12.75" hidden="false" customHeight="false" outlineLevel="0" collapsed="false">
      <c r="A357" s="369"/>
      <c r="B357" s="367"/>
      <c r="C357" s="368"/>
      <c r="D357" s="368"/>
      <c r="E357" s="368"/>
      <c r="F357" s="366"/>
      <c r="G357" s="371" t="n">
        <v>46082</v>
      </c>
      <c r="H357" s="359" t="n">
        <v>46078</v>
      </c>
      <c r="I357" s="360" t="n">
        <v>46077</v>
      </c>
      <c r="J357" s="370" t="n">
        <f aca="false">WORKDAY(H357,1)</f>
        <v>46079</v>
      </c>
    </row>
    <row r="358" customFormat="false" ht="12.75" hidden="false" customHeight="false" outlineLevel="0" collapsed="false">
      <c r="A358" s="369"/>
      <c r="B358" s="367"/>
      <c r="C358" s="368"/>
      <c r="D358" s="368"/>
      <c r="E358" s="368"/>
      <c r="F358" s="366"/>
      <c r="G358" s="371" t="n">
        <v>46113</v>
      </c>
      <c r="H358" s="359" t="n">
        <v>46108</v>
      </c>
      <c r="I358" s="360" t="n">
        <v>46107</v>
      </c>
      <c r="J358" s="370" t="n">
        <f aca="false">WORKDAY(H358,1)</f>
        <v>46111</v>
      </c>
    </row>
    <row r="359" customFormat="false" ht="12.75" hidden="false" customHeight="false" outlineLevel="0" collapsed="false">
      <c r="A359" s="369"/>
      <c r="B359" s="367"/>
      <c r="C359" s="368"/>
      <c r="D359" s="368"/>
      <c r="E359" s="368"/>
      <c r="F359" s="366"/>
      <c r="G359" s="371" t="n">
        <v>46143</v>
      </c>
      <c r="H359" s="359" t="n">
        <v>46140</v>
      </c>
      <c r="I359" s="360" t="n">
        <v>46139</v>
      </c>
      <c r="J359" s="370" t="n">
        <f aca="false">WORKDAY(H359,1)</f>
        <v>46141</v>
      </c>
    </row>
    <row r="360" customFormat="false" ht="12.75" hidden="false" customHeight="false" outlineLevel="0" collapsed="false">
      <c r="A360" s="369"/>
      <c r="B360" s="367"/>
      <c r="C360" s="368"/>
      <c r="D360" s="368"/>
      <c r="E360" s="368"/>
      <c r="F360" s="366"/>
      <c r="G360" s="371" t="n">
        <v>46174</v>
      </c>
      <c r="H360" s="359" t="n">
        <v>46169</v>
      </c>
      <c r="I360" s="360" t="n">
        <v>46168</v>
      </c>
      <c r="J360" s="370" t="n">
        <f aca="false">WORKDAY(H360,1)</f>
        <v>46170</v>
      </c>
    </row>
    <row r="361" customFormat="false" ht="12.75" hidden="false" customHeight="false" outlineLevel="0" collapsed="false">
      <c r="A361" s="369"/>
      <c r="B361" s="367"/>
      <c r="C361" s="368"/>
      <c r="D361" s="368"/>
      <c r="E361" s="368"/>
      <c r="F361" s="366"/>
      <c r="G361" s="371" t="n">
        <v>46204</v>
      </c>
      <c r="H361" s="359" t="n">
        <v>46199</v>
      </c>
      <c r="I361" s="360" t="n">
        <v>46198</v>
      </c>
      <c r="J361" s="370" t="n">
        <f aca="false">WORKDAY(H361,1)</f>
        <v>46202</v>
      </c>
    </row>
    <row r="362" customFormat="false" ht="12.75" hidden="false" customHeight="false" outlineLevel="0" collapsed="false">
      <c r="A362" s="369"/>
      <c r="B362" s="367"/>
      <c r="C362" s="368"/>
      <c r="D362" s="368"/>
      <c r="E362" s="368"/>
      <c r="F362" s="366"/>
      <c r="G362" s="371" t="n">
        <v>46235</v>
      </c>
      <c r="H362" s="359" t="n">
        <v>46232</v>
      </c>
      <c r="I362" s="360" t="n">
        <v>46231</v>
      </c>
      <c r="J362" s="370" t="n">
        <f aca="false">WORKDAY(H362,1)</f>
        <v>46233</v>
      </c>
    </row>
    <row r="363" customFormat="false" ht="12.75" hidden="false" customHeight="false" outlineLevel="0" collapsed="false">
      <c r="A363" s="369"/>
      <c r="B363" s="367"/>
      <c r="C363" s="368"/>
      <c r="D363" s="368"/>
      <c r="E363" s="368"/>
      <c r="F363" s="366"/>
      <c r="G363" s="371" t="n">
        <v>46266</v>
      </c>
      <c r="H363" s="359" t="n">
        <v>46261</v>
      </c>
      <c r="I363" s="360" t="n">
        <v>46260</v>
      </c>
      <c r="J363" s="370" t="n">
        <f aca="false">WORKDAY(H363,1)</f>
        <v>46262</v>
      </c>
    </row>
    <row r="364" customFormat="false" ht="12.75" hidden="false" customHeight="false" outlineLevel="0" collapsed="false">
      <c r="A364" s="369"/>
      <c r="B364" s="367"/>
      <c r="C364" s="368"/>
      <c r="D364" s="368"/>
      <c r="E364" s="368"/>
      <c r="F364" s="366"/>
      <c r="G364" s="371" t="n">
        <v>46296</v>
      </c>
      <c r="H364" s="359" t="n">
        <v>46293</v>
      </c>
      <c r="I364" s="360" t="n">
        <v>46290</v>
      </c>
      <c r="J364" s="370" t="n">
        <f aca="false">WORKDAY(H364,1)</f>
        <v>46294</v>
      </c>
    </row>
    <row r="365" customFormat="false" ht="12.75" hidden="false" customHeight="false" outlineLevel="0" collapsed="false">
      <c r="A365" s="369"/>
      <c r="B365" s="367"/>
      <c r="C365" s="368"/>
      <c r="D365" s="368"/>
      <c r="E365" s="368"/>
      <c r="F365" s="366"/>
      <c r="G365" s="371" t="n">
        <v>46327</v>
      </c>
      <c r="H365" s="359" t="n">
        <v>46323</v>
      </c>
      <c r="I365" s="360" t="n">
        <v>46322</v>
      </c>
      <c r="J365" s="370" t="n">
        <f aca="false">WORKDAY(H365,1)</f>
        <v>46324</v>
      </c>
    </row>
    <row r="366" customFormat="false" ht="12.75" hidden="false" customHeight="false" outlineLevel="0" collapsed="false">
      <c r="A366" s="369"/>
      <c r="B366" s="367"/>
      <c r="C366" s="368"/>
      <c r="D366" s="368"/>
      <c r="E366" s="368"/>
      <c r="F366" s="366"/>
      <c r="G366" s="371" t="n">
        <v>46357</v>
      </c>
      <c r="H366" s="359" t="n">
        <v>46351</v>
      </c>
      <c r="I366" s="360" t="n">
        <v>46350</v>
      </c>
      <c r="J366" s="370" t="n">
        <f aca="false">WORKDAY(H366,1)</f>
        <v>46352</v>
      </c>
    </row>
    <row r="367" customFormat="false" ht="12.75" hidden="false" customHeight="false" outlineLevel="0" collapsed="false">
      <c r="A367" s="369"/>
      <c r="B367" s="367"/>
      <c r="C367" s="368"/>
      <c r="D367" s="368"/>
      <c r="E367" s="368"/>
      <c r="F367" s="366"/>
      <c r="G367" s="371" t="n">
        <v>46388</v>
      </c>
      <c r="H367" s="359" t="n">
        <v>46385</v>
      </c>
      <c r="I367" s="360" t="n">
        <v>46384</v>
      </c>
      <c r="J367" s="370" t="n">
        <f aca="false">WORKDAY(H367,1)</f>
        <v>46386</v>
      </c>
    </row>
    <row r="368" customFormat="false" ht="12.75" hidden="false" customHeight="false" outlineLevel="0" collapsed="false">
      <c r="A368" s="369"/>
      <c r="B368" s="367"/>
      <c r="C368" s="368"/>
      <c r="D368" s="368"/>
      <c r="E368" s="368"/>
      <c r="F368" s="366"/>
      <c r="G368" s="371" t="n">
        <v>46419</v>
      </c>
      <c r="H368" s="359" t="n">
        <v>46414</v>
      </c>
      <c r="I368" s="360" t="n">
        <v>46413</v>
      </c>
      <c r="J368" s="370" t="n">
        <f aca="false">WORKDAY(H368,1)</f>
        <v>46415</v>
      </c>
    </row>
    <row r="369" customFormat="false" ht="12.75" hidden="false" customHeight="false" outlineLevel="0" collapsed="false">
      <c r="A369" s="369"/>
      <c r="B369" s="367"/>
      <c r="C369" s="368"/>
      <c r="D369" s="368"/>
      <c r="E369" s="368"/>
      <c r="F369" s="366"/>
      <c r="G369" s="371" t="n">
        <v>46447</v>
      </c>
      <c r="H369" s="359" t="n">
        <v>46442</v>
      </c>
      <c r="I369" s="360" t="n">
        <v>46441</v>
      </c>
      <c r="J369" s="370" t="n">
        <f aca="false">WORKDAY(H369,1)</f>
        <v>46443</v>
      </c>
    </row>
    <row r="370" customFormat="false" ht="12.75" hidden="false" customHeight="false" outlineLevel="0" collapsed="false">
      <c r="A370" s="369"/>
      <c r="B370" s="367"/>
      <c r="C370" s="368"/>
      <c r="D370" s="368"/>
      <c r="E370" s="368"/>
      <c r="F370" s="366"/>
      <c r="G370" s="371" t="n">
        <v>46478</v>
      </c>
      <c r="H370" s="359" t="n">
        <v>46475</v>
      </c>
      <c r="I370" s="360" t="n">
        <v>46471</v>
      </c>
      <c r="J370" s="370" t="n">
        <f aca="false">WORKDAY(H370,1)</f>
        <v>46476</v>
      </c>
    </row>
    <row r="371" customFormat="false" ht="12.75" hidden="false" customHeight="false" outlineLevel="0" collapsed="false">
      <c r="A371" s="369"/>
      <c r="B371" s="367"/>
      <c r="C371" s="368"/>
      <c r="D371" s="368"/>
      <c r="E371" s="368"/>
      <c r="F371" s="366"/>
      <c r="G371" s="371" t="n">
        <v>46508</v>
      </c>
      <c r="H371" s="359" t="n">
        <v>46505</v>
      </c>
      <c r="I371" s="360" t="n">
        <v>46504</v>
      </c>
      <c r="J371" s="370" t="n">
        <f aca="false">WORKDAY(H371,1)</f>
        <v>46506</v>
      </c>
    </row>
    <row r="372" customFormat="false" ht="12.75" hidden="false" customHeight="false" outlineLevel="0" collapsed="false">
      <c r="A372" s="369"/>
      <c r="B372" s="367"/>
      <c r="C372" s="368"/>
      <c r="D372" s="368"/>
      <c r="E372" s="368"/>
      <c r="F372" s="366"/>
      <c r="G372" s="371" t="n">
        <v>46539</v>
      </c>
      <c r="H372" s="359" t="n">
        <v>46533</v>
      </c>
      <c r="I372" s="360" t="n">
        <v>46532</v>
      </c>
      <c r="J372" s="370" t="n">
        <f aca="false">WORKDAY(H372,1)</f>
        <v>46534</v>
      </c>
    </row>
    <row r="373" customFormat="false" ht="12.75" hidden="false" customHeight="false" outlineLevel="0" collapsed="false">
      <c r="A373" s="369"/>
      <c r="B373" s="336"/>
      <c r="C373" s="336"/>
      <c r="D373" s="336"/>
      <c r="E373" s="336"/>
      <c r="F373" s="336"/>
      <c r="G373" s="371" t="n">
        <v>46569</v>
      </c>
      <c r="H373" s="359" t="n">
        <v>46566</v>
      </c>
      <c r="I373" s="360" t="n">
        <v>46563</v>
      </c>
      <c r="J373" s="370" t="n">
        <f aca="false">WORKDAY(H373,1)</f>
        <v>46567</v>
      </c>
    </row>
    <row r="374" customFormat="false" ht="12.75" hidden="false" customHeight="false" outlineLevel="0" collapsed="false">
      <c r="A374" s="369"/>
      <c r="B374" s="336"/>
      <c r="C374" s="336"/>
      <c r="D374" s="336"/>
      <c r="E374" s="336"/>
      <c r="F374" s="336"/>
      <c r="G374" s="371" t="n">
        <v>46600</v>
      </c>
      <c r="H374" s="359" t="n">
        <v>46596</v>
      </c>
      <c r="I374" s="360" t="n">
        <v>46595</v>
      </c>
      <c r="J374" s="370" t="n">
        <f aca="false">WORKDAY(H374,1)</f>
        <v>46597</v>
      </c>
    </row>
    <row r="375" customFormat="false" ht="12.75" hidden="false" customHeight="false" outlineLevel="0" collapsed="false">
      <c r="A375" s="369"/>
      <c r="B375" s="336"/>
      <c r="C375" s="336"/>
      <c r="D375" s="336"/>
      <c r="E375" s="336"/>
      <c r="F375" s="336"/>
      <c r="G375" s="371" t="n">
        <v>46631</v>
      </c>
      <c r="H375" s="359" t="n">
        <v>46626</v>
      </c>
      <c r="I375" s="360" t="n">
        <v>46625</v>
      </c>
      <c r="J375" s="370" t="n">
        <f aca="false">WORKDAY(H375,1)</f>
        <v>46629</v>
      </c>
    </row>
    <row r="376" customFormat="false" ht="12.75" hidden="false" customHeight="false" outlineLevel="0" collapsed="false">
      <c r="A376" s="369"/>
      <c r="B376" s="336"/>
      <c r="C376" s="336"/>
      <c r="D376" s="336"/>
      <c r="E376" s="336"/>
      <c r="F376" s="336"/>
      <c r="G376" s="371" t="n">
        <v>46661</v>
      </c>
      <c r="H376" s="359" t="n">
        <v>46658</v>
      </c>
      <c r="I376" s="360" t="n">
        <v>46657</v>
      </c>
      <c r="J376" s="370" t="n">
        <f aca="false">WORKDAY(H376,1)</f>
        <v>46659</v>
      </c>
    </row>
    <row r="377" customFormat="false" ht="12.75" hidden="false" customHeight="false" outlineLevel="0" collapsed="false">
      <c r="A377" s="369"/>
      <c r="B377" s="336"/>
      <c r="C377" s="336"/>
      <c r="D377" s="336"/>
      <c r="E377" s="336"/>
      <c r="F377" s="336"/>
      <c r="G377" s="371" t="n">
        <v>46692</v>
      </c>
      <c r="H377" s="359" t="n">
        <v>46687</v>
      </c>
      <c r="I377" s="360" t="n">
        <v>46686</v>
      </c>
      <c r="J377" s="370" t="n">
        <f aca="false">WORKDAY(H377,1)</f>
        <v>46688</v>
      </c>
    </row>
    <row r="378" customFormat="false" ht="12.75" hidden="false" customHeight="false" outlineLevel="0" collapsed="false">
      <c r="A378" s="369"/>
      <c r="B378" s="336"/>
      <c r="C378" s="336"/>
      <c r="D378" s="336"/>
      <c r="E378" s="336"/>
      <c r="F378" s="336"/>
      <c r="G378" s="371" t="n">
        <v>46722</v>
      </c>
      <c r="H378" s="359" t="n">
        <v>46717</v>
      </c>
      <c r="I378" s="360" t="n">
        <v>46715</v>
      </c>
      <c r="J378" s="370" t="n">
        <f aca="false">WORKDAY(H378,1)</f>
        <v>46720</v>
      </c>
    </row>
    <row r="379" customFormat="false" ht="12.75" hidden="false" customHeight="false" outlineLevel="0" collapsed="false">
      <c r="A379" s="369"/>
      <c r="B379" s="336"/>
      <c r="C379" s="336"/>
      <c r="D379" s="336"/>
      <c r="E379" s="336"/>
      <c r="F379" s="336"/>
      <c r="G379" s="371" t="n">
        <v>46753</v>
      </c>
      <c r="H379" s="359" t="n">
        <v>46749</v>
      </c>
      <c r="I379" s="360" t="n">
        <v>46748</v>
      </c>
      <c r="J379" s="370" t="n">
        <f aca="false">WORKDAY(H379,1)</f>
        <v>46750</v>
      </c>
    </row>
    <row r="380" customFormat="false" ht="12.75" hidden="false" customHeight="false" outlineLevel="0" collapsed="false">
      <c r="A380" s="369"/>
      <c r="B380" s="336"/>
      <c r="C380" s="336"/>
      <c r="D380" s="336"/>
      <c r="E380" s="336"/>
      <c r="F380" s="336"/>
      <c r="G380" s="371" t="n">
        <v>46784</v>
      </c>
      <c r="H380" s="359" t="n">
        <v>46779</v>
      </c>
      <c r="I380" s="360" t="n">
        <v>46778</v>
      </c>
      <c r="J380" s="370" t="n">
        <f aca="false">WORKDAY(H380,1)</f>
        <v>46780</v>
      </c>
    </row>
    <row r="381" customFormat="false" ht="12.75" hidden="false" customHeight="false" outlineLevel="0" collapsed="false">
      <c r="A381" s="369"/>
      <c r="B381" s="336"/>
      <c r="C381" s="336"/>
      <c r="D381" s="336"/>
      <c r="E381" s="336"/>
      <c r="F381" s="336"/>
      <c r="G381" s="371" t="n">
        <v>46813</v>
      </c>
      <c r="H381" s="359" t="n">
        <v>46808</v>
      </c>
      <c r="I381" s="360" t="n">
        <v>46807</v>
      </c>
      <c r="J381" s="370" t="n">
        <f aca="false">WORKDAY(H381,1)</f>
        <v>46811</v>
      </c>
    </row>
    <row r="382" customFormat="false" ht="12.75" hidden="false" customHeight="false" outlineLevel="0" collapsed="false">
      <c r="A382" s="369"/>
      <c r="B382" s="336"/>
      <c r="C382" s="336"/>
      <c r="D382" s="336"/>
      <c r="E382" s="336"/>
      <c r="F382" s="336"/>
      <c r="G382" s="371" t="n">
        <v>46844</v>
      </c>
      <c r="H382" s="359" t="n">
        <v>46841</v>
      </c>
      <c r="I382" s="360" t="n">
        <v>46840</v>
      </c>
      <c r="J382" s="370" t="n">
        <f aca="false">WORKDAY(H382,1)</f>
        <v>46842</v>
      </c>
    </row>
    <row r="383" customFormat="false" ht="12.75" hidden="false" customHeight="false" outlineLevel="0" collapsed="false">
      <c r="A383" s="369"/>
      <c r="B383" s="336"/>
      <c r="C383" s="336"/>
      <c r="D383" s="336"/>
      <c r="E383" s="336"/>
      <c r="F383" s="336"/>
      <c r="G383" s="371" t="n">
        <v>46874</v>
      </c>
      <c r="H383" s="359" t="n">
        <v>46869</v>
      </c>
      <c r="I383" s="360" t="n">
        <v>46868</v>
      </c>
      <c r="J383" s="370" t="n">
        <f aca="false">WORKDAY(H383,1)</f>
        <v>46870</v>
      </c>
    </row>
    <row r="384" customFormat="false" ht="12.75" hidden="false" customHeight="false" outlineLevel="0" collapsed="false">
      <c r="A384" s="369"/>
      <c r="B384" s="336"/>
      <c r="C384" s="336"/>
      <c r="D384" s="336"/>
      <c r="E384" s="336"/>
      <c r="F384" s="336"/>
      <c r="G384" s="371" t="n">
        <v>46905</v>
      </c>
      <c r="H384" s="359" t="n">
        <v>46899</v>
      </c>
      <c r="I384" s="360" t="n">
        <v>46898</v>
      </c>
      <c r="J384" s="370" t="n">
        <f aca="false">WORKDAY(H384,1)</f>
        <v>46902</v>
      </c>
    </row>
    <row r="385" customFormat="false" ht="12.75" hidden="false" customHeight="false" outlineLevel="0" collapsed="false">
      <c r="A385" s="369"/>
      <c r="B385" s="369"/>
      <c r="C385" s="369"/>
      <c r="D385" s="369"/>
      <c r="E385" s="369"/>
      <c r="F385" s="369"/>
      <c r="G385" s="371" t="n">
        <v>46935</v>
      </c>
      <c r="H385" s="359" t="n">
        <v>46932</v>
      </c>
      <c r="I385" s="360" t="n">
        <v>46931</v>
      </c>
      <c r="J385" s="370" t="n">
        <f aca="false">WORKDAY(H385,1)</f>
        <v>46933</v>
      </c>
    </row>
    <row r="386" customFormat="false" ht="12.75" hidden="false" customHeight="false" outlineLevel="0" collapsed="false">
      <c r="A386" s="369"/>
      <c r="B386" s="369"/>
      <c r="C386" s="369"/>
      <c r="D386" s="369"/>
      <c r="E386" s="369"/>
      <c r="F386" s="369"/>
      <c r="G386" s="371" t="n">
        <v>46966</v>
      </c>
      <c r="H386" s="359" t="n">
        <v>46961</v>
      </c>
      <c r="I386" s="360" t="n">
        <v>46960</v>
      </c>
      <c r="J386" s="370" t="n">
        <f aca="false">WORKDAY(H386,1)</f>
        <v>46962</v>
      </c>
    </row>
    <row r="387" customFormat="false" ht="12.75" hidden="false" customHeight="false" outlineLevel="0" collapsed="false">
      <c r="A387" s="369"/>
      <c r="B387" s="369"/>
      <c r="C387" s="369"/>
      <c r="D387" s="369"/>
      <c r="E387" s="369"/>
      <c r="F387" s="369"/>
      <c r="G387" s="371" t="n">
        <v>46997</v>
      </c>
      <c r="H387" s="359" t="n">
        <v>46994</v>
      </c>
      <c r="I387" s="360" t="n">
        <v>46993</v>
      </c>
      <c r="J387" s="370" t="n">
        <f aca="false">WORKDAY(H387,1)</f>
        <v>46995</v>
      </c>
    </row>
    <row r="388" customFormat="false" ht="12.75" hidden="false" customHeight="false" outlineLevel="0" collapsed="false">
      <c r="A388" s="369"/>
      <c r="B388" s="369"/>
      <c r="C388" s="369"/>
      <c r="D388" s="369"/>
      <c r="E388" s="369"/>
      <c r="F388" s="369"/>
      <c r="G388" s="371" t="n">
        <v>47027</v>
      </c>
      <c r="H388" s="359" t="n">
        <v>47023</v>
      </c>
      <c r="I388" s="360" t="n">
        <v>47022</v>
      </c>
      <c r="J388" s="370" t="n">
        <f aca="false">WORKDAY(H388,1)</f>
        <v>47024</v>
      </c>
    </row>
    <row r="389" customFormat="false" ht="12.75" hidden="false" customHeight="false" outlineLevel="0" collapsed="false">
      <c r="A389" s="369"/>
      <c r="B389" s="369"/>
      <c r="C389" s="369"/>
      <c r="D389" s="369"/>
      <c r="E389" s="369"/>
      <c r="F389" s="369"/>
      <c r="G389" s="371" t="n">
        <v>47058</v>
      </c>
      <c r="H389" s="359" t="n">
        <v>47053</v>
      </c>
      <c r="I389" s="360" t="n">
        <v>47052</v>
      </c>
      <c r="J389" s="370" t="n">
        <f aca="false">WORKDAY(H389,1)</f>
        <v>47056</v>
      </c>
    </row>
    <row r="390" customFormat="false" ht="12.75" hidden="false" customHeight="false" outlineLevel="0" collapsed="false">
      <c r="A390" s="369"/>
      <c r="B390" s="369"/>
      <c r="C390" s="369"/>
      <c r="D390" s="369"/>
      <c r="E390" s="369"/>
      <c r="F390" s="369"/>
      <c r="G390" s="371" t="n">
        <v>47088</v>
      </c>
      <c r="H390" s="359" t="n">
        <v>47085</v>
      </c>
      <c r="I390" s="360" t="n">
        <v>47084</v>
      </c>
      <c r="J390" s="370" t="n">
        <f aca="false">WORKDAY(H390,1)</f>
        <v>47086</v>
      </c>
    </row>
    <row r="391" customFormat="false" ht="12.75" hidden="false" customHeight="false" outlineLevel="0" collapsed="false">
      <c r="A391" s="369"/>
      <c r="B391" s="369"/>
      <c r="C391" s="369"/>
      <c r="D391" s="369"/>
      <c r="E391" s="369"/>
      <c r="F391" s="369"/>
      <c r="G391" s="371" t="n">
        <v>47119</v>
      </c>
      <c r="H391" s="359" t="n">
        <v>47114</v>
      </c>
      <c r="I391" s="360" t="n">
        <v>47113</v>
      </c>
      <c r="J391" s="370" t="n">
        <f aca="false">WORKDAY(H391,1)</f>
        <v>47115</v>
      </c>
    </row>
    <row r="392" customFormat="false" ht="12.75" hidden="false" customHeight="false" outlineLevel="0" collapsed="false">
      <c r="A392" s="369"/>
      <c r="B392" s="369"/>
      <c r="C392" s="369"/>
      <c r="D392" s="369"/>
      <c r="E392" s="369"/>
      <c r="F392" s="369"/>
      <c r="G392" s="371" t="n">
        <v>47150</v>
      </c>
      <c r="H392" s="359" t="n">
        <v>47147</v>
      </c>
      <c r="I392" s="360" t="n">
        <v>47144</v>
      </c>
      <c r="J392" s="370" t="n">
        <f aca="false">WORKDAY(H392,1)</f>
        <v>47148</v>
      </c>
    </row>
    <row r="393" customFormat="false" ht="12.75" hidden="false" customHeight="false" outlineLevel="0" collapsed="false">
      <c r="A393" s="369"/>
      <c r="B393" s="369"/>
      <c r="C393" s="369"/>
      <c r="D393" s="369"/>
      <c r="E393" s="369"/>
      <c r="F393" s="369"/>
      <c r="G393" s="371" t="n">
        <v>47178</v>
      </c>
      <c r="H393" s="359" t="n">
        <v>47175</v>
      </c>
      <c r="I393" s="360" t="n">
        <v>47172</v>
      </c>
      <c r="J393" s="370" t="n">
        <f aca="false">WORKDAY(H393,1)</f>
        <v>47176</v>
      </c>
    </row>
    <row r="394" customFormat="false" ht="12.75" hidden="false" customHeight="false" outlineLevel="0" collapsed="false">
      <c r="A394" s="369"/>
      <c r="B394" s="369"/>
      <c r="C394" s="369"/>
      <c r="D394" s="369"/>
      <c r="E394" s="369"/>
      <c r="F394" s="369"/>
      <c r="G394" s="371" t="n">
        <v>47209</v>
      </c>
      <c r="H394" s="359" t="n">
        <v>47204</v>
      </c>
      <c r="I394" s="360" t="n">
        <v>47203</v>
      </c>
      <c r="J394" s="370" t="n">
        <f aca="false">WORKDAY(H394,1)</f>
        <v>47205</v>
      </c>
    </row>
    <row r="395" customFormat="false" ht="12.75" hidden="false" customHeight="false" outlineLevel="0" collapsed="false">
      <c r="A395" s="369"/>
      <c r="B395" s="369"/>
      <c r="C395" s="369"/>
      <c r="D395" s="369"/>
      <c r="E395" s="369"/>
      <c r="F395" s="369"/>
      <c r="G395" s="371" t="n">
        <v>47239</v>
      </c>
      <c r="H395" s="359" t="n">
        <v>47234</v>
      </c>
      <c r="I395" s="360" t="n">
        <v>47233</v>
      </c>
      <c r="J395" s="370" t="n">
        <f aca="false">WORKDAY(H395,1)</f>
        <v>47235</v>
      </c>
    </row>
    <row r="396" customFormat="false" ht="12.75" hidden="false" customHeight="false" outlineLevel="0" collapsed="false">
      <c r="A396" s="369"/>
      <c r="B396" s="369"/>
      <c r="C396" s="369"/>
      <c r="D396" s="369"/>
      <c r="E396" s="369"/>
      <c r="F396" s="369"/>
      <c r="G396" s="371" t="n">
        <v>47270</v>
      </c>
      <c r="H396" s="359" t="n">
        <v>47267</v>
      </c>
      <c r="I396" s="360" t="n">
        <v>47263</v>
      </c>
      <c r="J396" s="370" t="n">
        <f aca="false">WORKDAY(H396,1)</f>
        <v>47268</v>
      </c>
    </row>
    <row r="397" customFormat="false" ht="12.75" hidden="false" customHeight="false" outlineLevel="0" collapsed="false">
      <c r="A397" s="369"/>
      <c r="B397" s="369"/>
      <c r="C397" s="369"/>
      <c r="D397" s="369"/>
      <c r="E397" s="369"/>
      <c r="F397" s="369"/>
      <c r="G397" s="371" t="n">
        <v>47300</v>
      </c>
      <c r="H397" s="359" t="n">
        <v>47296</v>
      </c>
      <c r="I397" s="360" t="n">
        <v>47295</v>
      </c>
      <c r="J397" s="370" t="n">
        <f aca="false">WORKDAY(H397,1)</f>
        <v>47297</v>
      </c>
    </row>
    <row r="398" customFormat="false" ht="12.75" hidden="false" customHeight="false" outlineLevel="0" collapsed="false">
      <c r="A398" s="369"/>
      <c r="B398" s="369"/>
      <c r="C398" s="369"/>
      <c r="D398" s="369"/>
      <c r="E398" s="369"/>
      <c r="F398" s="369"/>
      <c r="G398" s="371" t="n">
        <v>47331</v>
      </c>
      <c r="H398" s="359" t="n">
        <v>47326</v>
      </c>
      <c r="I398" s="360" t="n">
        <v>47325</v>
      </c>
      <c r="J398" s="370" t="n">
        <f aca="false">WORKDAY(H398,1)</f>
        <v>47329</v>
      </c>
    </row>
    <row r="399" customFormat="false" ht="12.75" hidden="false" customHeight="false" outlineLevel="0" collapsed="false">
      <c r="A399" s="369"/>
      <c r="B399" s="369"/>
      <c r="C399" s="369"/>
      <c r="D399" s="369"/>
      <c r="E399" s="369"/>
      <c r="F399" s="369"/>
      <c r="G399" s="371" t="n">
        <v>47362</v>
      </c>
      <c r="H399" s="359" t="n">
        <v>47359</v>
      </c>
      <c r="I399" s="360" t="n">
        <v>47358</v>
      </c>
      <c r="J399" s="370" t="n">
        <f aca="false">WORKDAY(H399,1)</f>
        <v>47360</v>
      </c>
    </row>
    <row r="400" customFormat="false" ht="12.75" hidden="false" customHeight="false" outlineLevel="0" collapsed="false">
      <c r="A400" s="369"/>
      <c r="B400" s="369"/>
      <c r="C400" s="369"/>
      <c r="D400" s="369"/>
      <c r="E400" s="369"/>
      <c r="F400" s="369"/>
      <c r="G400" s="371" t="n">
        <v>47392</v>
      </c>
      <c r="H400" s="359" t="n">
        <v>47387</v>
      </c>
      <c r="I400" s="360" t="n">
        <v>47386</v>
      </c>
      <c r="J400" s="370" t="n">
        <f aca="false">WORKDAY(H400,1)</f>
        <v>47388</v>
      </c>
    </row>
    <row r="401" customFormat="false" ht="12.75" hidden="false" customHeight="false" outlineLevel="0" collapsed="false">
      <c r="A401" s="369"/>
      <c r="B401" s="369"/>
      <c r="C401" s="369"/>
      <c r="D401" s="369"/>
      <c r="E401" s="369"/>
      <c r="F401" s="369"/>
      <c r="G401" s="371" t="n">
        <v>47423</v>
      </c>
      <c r="H401" s="359" t="n">
        <v>47420</v>
      </c>
      <c r="I401" s="360" t="n">
        <v>47417</v>
      </c>
      <c r="J401" s="370" t="n">
        <f aca="false">WORKDAY(H401,1)</f>
        <v>47421</v>
      </c>
    </row>
    <row r="402" customFormat="false" ht="12.75" hidden="false" customHeight="false" outlineLevel="0" collapsed="false">
      <c r="A402" s="369"/>
      <c r="B402" s="369"/>
      <c r="C402" s="369"/>
      <c r="D402" s="369"/>
      <c r="E402" s="369"/>
      <c r="F402" s="369"/>
      <c r="G402" s="371" t="n">
        <v>47453</v>
      </c>
      <c r="H402" s="359" t="n">
        <v>47450</v>
      </c>
      <c r="I402" s="360" t="n">
        <v>47449</v>
      </c>
      <c r="J402" s="370" t="n">
        <f aca="false">WORKDAY(H402,1)</f>
        <v>47451</v>
      </c>
    </row>
    <row r="403" customFormat="false" ht="12.75" hidden="false" customHeight="false" outlineLevel="0" collapsed="false">
      <c r="A403" s="369"/>
      <c r="B403" s="369"/>
      <c r="C403" s="369"/>
      <c r="D403" s="369"/>
      <c r="E403" s="369"/>
      <c r="F403" s="369"/>
      <c r="G403" s="371" t="n">
        <v>47484</v>
      </c>
      <c r="H403" s="359" t="n">
        <v>47479</v>
      </c>
      <c r="I403" s="360" t="n">
        <v>47478</v>
      </c>
      <c r="J403" s="370" t="n">
        <f aca="false">WORKDAY(H403,1)</f>
        <v>47480</v>
      </c>
    </row>
    <row r="404" customFormat="false" ht="12.75" hidden="false" customHeight="false" outlineLevel="0" collapsed="false">
      <c r="A404" s="369"/>
      <c r="B404" s="369"/>
      <c r="C404" s="369"/>
      <c r="D404" s="369"/>
      <c r="E404" s="369"/>
      <c r="F404" s="369"/>
      <c r="G404" s="371" t="n">
        <v>47515</v>
      </c>
      <c r="H404" s="359" t="n">
        <v>47512</v>
      </c>
      <c r="I404" s="360" t="n">
        <v>47511</v>
      </c>
      <c r="J404" s="370" t="n">
        <f aca="false">WORKDAY(H404,1)</f>
        <v>47513</v>
      </c>
    </row>
    <row r="405" customFormat="false" ht="12.75" hidden="false" customHeight="false" outlineLevel="0" collapsed="false">
      <c r="A405" s="369"/>
      <c r="B405" s="369"/>
      <c r="C405" s="369"/>
      <c r="D405" s="369"/>
      <c r="E405" s="369"/>
      <c r="F405" s="369"/>
      <c r="G405" s="371" t="n">
        <v>47543</v>
      </c>
      <c r="H405" s="359" t="n">
        <v>47540</v>
      </c>
      <c r="I405" s="360" t="n">
        <v>47539</v>
      </c>
      <c r="J405" s="370" t="n">
        <f aca="false">WORKDAY(H405,1)</f>
        <v>47541</v>
      </c>
    </row>
    <row r="406" customFormat="false" ht="12.75" hidden="false" customHeight="false" outlineLevel="0" collapsed="false">
      <c r="A406" s="369"/>
      <c r="B406" s="369"/>
      <c r="C406" s="369"/>
      <c r="D406" s="369"/>
      <c r="E406" s="369"/>
      <c r="F406" s="369"/>
      <c r="G406" s="371" t="n">
        <v>47574</v>
      </c>
      <c r="H406" s="359" t="n">
        <v>47569</v>
      </c>
      <c r="I406" s="360" t="n">
        <v>47568</v>
      </c>
      <c r="J406" s="370" t="n">
        <f aca="false">WORKDAY(H406,1)</f>
        <v>47570</v>
      </c>
    </row>
    <row r="407" customFormat="false" ht="12.75" hidden="false" customHeight="false" outlineLevel="0" collapsed="false">
      <c r="A407" s="369"/>
      <c r="B407" s="369"/>
      <c r="C407" s="369"/>
      <c r="D407" s="369"/>
      <c r="E407" s="369"/>
      <c r="F407" s="369"/>
      <c r="G407" s="371" t="n">
        <v>47604</v>
      </c>
      <c r="H407" s="359" t="n">
        <v>47599</v>
      </c>
      <c r="I407" s="360" t="n">
        <v>47598</v>
      </c>
      <c r="J407" s="370" t="n">
        <f aca="false">WORKDAY(H407,1)</f>
        <v>47602</v>
      </c>
    </row>
    <row r="408" customFormat="false" ht="12.75" hidden="false" customHeight="false" outlineLevel="0" collapsed="false">
      <c r="A408" s="369"/>
      <c r="B408" s="369"/>
      <c r="C408" s="369"/>
      <c r="D408" s="369"/>
      <c r="E408" s="369"/>
      <c r="F408" s="369"/>
      <c r="G408" s="371" t="n">
        <v>47635</v>
      </c>
      <c r="H408" s="359" t="n">
        <v>47632</v>
      </c>
      <c r="I408" s="360" t="n">
        <v>47631</v>
      </c>
      <c r="J408" s="370" t="n">
        <f aca="false">WORKDAY(H408,1)</f>
        <v>47633</v>
      </c>
    </row>
    <row r="409" customFormat="false" ht="12.75" hidden="false" customHeight="false" outlineLevel="0" collapsed="false">
      <c r="A409" s="369"/>
      <c r="B409" s="369"/>
      <c r="C409" s="369"/>
      <c r="D409" s="369"/>
      <c r="E409" s="369"/>
      <c r="F409" s="369"/>
      <c r="G409" s="371" t="n">
        <v>47665</v>
      </c>
      <c r="H409" s="359" t="n">
        <v>47660</v>
      </c>
      <c r="I409" s="360" t="n">
        <v>47659</v>
      </c>
      <c r="J409" s="370" t="n">
        <f aca="false">WORKDAY(H409,1)</f>
        <v>47661</v>
      </c>
    </row>
    <row r="410" customFormat="false" ht="12.75" hidden="false" customHeight="false" outlineLevel="0" collapsed="false">
      <c r="A410" s="369"/>
      <c r="B410" s="369"/>
      <c r="C410" s="369"/>
      <c r="D410" s="369"/>
      <c r="E410" s="369"/>
      <c r="F410" s="369"/>
      <c r="G410" s="371" t="n">
        <v>47696</v>
      </c>
      <c r="H410" s="359" t="n">
        <v>47693</v>
      </c>
      <c r="I410" s="360" t="n">
        <v>47690</v>
      </c>
      <c r="J410" s="370" t="n">
        <f aca="false">WORKDAY(H410,1)</f>
        <v>47694</v>
      </c>
    </row>
    <row r="411" customFormat="false" ht="12.75" hidden="false" customHeight="false" outlineLevel="0" collapsed="false">
      <c r="A411" s="369"/>
      <c r="B411" s="369"/>
      <c r="C411" s="369"/>
      <c r="D411" s="369"/>
      <c r="E411" s="369"/>
      <c r="F411" s="369"/>
      <c r="G411" s="371" t="n">
        <v>47727</v>
      </c>
      <c r="H411" s="359" t="n">
        <v>47723</v>
      </c>
      <c r="I411" s="360" t="n">
        <v>47722</v>
      </c>
      <c r="J411" s="370" t="n">
        <f aca="false">WORKDAY(H411,1)</f>
        <v>47724</v>
      </c>
    </row>
    <row r="412" customFormat="false" ht="12.75" hidden="false" customHeight="false" outlineLevel="0" collapsed="false">
      <c r="A412" s="369"/>
      <c r="B412" s="369"/>
      <c r="C412" s="369"/>
      <c r="D412" s="369"/>
      <c r="E412" s="369"/>
      <c r="F412" s="369"/>
      <c r="G412" s="371" t="n">
        <v>47757</v>
      </c>
      <c r="H412" s="359" t="n">
        <v>47752</v>
      </c>
      <c r="I412" s="360" t="n">
        <v>47751</v>
      </c>
      <c r="J412" s="370" t="n">
        <f aca="false">WORKDAY(H412,1)</f>
        <v>47753</v>
      </c>
    </row>
    <row r="413" customFormat="false" ht="12.75" hidden="false" customHeight="false" outlineLevel="0" collapsed="false">
      <c r="A413" s="369"/>
      <c r="B413" s="369"/>
      <c r="C413" s="369"/>
      <c r="D413" s="369"/>
      <c r="E413" s="369"/>
      <c r="F413" s="369"/>
      <c r="G413" s="371" t="n">
        <v>47788</v>
      </c>
      <c r="H413" s="359" t="n">
        <v>47785</v>
      </c>
      <c r="I413" s="360" t="n">
        <v>47784</v>
      </c>
      <c r="J413" s="370" t="n">
        <f aca="false">WORKDAY(H413,1)</f>
        <v>47786</v>
      </c>
    </row>
    <row r="414" customFormat="false" ht="13.5" hidden="false" customHeight="false" outlineLevel="0" collapsed="false">
      <c r="A414" s="369"/>
      <c r="B414" s="369"/>
      <c r="C414" s="369"/>
      <c r="D414" s="369"/>
      <c r="E414" s="369"/>
      <c r="F414" s="369"/>
      <c r="G414" s="372" t="n">
        <v>47818</v>
      </c>
      <c r="H414" s="373" t="n">
        <v>47813</v>
      </c>
      <c r="I414" s="374" t="n">
        <v>47812</v>
      </c>
      <c r="J414" s="370" t="n">
        <f aca="false">WORKDAY(H414,1)</f>
        <v>47814</v>
      </c>
    </row>
    <row r="415" customFormat="false" ht="11.25" hidden="false" customHeight="false" outlineLevel="0" collapsed="false">
      <c r="A415" s="375"/>
      <c r="B415" s="375"/>
      <c r="C415" s="375"/>
      <c r="D415" s="375"/>
      <c r="E415" s="375"/>
      <c r="F415" s="375"/>
    </row>
    <row r="416" customFormat="false" ht="11.25" hidden="false" customHeight="false" outlineLevel="0" collapsed="false">
      <c r="A416" s="375"/>
      <c r="B416" s="375"/>
      <c r="C416" s="375"/>
      <c r="D416" s="375"/>
      <c r="E416" s="375"/>
      <c r="F416" s="375"/>
    </row>
    <row r="417" customFormat="false" ht="11.25" hidden="false" customHeight="false" outlineLevel="0" collapsed="false">
      <c r="A417" s="375"/>
      <c r="B417" s="375"/>
      <c r="C417" s="375"/>
      <c r="D417" s="375"/>
      <c r="E417" s="375"/>
      <c r="F417" s="375"/>
    </row>
    <row r="418" customFormat="false" ht="11.25" hidden="false" customHeight="false" outlineLevel="0" collapsed="false">
      <c r="A418" s="375"/>
      <c r="B418" s="375"/>
      <c r="C418" s="375"/>
      <c r="D418" s="375"/>
      <c r="E418" s="375"/>
      <c r="F418" s="375"/>
    </row>
    <row r="419" customFormat="false" ht="11.25" hidden="false" customHeight="false" outlineLevel="0" collapsed="false">
      <c r="A419" s="375"/>
      <c r="B419" s="375"/>
      <c r="C419" s="375"/>
      <c r="D419" s="375"/>
      <c r="E419" s="375"/>
      <c r="F419" s="375"/>
    </row>
    <row r="420" customFormat="false" ht="11.25" hidden="false" customHeight="false" outlineLevel="0" collapsed="false">
      <c r="A420" s="375"/>
      <c r="B420" s="375"/>
      <c r="C420" s="375"/>
      <c r="D420" s="375"/>
      <c r="E420" s="375"/>
      <c r="F420" s="375"/>
    </row>
    <row r="421" customFormat="false" ht="11.25" hidden="false" customHeight="false" outlineLevel="0" collapsed="false">
      <c r="A421" s="375"/>
      <c r="B421" s="375"/>
      <c r="C421" s="375"/>
      <c r="D421" s="375"/>
      <c r="E421" s="375"/>
      <c r="F421" s="375"/>
    </row>
    <row r="422" customFormat="false" ht="11.25" hidden="false" customHeight="false" outlineLevel="0" collapsed="false">
      <c r="A422" s="375"/>
      <c r="B422" s="375"/>
      <c r="C422" s="375"/>
      <c r="D422" s="375"/>
      <c r="E422" s="375"/>
      <c r="F422" s="375"/>
    </row>
    <row r="423" customFormat="false" ht="11.25" hidden="false" customHeight="false" outlineLevel="0" collapsed="false">
      <c r="A423" s="375"/>
      <c r="B423" s="375"/>
      <c r="C423" s="375"/>
      <c r="D423" s="375"/>
      <c r="E423" s="375"/>
      <c r="F423" s="375"/>
    </row>
    <row r="424" customFormat="false" ht="11.25" hidden="false" customHeight="false" outlineLevel="0" collapsed="false">
      <c r="A424" s="375"/>
      <c r="B424" s="375"/>
      <c r="C424" s="375"/>
      <c r="D424" s="375"/>
      <c r="E424" s="375"/>
      <c r="F424" s="375"/>
    </row>
    <row r="425" customFormat="false" ht="11.25" hidden="false" customHeight="false" outlineLevel="0" collapsed="false">
      <c r="A425" s="375"/>
      <c r="B425" s="375"/>
      <c r="C425" s="375"/>
      <c r="D425" s="375"/>
      <c r="E425" s="375"/>
      <c r="F425" s="375"/>
    </row>
    <row r="426" customFormat="false" ht="11.25" hidden="false" customHeight="false" outlineLevel="0" collapsed="false">
      <c r="A426" s="375"/>
      <c r="B426" s="375"/>
      <c r="C426" s="375"/>
      <c r="D426" s="375"/>
      <c r="E426" s="375"/>
      <c r="F426" s="375"/>
    </row>
    <row r="427" customFormat="false" ht="11.25" hidden="false" customHeight="false" outlineLevel="0" collapsed="false">
      <c r="A427" s="375"/>
      <c r="B427" s="375"/>
      <c r="C427" s="375"/>
      <c r="D427" s="375"/>
      <c r="E427" s="375"/>
      <c r="F427" s="375"/>
    </row>
    <row r="428" customFormat="false" ht="11.25" hidden="false" customHeight="false" outlineLevel="0" collapsed="false">
      <c r="A428" s="375"/>
      <c r="B428" s="375"/>
      <c r="C428" s="375"/>
      <c r="D428" s="375"/>
      <c r="E428" s="375"/>
      <c r="F428" s="375"/>
    </row>
    <row r="429" customFormat="false" ht="11.25" hidden="false" customHeight="false" outlineLevel="0" collapsed="false">
      <c r="A429" s="375"/>
      <c r="B429" s="375"/>
      <c r="C429" s="375"/>
      <c r="D429" s="375"/>
      <c r="E429" s="375"/>
      <c r="F429" s="375"/>
    </row>
    <row r="430" customFormat="false" ht="11.25" hidden="false" customHeight="false" outlineLevel="0" collapsed="false">
      <c r="A430" s="375"/>
      <c r="B430" s="375"/>
      <c r="C430" s="375"/>
      <c r="D430" s="375"/>
      <c r="E430" s="375"/>
      <c r="F430" s="375"/>
    </row>
    <row r="431" customFormat="false" ht="11.25" hidden="false" customHeight="false" outlineLevel="0" collapsed="false">
      <c r="A431" s="375"/>
      <c r="B431" s="375"/>
      <c r="C431" s="375"/>
      <c r="D431" s="375"/>
      <c r="E431" s="375"/>
      <c r="F431" s="375"/>
    </row>
    <row r="432" customFormat="false" ht="11.25" hidden="false" customHeight="false" outlineLevel="0" collapsed="false">
      <c r="A432" s="375"/>
      <c r="B432" s="375"/>
      <c r="C432" s="375"/>
      <c r="D432" s="375"/>
      <c r="E432" s="375"/>
      <c r="F432" s="375"/>
    </row>
    <row r="433" customFormat="false" ht="11.25" hidden="false" customHeight="false" outlineLevel="0" collapsed="false">
      <c r="A433" s="375"/>
      <c r="B433" s="375"/>
      <c r="C433" s="375"/>
      <c r="D433" s="375"/>
      <c r="E433" s="375"/>
      <c r="F433" s="375"/>
    </row>
    <row r="434" customFormat="false" ht="11.25" hidden="false" customHeight="false" outlineLevel="0" collapsed="false">
      <c r="A434" s="375"/>
      <c r="B434" s="375"/>
      <c r="C434" s="375"/>
      <c r="D434" s="375"/>
      <c r="E434" s="375"/>
      <c r="F434" s="375"/>
    </row>
    <row r="435" customFormat="false" ht="11.25" hidden="false" customHeight="false" outlineLevel="0" collapsed="false">
      <c r="A435" s="375"/>
      <c r="B435" s="375"/>
      <c r="C435" s="375"/>
      <c r="D435" s="375"/>
      <c r="E435" s="375"/>
      <c r="F435" s="375"/>
    </row>
    <row r="436" customFormat="false" ht="11.25" hidden="false" customHeight="false" outlineLevel="0" collapsed="false">
      <c r="A436" s="375"/>
      <c r="B436" s="375"/>
      <c r="C436" s="375"/>
      <c r="D436" s="375"/>
      <c r="E436" s="375"/>
      <c r="F436" s="375"/>
    </row>
    <row r="437" customFormat="false" ht="11.25" hidden="false" customHeight="false" outlineLevel="0" collapsed="false">
      <c r="A437" s="375"/>
      <c r="B437" s="375"/>
      <c r="C437" s="375"/>
      <c r="D437" s="375"/>
      <c r="E437" s="375"/>
      <c r="F437" s="375"/>
    </row>
    <row r="438" customFormat="false" ht="11.25" hidden="false" customHeight="false" outlineLevel="0" collapsed="false">
      <c r="A438" s="375"/>
      <c r="B438" s="375"/>
      <c r="C438" s="375"/>
      <c r="D438" s="375"/>
      <c r="E438" s="375"/>
      <c r="F438" s="375"/>
    </row>
    <row r="439" customFormat="false" ht="11.25" hidden="false" customHeight="false" outlineLevel="0" collapsed="false">
      <c r="A439" s="375"/>
      <c r="B439" s="375"/>
      <c r="C439" s="375"/>
      <c r="D439" s="375"/>
      <c r="E439" s="375"/>
      <c r="F439" s="375"/>
    </row>
    <row r="440" customFormat="false" ht="11.25" hidden="false" customHeight="false" outlineLevel="0" collapsed="false">
      <c r="A440" s="375"/>
      <c r="B440" s="375"/>
      <c r="C440" s="375"/>
      <c r="D440" s="375"/>
      <c r="E440" s="375"/>
      <c r="F440" s="375"/>
    </row>
    <row r="441" customFormat="false" ht="11.25" hidden="false" customHeight="false" outlineLevel="0" collapsed="false">
      <c r="A441" s="375"/>
      <c r="B441" s="375"/>
      <c r="C441" s="375"/>
      <c r="D441" s="375"/>
      <c r="E441" s="375"/>
      <c r="F441" s="375"/>
    </row>
    <row r="442" customFormat="false" ht="11.25" hidden="false" customHeight="false" outlineLevel="0" collapsed="false">
      <c r="A442" s="375"/>
      <c r="B442" s="375"/>
      <c r="C442" s="375"/>
      <c r="D442" s="375"/>
      <c r="E442" s="375"/>
      <c r="F442" s="375"/>
    </row>
    <row r="443" customFormat="false" ht="11.25" hidden="false" customHeight="false" outlineLevel="0" collapsed="false">
      <c r="A443" s="375"/>
      <c r="B443" s="375"/>
      <c r="C443" s="375"/>
      <c r="D443" s="375"/>
      <c r="E443" s="375"/>
      <c r="F443" s="375"/>
    </row>
    <row r="444" customFormat="false" ht="11.25" hidden="false" customHeight="false" outlineLevel="0" collapsed="false">
      <c r="A444" s="375"/>
      <c r="B444" s="375"/>
      <c r="C444" s="375"/>
      <c r="D444" s="375"/>
      <c r="E444" s="375"/>
      <c r="F444" s="375"/>
    </row>
    <row r="445" customFormat="false" ht="11.25" hidden="false" customHeight="false" outlineLevel="0" collapsed="false">
      <c r="A445" s="375"/>
      <c r="B445" s="375"/>
      <c r="C445" s="375"/>
      <c r="D445" s="375"/>
      <c r="E445" s="375"/>
      <c r="F445" s="375"/>
    </row>
    <row r="446" customFormat="false" ht="11.25" hidden="false" customHeight="false" outlineLevel="0" collapsed="false">
      <c r="A446" s="375"/>
      <c r="B446" s="375"/>
      <c r="C446" s="375"/>
      <c r="D446" s="375"/>
      <c r="E446" s="375"/>
      <c r="F446" s="375"/>
    </row>
    <row r="447" customFormat="false" ht="11.25" hidden="false" customHeight="false" outlineLevel="0" collapsed="false">
      <c r="A447" s="375"/>
      <c r="B447" s="375"/>
      <c r="C447" s="375"/>
      <c r="D447" s="375"/>
      <c r="E447" s="375"/>
      <c r="F447" s="375"/>
    </row>
    <row r="448" customFormat="false" ht="11.25" hidden="false" customHeight="false" outlineLevel="0" collapsed="false">
      <c r="A448" s="375"/>
      <c r="B448" s="375"/>
      <c r="C448" s="375"/>
      <c r="D448" s="375"/>
      <c r="E448" s="375"/>
      <c r="F448" s="375"/>
    </row>
    <row r="449" customFormat="false" ht="11.25" hidden="false" customHeight="false" outlineLevel="0" collapsed="false">
      <c r="A449" s="375"/>
      <c r="B449" s="375"/>
      <c r="C449" s="375"/>
      <c r="D449" s="375"/>
      <c r="E449" s="375"/>
      <c r="F449" s="375"/>
    </row>
    <row r="450" customFormat="false" ht="11.25" hidden="false" customHeight="false" outlineLevel="0" collapsed="false">
      <c r="A450" s="375"/>
      <c r="B450" s="375"/>
      <c r="C450" s="375"/>
      <c r="D450" s="375"/>
      <c r="E450" s="375"/>
      <c r="F450" s="375"/>
    </row>
    <row r="451" customFormat="false" ht="11.25" hidden="false" customHeight="false" outlineLevel="0" collapsed="false">
      <c r="A451" s="375"/>
      <c r="B451" s="375"/>
      <c r="C451" s="375"/>
      <c r="D451" s="375"/>
      <c r="E451" s="375"/>
      <c r="F451" s="375"/>
    </row>
    <row r="452" customFormat="false" ht="11.25" hidden="false" customHeight="false" outlineLevel="0" collapsed="false">
      <c r="A452" s="375"/>
      <c r="B452" s="375"/>
      <c r="C452" s="375"/>
      <c r="D452" s="375"/>
      <c r="E452" s="375"/>
      <c r="F452" s="375"/>
    </row>
    <row r="453" customFormat="false" ht="11.25" hidden="false" customHeight="false" outlineLevel="0" collapsed="false">
      <c r="A453" s="375"/>
      <c r="B453" s="375"/>
      <c r="C453" s="375"/>
      <c r="D453" s="375"/>
      <c r="E453" s="375"/>
      <c r="F453" s="375"/>
    </row>
    <row r="454" customFormat="false" ht="11.25" hidden="false" customHeight="false" outlineLevel="0" collapsed="false">
      <c r="A454" s="375"/>
      <c r="B454" s="375"/>
      <c r="C454" s="375"/>
      <c r="D454" s="375"/>
      <c r="E454" s="375"/>
      <c r="F454" s="375"/>
    </row>
    <row r="455" customFormat="false" ht="11.25" hidden="false" customHeight="false" outlineLevel="0" collapsed="false">
      <c r="A455" s="375"/>
      <c r="B455" s="375"/>
      <c r="C455" s="375"/>
      <c r="D455" s="375"/>
      <c r="E455" s="375"/>
      <c r="F455" s="375"/>
    </row>
    <row r="456" customFormat="false" ht="11.25" hidden="false" customHeight="false" outlineLevel="0" collapsed="false">
      <c r="A456" s="375"/>
      <c r="B456" s="375"/>
      <c r="C456" s="375"/>
      <c r="D456" s="375"/>
      <c r="E456" s="375"/>
      <c r="F456" s="375"/>
    </row>
    <row r="457" customFormat="false" ht="11.25" hidden="false" customHeight="false" outlineLevel="0" collapsed="false">
      <c r="A457" s="375"/>
      <c r="B457" s="375"/>
      <c r="C457" s="375"/>
      <c r="D457" s="375"/>
      <c r="E457" s="375"/>
      <c r="F457" s="375"/>
    </row>
    <row r="458" customFormat="false" ht="11.25" hidden="false" customHeight="false" outlineLevel="0" collapsed="false">
      <c r="A458" s="375"/>
      <c r="B458" s="375"/>
      <c r="C458" s="375"/>
      <c r="D458" s="375"/>
      <c r="E458" s="375"/>
      <c r="F458" s="375"/>
    </row>
    <row r="459" customFormat="false" ht="11.25" hidden="false" customHeight="false" outlineLevel="0" collapsed="false">
      <c r="A459" s="375"/>
      <c r="B459" s="375"/>
      <c r="C459" s="375"/>
      <c r="D459" s="375"/>
      <c r="E459" s="375"/>
      <c r="F459" s="375"/>
    </row>
    <row r="460" customFormat="false" ht="11.25" hidden="false" customHeight="false" outlineLevel="0" collapsed="false">
      <c r="A460" s="375"/>
      <c r="B460" s="375"/>
      <c r="C460" s="375"/>
      <c r="D460" s="375"/>
      <c r="E460" s="375"/>
      <c r="F460" s="375"/>
    </row>
    <row r="461" customFormat="false" ht="11.25" hidden="false" customHeight="false" outlineLevel="0" collapsed="false">
      <c r="A461" s="375"/>
      <c r="B461" s="375"/>
      <c r="C461" s="375"/>
      <c r="D461" s="375"/>
      <c r="E461" s="375"/>
      <c r="F461" s="375"/>
    </row>
    <row r="462" customFormat="false" ht="11.25" hidden="false" customHeight="false" outlineLevel="0" collapsed="false">
      <c r="A462" s="375"/>
      <c r="B462" s="375"/>
      <c r="C462" s="375"/>
      <c r="D462" s="375"/>
      <c r="E462" s="375"/>
      <c r="F462" s="375"/>
    </row>
    <row r="463" customFormat="false" ht="11.25" hidden="false" customHeight="false" outlineLevel="0" collapsed="false">
      <c r="A463" s="375"/>
      <c r="B463" s="375"/>
      <c r="C463" s="375"/>
      <c r="D463" s="375"/>
      <c r="E463" s="375"/>
      <c r="F463" s="375"/>
    </row>
    <row r="464" customFormat="false" ht="11.25" hidden="false" customHeight="false" outlineLevel="0" collapsed="false">
      <c r="A464" s="375"/>
      <c r="B464" s="375"/>
      <c r="C464" s="375"/>
      <c r="D464" s="375"/>
      <c r="E464" s="375"/>
      <c r="F464" s="375"/>
    </row>
    <row r="465" customFormat="false" ht="11.25" hidden="false" customHeight="false" outlineLevel="0" collapsed="false">
      <c r="A465" s="375"/>
      <c r="B465" s="375"/>
      <c r="C465" s="375"/>
      <c r="D465" s="375"/>
      <c r="E465" s="375"/>
      <c r="F465" s="375"/>
    </row>
    <row r="466" customFormat="false" ht="11.25" hidden="false" customHeight="false" outlineLevel="0" collapsed="false">
      <c r="A466" s="375"/>
      <c r="B466" s="375"/>
      <c r="C466" s="375"/>
      <c r="D466" s="375"/>
      <c r="E466" s="375"/>
      <c r="F466" s="375"/>
    </row>
    <row r="467" customFormat="false" ht="11.25" hidden="false" customHeight="false" outlineLevel="0" collapsed="false">
      <c r="A467" s="375"/>
      <c r="B467" s="375"/>
      <c r="C467" s="375"/>
      <c r="D467" s="375"/>
      <c r="E467" s="375"/>
      <c r="F467" s="375"/>
    </row>
    <row r="468" customFormat="false" ht="11.25" hidden="false" customHeight="false" outlineLevel="0" collapsed="false">
      <c r="A468" s="375"/>
      <c r="B468" s="375"/>
      <c r="C468" s="375"/>
      <c r="D468" s="375"/>
      <c r="E468" s="375"/>
      <c r="F468" s="375"/>
    </row>
    <row r="469" customFormat="false" ht="11.25" hidden="false" customHeight="false" outlineLevel="0" collapsed="false">
      <c r="A469" s="375"/>
      <c r="B469" s="375"/>
      <c r="C469" s="375"/>
      <c r="D469" s="375"/>
      <c r="E469" s="375"/>
      <c r="F469" s="375"/>
    </row>
    <row r="470" customFormat="false" ht="11.25" hidden="false" customHeight="false" outlineLevel="0" collapsed="false">
      <c r="A470" s="375"/>
      <c r="B470" s="375"/>
      <c r="C470" s="375"/>
      <c r="D470" s="375"/>
      <c r="E470" s="375"/>
      <c r="F470" s="375"/>
    </row>
    <row r="471" customFormat="false" ht="11.25" hidden="false" customHeight="false" outlineLevel="0" collapsed="false">
      <c r="A471" s="375"/>
      <c r="B471" s="375"/>
      <c r="C471" s="375"/>
      <c r="D471" s="375"/>
      <c r="E471" s="375"/>
      <c r="F471" s="375"/>
    </row>
    <row r="472" customFormat="false" ht="11.25" hidden="false" customHeight="false" outlineLevel="0" collapsed="false">
      <c r="A472" s="375"/>
      <c r="B472" s="375"/>
      <c r="C472" s="375"/>
      <c r="D472" s="375"/>
      <c r="E472" s="375"/>
      <c r="F472" s="375"/>
    </row>
    <row r="473" customFormat="false" ht="11.25" hidden="false" customHeight="false" outlineLevel="0" collapsed="false">
      <c r="A473" s="375"/>
      <c r="B473" s="375"/>
      <c r="C473" s="375"/>
      <c r="D473" s="375"/>
      <c r="E473" s="375"/>
      <c r="F473" s="375"/>
    </row>
    <row r="474" customFormat="false" ht="11.25" hidden="false" customHeight="false" outlineLevel="0" collapsed="false">
      <c r="A474" s="375"/>
      <c r="B474" s="375"/>
      <c r="C474" s="375"/>
      <c r="D474" s="375"/>
      <c r="E474" s="375"/>
      <c r="F474" s="375"/>
    </row>
    <row r="475" customFormat="false" ht="11.25" hidden="false" customHeight="false" outlineLevel="0" collapsed="false">
      <c r="A475" s="375"/>
      <c r="B475" s="375"/>
      <c r="C475" s="375"/>
      <c r="D475" s="375"/>
      <c r="E475" s="375"/>
      <c r="F475" s="375"/>
    </row>
    <row r="476" customFormat="false" ht="11.25" hidden="false" customHeight="false" outlineLevel="0" collapsed="false">
      <c r="A476" s="375"/>
      <c r="B476" s="375"/>
      <c r="C476" s="375"/>
      <c r="D476" s="375"/>
      <c r="E476" s="375"/>
      <c r="F476" s="375"/>
    </row>
    <row r="477" customFormat="false" ht="11.25" hidden="false" customHeight="false" outlineLevel="0" collapsed="false">
      <c r="A477" s="375"/>
      <c r="B477" s="375"/>
      <c r="C477" s="375"/>
      <c r="D477" s="375"/>
      <c r="E477" s="375"/>
      <c r="F477" s="375"/>
    </row>
    <row r="478" customFormat="false" ht="11.25" hidden="false" customHeight="false" outlineLevel="0" collapsed="false">
      <c r="A478" s="375"/>
      <c r="B478" s="375"/>
      <c r="C478" s="375"/>
      <c r="D478" s="375"/>
      <c r="E478" s="375"/>
      <c r="F478" s="375"/>
    </row>
    <row r="479" customFormat="false" ht="11.25" hidden="false" customHeight="false" outlineLevel="0" collapsed="false">
      <c r="A479" s="375"/>
      <c r="B479" s="375"/>
      <c r="C479" s="375"/>
      <c r="D479" s="375"/>
      <c r="E479" s="375"/>
      <c r="F479" s="375"/>
    </row>
    <row r="480" customFormat="false" ht="11.25" hidden="false" customHeight="false" outlineLevel="0" collapsed="false">
      <c r="A480" s="375"/>
      <c r="B480" s="375"/>
      <c r="C480" s="375"/>
      <c r="D480" s="375"/>
      <c r="E480" s="375"/>
      <c r="F480" s="375"/>
    </row>
    <row r="481" customFormat="false" ht="11.25" hidden="false" customHeight="false" outlineLevel="0" collapsed="false">
      <c r="A481" s="375"/>
      <c r="B481" s="375"/>
      <c r="C481" s="375"/>
      <c r="D481" s="375"/>
      <c r="E481" s="375"/>
      <c r="F481" s="375"/>
    </row>
    <row r="482" customFormat="false" ht="11.25" hidden="false" customHeight="false" outlineLevel="0" collapsed="false">
      <c r="A482" s="375"/>
      <c r="B482" s="375"/>
      <c r="C482" s="375"/>
      <c r="D482" s="375"/>
      <c r="E482" s="375"/>
      <c r="F482" s="375"/>
    </row>
    <row r="483" customFormat="false" ht="11.25" hidden="false" customHeight="false" outlineLevel="0" collapsed="false">
      <c r="A483" s="375"/>
      <c r="B483" s="375"/>
      <c r="C483" s="375"/>
      <c r="D483" s="375"/>
      <c r="E483" s="375"/>
      <c r="F483" s="375"/>
    </row>
    <row r="484" customFormat="false" ht="11.25" hidden="false" customHeight="false" outlineLevel="0" collapsed="false">
      <c r="A484" s="375"/>
      <c r="B484" s="375"/>
      <c r="C484" s="375"/>
      <c r="D484" s="375"/>
      <c r="E484" s="375"/>
      <c r="F484" s="375"/>
    </row>
    <row r="485" customFormat="false" ht="11.25" hidden="false" customHeight="false" outlineLevel="0" collapsed="false">
      <c r="A485" s="375"/>
      <c r="B485" s="375"/>
      <c r="C485" s="375"/>
      <c r="D485" s="375"/>
      <c r="E485" s="375"/>
      <c r="F485" s="375"/>
    </row>
    <row r="486" customFormat="false" ht="11.25" hidden="false" customHeight="false" outlineLevel="0" collapsed="false">
      <c r="A486" s="375"/>
      <c r="B486" s="375"/>
      <c r="C486" s="375"/>
      <c r="D486" s="375"/>
      <c r="E486" s="375"/>
      <c r="F486" s="375"/>
    </row>
    <row r="487" customFormat="false" ht="11.25" hidden="false" customHeight="false" outlineLevel="0" collapsed="false">
      <c r="A487" s="375"/>
      <c r="B487" s="375"/>
      <c r="C487" s="375"/>
      <c r="D487" s="375"/>
      <c r="E487" s="375"/>
      <c r="F487" s="375"/>
    </row>
    <row r="488" customFormat="false" ht="11.25" hidden="false" customHeight="false" outlineLevel="0" collapsed="false">
      <c r="A488" s="375"/>
      <c r="B488" s="375"/>
      <c r="C488" s="375"/>
      <c r="D488" s="375"/>
      <c r="E488" s="375"/>
      <c r="F488" s="375"/>
    </row>
    <row r="489" customFormat="false" ht="11.25" hidden="false" customHeight="false" outlineLevel="0" collapsed="false">
      <c r="A489" s="375"/>
      <c r="B489" s="375"/>
      <c r="C489" s="375"/>
      <c r="D489" s="375"/>
      <c r="E489" s="375"/>
      <c r="F489" s="375"/>
    </row>
    <row r="490" customFormat="false" ht="11.25" hidden="false" customHeight="false" outlineLevel="0" collapsed="false">
      <c r="A490" s="375"/>
      <c r="B490" s="375"/>
      <c r="C490" s="375"/>
      <c r="D490" s="375"/>
      <c r="E490" s="375"/>
      <c r="F490" s="375"/>
    </row>
    <row r="491" customFormat="false" ht="11.25" hidden="false" customHeight="false" outlineLevel="0" collapsed="false">
      <c r="A491" s="375"/>
      <c r="B491" s="375"/>
      <c r="C491" s="375"/>
      <c r="D491" s="375"/>
      <c r="E491" s="375"/>
      <c r="F491" s="375"/>
    </row>
    <row r="492" customFormat="false" ht="11.25" hidden="false" customHeight="false" outlineLevel="0" collapsed="false">
      <c r="A492" s="375"/>
      <c r="B492" s="375"/>
      <c r="C492" s="375"/>
      <c r="D492" s="375"/>
      <c r="E492" s="375"/>
      <c r="F492" s="375"/>
    </row>
    <row r="493" customFormat="false" ht="11.25" hidden="false" customHeight="false" outlineLevel="0" collapsed="false">
      <c r="A493" s="375"/>
      <c r="B493" s="375"/>
      <c r="C493" s="375"/>
      <c r="D493" s="375"/>
      <c r="E493" s="375"/>
      <c r="F493" s="375"/>
    </row>
    <row r="494" customFormat="false" ht="11.25" hidden="false" customHeight="false" outlineLevel="0" collapsed="false">
      <c r="A494" s="375"/>
      <c r="B494" s="375"/>
      <c r="C494" s="375"/>
      <c r="D494" s="375"/>
      <c r="E494" s="375"/>
      <c r="F494" s="375"/>
    </row>
    <row r="495" customFormat="false" ht="11.25" hidden="false" customHeight="false" outlineLevel="0" collapsed="false">
      <c r="A495" s="375"/>
      <c r="B495" s="375"/>
      <c r="C495" s="375"/>
      <c r="D495" s="375"/>
      <c r="E495" s="375"/>
      <c r="F495" s="375"/>
    </row>
    <row r="496" customFormat="false" ht="11.25" hidden="false" customHeight="false" outlineLevel="0" collapsed="false">
      <c r="A496" s="375"/>
      <c r="B496" s="375"/>
      <c r="C496" s="375"/>
      <c r="D496" s="375"/>
      <c r="E496" s="375"/>
      <c r="F496" s="375"/>
    </row>
    <row r="497" customFormat="false" ht="11.25" hidden="false" customHeight="false" outlineLevel="0" collapsed="false">
      <c r="A497" s="375"/>
      <c r="B497" s="375"/>
      <c r="C497" s="375"/>
      <c r="D497" s="375"/>
      <c r="E497" s="375"/>
      <c r="F497" s="375"/>
    </row>
    <row r="498" customFormat="false" ht="11.25" hidden="false" customHeight="false" outlineLevel="0" collapsed="false">
      <c r="A498" s="375"/>
      <c r="B498" s="375"/>
      <c r="C498" s="375"/>
      <c r="D498" s="375"/>
      <c r="E498" s="375"/>
      <c r="F498" s="375"/>
    </row>
    <row r="499" customFormat="false" ht="11.25" hidden="false" customHeight="false" outlineLevel="0" collapsed="false">
      <c r="A499" s="375"/>
      <c r="B499" s="375"/>
      <c r="C499" s="375"/>
      <c r="D499" s="375"/>
      <c r="E499" s="375"/>
      <c r="F499" s="375"/>
    </row>
    <row r="500" customFormat="false" ht="11.25" hidden="false" customHeight="false" outlineLevel="0" collapsed="false">
      <c r="A500" s="375"/>
      <c r="B500" s="375"/>
      <c r="C500" s="375"/>
      <c r="D500" s="375"/>
      <c r="E500" s="375"/>
      <c r="F500" s="375"/>
    </row>
    <row r="501" customFormat="false" ht="11.25" hidden="false" customHeight="false" outlineLevel="0" collapsed="false">
      <c r="A501" s="375"/>
      <c r="B501" s="375"/>
      <c r="C501" s="375"/>
      <c r="D501" s="375"/>
      <c r="E501" s="375"/>
      <c r="F501" s="375"/>
    </row>
    <row r="502" customFormat="false" ht="11.25" hidden="false" customHeight="false" outlineLevel="0" collapsed="false">
      <c r="A502" s="375"/>
      <c r="B502" s="375"/>
      <c r="C502" s="375"/>
      <c r="D502" s="375"/>
      <c r="E502" s="375"/>
      <c r="F502" s="375"/>
    </row>
    <row r="503" customFormat="false" ht="11.25" hidden="false" customHeight="false" outlineLevel="0" collapsed="false">
      <c r="A503" s="375"/>
      <c r="B503" s="375"/>
      <c r="C503" s="375"/>
      <c r="D503" s="375"/>
      <c r="E503" s="375"/>
      <c r="F503" s="375"/>
    </row>
    <row r="504" customFormat="false" ht="11.25" hidden="false" customHeight="false" outlineLevel="0" collapsed="false">
      <c r="A504" s="375"/>
      <c r="B504" s="375"/>
      <c r="C504" s="375"/>
      <c r="D504" s="375"/>
      <c r="E504" s="375"/>
      <c r="F504" s="375"/>
    </row>
    <row r="505" customFormat="false" ht="11.25" hidden="false" customHeight="false" outlineLevel="0" collapsed="false">
      <c r="A505" s="375"/>
      <c r="B505" s="375"/>
      <c r="C505" s="375"/>
      <c r="D505" s="375"/>
      <c r="E505" s="375"/>
      <c r="F505" s="375"/>
    </row>
    <row r="506" customFormat="false" ht="11.25" hidden="false" customHeight="false" outlineLevel="0" collapsed="false">
      <c r="A506" s="375"/>
      <c r="B506" s="375"/>
      <c r="C506" s="375"/>
      <c r="D506" s="375"/>
      <c r="E506" s="375"/>
      <c r="F506" s="375"/>
    </row>
    <row r="507" customFormat="false" ht="11.25" hidden="false" customHeight="false" outlineLevel="0" collapsed="false">
      <c r="A507" s="375"/>
      <c r="B507" s="375"/>
      <c r="C507" s="375"/>
      <c r="D507" s="375"/>
      <c r="E507" s="375"/>
      <c r="F507" s="375"/>
    </row>
    <row r="508" customFormat="false" ht="11.25" hidden="false" customHeight="false" outlineLevel="0" collapsed="false">
      <c r="A508" s="375"/>
      <c r="B508" s="375"/>
      <c r="C508" s="375"/>
      <c r="D508" s="375"/>
      <c r="E508" s="375"/>
      <c r="F508" s="375"/>
    </row>
    <row r="509" customFormat="false" ht="11.25" hidden="false" customHeight="false" outlineLevel="0" collapsed="false">
      <c r="A509" s="375"/>
      <c r="B509" s="375"/>
      <c r="C509" s="375"/>
      <c r="D509" s="375"/>
      <c r="E509" s="375"/>
      <c r="F509" s="375"/>
    </row>
    <row r="510" customFormat="false" ht="11.25" hidden="false" customHeight="false" outlineLevel="0" collapsed="false">
      <c r="A510" s="375"/>
      <c r="B510" s="375"/>
      <c r="C510" s="375"/>
      <c r="D510" s="375"/>
      <c r="E510" s="375"/>
      <c r="F510" s="375"/>
    </row>
    <row r="511" customFormat="false" ht="11.25" hidden="false" customHeight="false" outlineLevel="0" collapsed="false">
      <c r="A511" s="375"/>
      <c r="B511" s="375"/>
      <c r="C511" s="375"/>
      <c r="D511" s="375"/>
      <c r="E511" s="375"/>
      <c r="F511" s="375"/>
    </row>
    <row r="512" customFormat="false" ht="11.25" hidden="false" customHeight="false" outlineLevel="0" collapsed="false">
      <c r="A512" s="375"/>
      <c r="B512" s="375"/>
      <c r="C512" s="375"/>
      <c r="D512" s="375"/>
      <c r="E512" s="375"/>
      <c r="F512" s="375"/>
    </row>
    <row r="513" customFormat="false" ht="11.25" hidden="false" customHeight="false" outlineLevel="0" collapsed="false">
      <c r="A513" s="375"/>
      <c r="B513" s="375"/>
      <c r="C513" s="375"/>
      <c r="D513" s="375"/>
      <c r="E513" s="375"/>
      <c r="F513" s="375"/>
    </row>
    <row r="514" customFormat="false" ht="11.25" hidden="false" customHeight="false" outlineLevel="0" collapsed="false">
      <c r="A514" s="375"/>
      <c r="B514" s="375"/>
      <c r="C514" s="375"/>
      <c r="D514" s="375"/>
      <c r="E514" s="375"/>
      <c r="F514" s="375"/>
    </row>
    <row r="515" customFormat="false" ht="11.25" hidden="false" customHeight="false" outlineLevel="0" collapsed="false">
      <c r="A515" s="375"/>
      <c r="B515" s="375"/>
      <c r="C515" s="375"/>
      <c r="D515" s="375"/>
      <c r="E515" s="375"/>
      <c r="F515" s="375"/>
    </row>
    <row r="516" customFormat="false" ht="11.25" hidden="false" customHeight="false" outlineLevel="0" collapsed="false">
      <c r="A516" s="375"/>
      <c r="B516" s="375"/>
      <c r="C516" s="375"/>
      <c r="D516" s="375"/>
      <c r="E516" s="375"/>
      <c r="F516" s="375"/>
    </row>
    <row r="517" customFormat="false" ht="11.25" hidden="false" customHeight="false" outlineLevel="0" collapsed="false">
      <c r="A517" s="375"/>
      <c r="B517" s="375"/>
      <c r="C517" s="375"/>
      <c r="D517" s="375"/>
      <c r="E517" s="375"/>
      <c r="F517" s="375"/>
    </row>
    <row r="518" customFormat="false" ht="11.25" hidden="false" customHeight="false" outlineLevel="0" collapsed="false">
      <c r="A518" s="375"/>
      <c r="B518" s="375"/>
      <c r="C518" s="375"/>
      <c r="D518" s="375"/>
      <c r="E518" s="375"/>
      <c r="F518" s="375"/>
    </row>
    <row r="519" customFormat="false" ht="11.25" hidden="false" customHeight="false" outlineLevel="0" collapsed="false">
      <c r="A519" s="375"/>
      <c r="B519" s="375"/>
      <c r="C519" s="375"/>
      <c r="D519" s="375"/>
      <c r="E519" s="375"/>
      <c r="F519" s="375"/>
    </row>
    <row r="520" customFormat="false" ht="11.25" hidden="false" customHeight="false" outlineLevel="0" collapsed="false">
      <c r="A520" s="375"/>
      <c r="B520" s="375"/>
      <c r="C520" s="375"/>
      <c r="D520" s="375"/>
      <c r="E520" s="375"/>
      <c r="F520" s="375"/>
    </row>
    <row r="521" customFormat="false" ht="11.25" hidden="false" customHeight="false" outlineLevel="0" collapsed="false">
      <c r="A521" s="375"/>
      <c r="B521" s="375"/>
      <c r="C521" s="375"/>
      <c r="D521" s="375"/>
      <c r="E521" s="375"/>
      <c r="F521" s="375"/>
    </row>
    <row r="522" customFormat="false" ht="11.25" hidden="false" customHeight="false" outlineLevel="0" collapsed="false">
      <c r="A522" s="375"/>
      <c r="B522" s="375"/>
      <c r="C522" s="375"/>
      <c r="D522" s="375"/>
      <c r="E522" s="375"/>
      <c r="F522" s="375"/>
    </row>
    <row r="523" customFormat="false" ht="11.25" hidden="false" customHeight="false" outlineLevel="0" collapsed="false">
      <c r="A523" s="375"/>
      <c r="B523" s="375"/>
      <c r="C523" s="375"/>
      <c r="D523" s="375"/>
      <c r="E523" s="375"/>
      <c r="F523" s="375"/>
    </row>
    <row r="524" customFormat="false" ht="11.25" hidden="false" customHeight="false" outlineLevel="0" collapsed="false">
      <c r="A524" s="375"/>
      <c r="B524" s="375"/>
      <c r="C524" s="375"/>
      <c r="D524" s="375"/>
      <c r="E524" s="375"/>
      <c r="F524" s="375"/>
    </row>
    <row r="525" customFormat="false" ht="11.25" hidden="false" customHeight="false" outlineLevel="0" collapsed="false">
      <c r="A525" s="375"/>
      <c r="B525" s="375"/>
      <c r="C525" s="375"/>
      <c r="D525" s="375"/>
      <c r="E525" s="375"/>
      <c r="F525" s="375"/>
    </row>
    <row r="526" customFormat="false" ht="11.25" hidden="false" customHeight="false" outlineLevel="0" collapsed="false">
      <c r="A526" s="375"/>
      <c r="B526" s="375"/>
      <c r="C526" s="375"/>
      <c r="D526" s="375"/>
      <c r="E526" s="375"/>
      <c r="F526" s="375"/>
    </row>
    <row r="527" customFormat="false" ht="11.25" hidden="false" customHeight="false" outlineLevel="0" collapsed="false">
      <c r="A527" s="375"/>
      <c r="B527" s="375"/>
      <c r="C527" s="375"/>
      <c r="D527" s="375"/>
      <c r="E527" s="375"/>
      <c r="F527" s="375"/>
    </row>
    <row r="528" customFormat="false" ht="11.25" hidden="false" customHeight="false" outlineLevel="0" collapsed="false">
      <c r="A528" s="375"/>
      <c r="B528" s="375"/>
      <c r="C528" s="375"/>
      <c r="D528" s="375"/>
      <c r="E528" s="375"/>
      <c r="F528" s="375"/>
    </row>
    <row r="529" customFormat="false" ht="11.25" hidden="false" customHeight="false" outlineLevel="0" collapsed="false">
      <c r="A529" s="375"/>
      <c r="B529" s="375"/>
      <c r="C529" s="375"/>
      <c r="D529" s="375"/>
      <c r="E529" s="375"/>
      <c r="F529" s="375"/>
    </row>
    <row r="530" customFormat="false" ht="11.25" hidden="false" customHeight="false" outlineLevel="0" collapsed="false">
      <c r="A530" s="375"/>
      <c r="B530" s="375"/>
      <c r="C530" s="375"/>
      <c r="D530" s="375"/>
      <c r="E530" s="375"/>
      <c r="F530" s="375"/>
    </row>
    <row r="531" customFormat="false" ht="11.25" hidden="false" customHeight="false" outlineLevel="0" collapsed="false">
      <c r="A531" s="375"/>
      <c r="B531" s="375"/>
      <c r="C531" s="375"/>
      <c r="D531" s="375"/>
      <c r="E531" s="375"/>
      <c r="F531" s="375"/>
    </row>
    <row r="532" customFormat="false" ht="11.25" hidden="false" customHeight="false" outlineLevel="0" collapsed="false">
      <c r="A532" s="375"/>
      <c r="B532" s="375"/>
      <c r="C532" s="375"/>
      <c r="D532" s="375"/>
      <c r="E532" s="375"/>
      <c r="F532" s="375"/>
    </row>
    <row r="533" customFormat="false" ht="11.25" hidden="false" customHeight="false" outlineLevel="0" collapsed="false">
      <c r="A533" s="375"/>
      <c r="B533" s="375"/>
      <c r="C533" s="375"/>
      <c r="D533" s="375"/>
      <c r="E533" s="375"/>
      <c r="F533" s="375"/>
    </row>
    <row r="534" customFormat="false" ht="11.25" hidden="false" customHeight="false" outlineLevel="0" collapsed="false">
      <c r="A534" s="375"/>
      <c r="B534" s="375"/>
      <c r="C534" s="375"/>
      <c r="D534" s="375"/>
      <c r="E534" s="375"/>
      <c r="F534" s="375"/>
    </row>
    <row r="535" customFormat="false" ht="11.25" hidden="false" customHeight="false" outlineLevel="0" collapsed="false">
      <c r="A535" s="375"/>
      <c r="B535" s="375"/>
      <c r="C535" s="375"/>
      <c r="D535" s="375"/>
      <c r="E535" s="375"/>
      <c r="F535" s="375"/>
    </row>
    <row r="536" customFormat="false" ht="11.25" hidden="false" customHeight="false" outlineLevel="0" collapsed="false">
      <c r="A536" s="375"/>
      <c r="B536" s="375"/>
      <c r="C536" s="375"/>
      <c r="D536" s="375"/>
      <c r="E536" s="375"/>
      <c r="F536" s="375"/>
    </row>
    <row r="537" customFormat="false" ht="11.25" hidden="false" customHeight="false" outlineLevel="0" collapsed="false">
      <c r="A537" s="375"/>
      <c r="B537" s="375"/>
      <c r="C537" s="375"/>
      <c r="D537" s="375"/>
      <c r="E537" s="375"/>
      <c r="F537" s="375"/>
    </row>
    <row r="538" customFormat="false" ht="11.25" hidden="false" customHeight="false" outlineLevel="0" collapsed="false">
      <c r="A538" s="375"/>
      <c r="B538" s="375"/>
      <c r="C538" s="375"/>
      <c r="D538" s="375"/>
      <c r="E538" s="375"/>
      <c r="F538" s="375"/>
    </row>
    <row r="539" customFormat="false" ht="11.25" hidden="false" customHeight="false" outlineLevel="0" collapsed="false">
      <c r="A539" s="375"/>
      <c r="B539" s="375"/>
      <c r="C539" s="375"/>
      <c r="D539" s="375"/>
      <c r="E539" s="375"/>
      <c r="F539" s="375"/>
    </row>
    <row r="540" customFormat="false" ht="11.25" hidden="false" customHeight="false" outlineLevel="0" collapsed="false">
      <c r="A540" s="375"/>
      <c r="B540" s="375"/>
      <c r="C540" s="375"/>
      <c r="D540" s="375"/>
      <c r="E540" s="375"/>
      <c r="F540" s="375"/>
    </row>
    <row r="541" customFormat="false" ht="11.25" hidden="false" customHeight="false" outlineLevel="0" collapsed="false">
      <c r="A541" s="375"/>
      <c r="B541" s="375"/>
      <c r="C541" s="375"/>
      <c r="D541" s="375"/>
      <c r="E541" s="375"/>
      <c r="F541" s="375"/>
    </row>
    <row r="542" customFormat="false" ht="11.25" hidden="false" customHeight="false" outlineLevel="0" collapsed="false">
      <c r="A542" s="375"/>
      <c r="B542" s="375"/>
      <c r="C542" s="375"/>
      <c r="D542" s="375"/>
      <c r="E542" s="375"/>
      <c r="F542" s="375"/>
    </row>
    <row r="543" customFormat="false" ht="11.25" hidden="false" customHeight="false" outlineLevel="0" collapsed="false">
      <c r="A543" s="375"/>
      <c r="B543" s="375"/>
      <c r="C543" s="375"/>
      <c r="D543" s="375"/>
      <c r="E543" s="375"/>
      <c r="F543" s="375"/>
    </row>
    <row r="544" customFormat="false" ht="11.25" hidden="false" customHeight="false" outlineLevel="0" collapsed="false">
      <c r="A544" s="375"/>
      <c r="B544" s="375"/>
      <c r="C544" s="375"/>
      <c r="D544" s="375"/>
      <c r="E544" s="375"/>
      <c r="F544" s="375"/>
    </row>
    <row r="545" customFormat="false" ht="11.25" hidden="false" customHeight="false" outlineLevel="0" collapsed="false">
      <c r="A545" s="375"/>
      <c r="B545" s="375"/>
      <c r="C545" s="375"/>
      <c r="D545" s="375"/>
      <c r="E545" s="375"/>
      <c r="F545" s="375"/>
    </row>
    <row r="546" customFormat="false" ht="11.25" hidden="false" customHeight="false" outlineLevel="0" collapsed="false">
      <c r="A546" s="375"/>
      <c r="B546" s="375"/>
      <c r="C546" s="375"/>
      <c r="D546" s="375"/>
      <c r="E546" s="375"/>
      <c r="F546" s="375"/>
    </row>
    <row r="547" customFormat="false" ht="11.25" hidden="false" customHeight="false" outlineLevel="0" collapsed="false">
      <c r="A547" s="375"/>
      <c r="B547" s="375"/>
      <c r="C547" s="375"/>
      <c r="D547" s="375"/>
      <c r="E547" s="375"/>
      <c r="F547" s="375"/>
    </row>
    <row r="548" customFormat="false" ht="11.25" hidden="false" customHeight="false" outlineLevel="0" collapsed="false">
      <c r="A548" s="375"/>
      <c r="B548" s="375"/>
      <c r="C548" s="375"/>
      <c r="D548" s="375"/>
      <c r="E548" s="375"/>
      <c r="F548" s="375"/>
    </row>
    <row r="549" customFormat="false" ht="11.25" hidden="false" customHeight="false" outlineLevel="0" collapsed="false">
      <c r="A549" s="375"/>
      <c r="B549" s="375"/>
      <c r="C549" s="375"/>
      <c r="D549" s="375"/>
      <c r="E549" s="375"/>
      <c r="F549" s="375"/>
    </row>
    <row r="550" customFormat="false" ht="11.25" hidden="false" customHeight="false" outlineLevel="0" collapsed="false">
      <c r="A550" s="375"/>
      <c r="B550" s="375"/>
      <c r="C550" s="375"/>
      <c r="D550" s="375"/>
      <c r="E550" s="375"/>
      <c r="F550" s="375"/>
    </row>
    <row r="551" customFormat="false" ht="11.25" hidden="false" customHeight="false" outlineLevel="0" collapsed="false">
      <c r="A551" s="375"/>
      <c r="B551" s="375"/>
      <c r="C551" s="375"/>
      <c r="D551" s="375"/>
      <c r="E551" s="375"/>
      <c r="F551" s="375"/>
    </row>
    <row r="552" customFormat="false" ht="11.25" hidden="false" customHeight="false" outlineLevel="0" collapsed="false">
      <c r="A552" s="375"/>
      <c r="B552" s="375"/>
      <c r="C552" s="375"/>
      <c r="D552" s="375"/>
      <c r="E552" s="375"/>
      <c r="F552" s="375"/>
    </row>
    <row r="553" customFormat="false" ht="11.25" hidden="false" customHeight="false" outlineLevel="0" collapsed="false">
      <c r="A553" s="375"/>
      <c r="B553" s="375"/>
      <c r="C553" s="375"/>
      <c r="D553" s="375"/>
      <c r="E553" s="375"/>
      <c r="F553" s="375"/>
    </row>
    <row r="554" customFormat="false" ht="11.25" hidden="false" customHeight="false" outlineLevel="0" collapsed="false">
      <c r="A554" s="375"/>
      <c r="B554" s="375"/>
      <c r="C554" s="375"/>
      <c r="D554" s="375"/>
      <c r="E554" s="375"/>
      <c r="F554" s="375"/>
    </row>
    <row r="555" customFormat="false" ht="11.25" hidden="false" customHeight="false" outlineLevel="0" collapsed="false">
      <c r="A555" s="375"/>
      <c r="B555" s="375"/>
      <c r="C555" s="375"/>
      <c r="D555" s="375"/>
      <c r="E555" s="375"/>
      <c r="F555" s="375"/>
    </row>
    <row r="556" customFormat="false" ht="11.25" hidden="false" customHeight="false" outlineLevel="0" collapsed="false">
      <c r="A556" s="375"/>
      <c r="B556" s="375"/>
      <c r="C556" s="375"/>
      <c r="D556" s="375"/>
      <c r="E556" s="375"/>
      <c r="F556" s="375"/>
    </row>
    <row r="557" customFormat="false" ht="11.25" hidden="false" customHeight="false" outlineLevel="0" collapsed="false">
      <c r="A557" s="375"/>
      <c r="B557" s="375"/>
      <c r="C557" s="375"/>
      <c r="D557" s="375"/>
      <c r="E557" s="375"/>
      <c r="F557" s="375"/>
    </row>
    <row r="558" customFormat="false" ht="11.25" hidden="false" customHeight="false" outlineLevel="0" collapsed="false">
      <c r="A558" s="375"/>
      <c r="B558" s="375"/>
      <c r="C558" s="375"/>
      <c r="D558" s="375"/>
      <c r="E558" s="375"/>
      <c r="F558" s="375"/>
    </row>
    <row r="559" customFormat="false" ht="11.25" hidden="false" customHeight="false" outlineLevel="0" collapsed="false">
      <c r="A559" s="375"/>
      <c r="B559" s="375"/>
      <c r="C559" s="375"/>
      <c r="D559" s="375"/>
      <c r="E559" s="375"/>
      <c r="F559" s="375"/>
    </row>
    <row r="560" customFormat="false" ht="11.25" hidden="false" customHeight="false" outlineLevel="0" collapsed="false">
      <c r="A560" s="375"/>
      <c r="B560" s="375"/>
      <c r="C560" s="375"/>
      <c r="D560" s="375"/>
      <c r="E560" s="375"/>
      <c r="F560" s="375"/>
    </row>
    <row r="561" customFormat="false" ht="11.25" hidden="false" customHeight="false" outlineLevel="0" collapsed="false">
      <c r="A561" s="375"/>
      <c r="B561" s="375"/>
      <c r="C561" s="375"/>
      <c r="D561" s="375"/>
      <c r="E561" s="375"/>
      <c r="F561" s="375"/>
    </row>
    <row r="562" customFormat="false" ht="11.25" hidden="false" customHeight="false" outlineLevel="0" collapsed="false">
      <c r="A562" s="375"/>
      <c r="B562" s="375"/>
      <c r="C562" s="375"/>
      <c r="D562" s="375"/>
      <c r="E562" s="375"/>
      <c r="F562" s="375"/>
    </row>
    <row r="563" customFormat="false" ht="11.25" hidden="false" customHeight="false" outlineLevel="0" collapsed="false">
      <c r="A563" s="375"/>
      <c r="B563" s="375"/>
      <c r="C563" s="375"/>
      <c r="D563" s="375"/>
      <c r="E563" s="375"/>
      <c r="F563" s="375"/>
    </row>
    <row r="564" customFormat="false" ht="11.25" hidden="false" customHeight="false" outlineLevel="0" collapsed="false">
      <c r="A564" s="375"/>
      <c r="B564" s="375"/>
      <c r="C564" s="375"/>
      <c r="D564" s="375"/>
      <c r="E564" s="375"/>
      <c r="F564" s="375"/>
    </row>
    <row r="565" customFormat="false" ht="11.25" hidden="false" customHeight="false" outlineLevel="0" collapsed="false">
      <c r="A565" s="375"/>
      <c r="B565" s="375"/>
      <c r="C565" s="375"/>
      <c r="D565" s="375"/>
      <c r="E565" s="375"/>
      <c r="F565" s="375"/>
    </row>
    <row r="566" customFormat="false" ht="11.25" hidden="false" customHeight="false" outlineLevel="0" collapsed="false">
      <c r="A566" s="375"/>
      <c r="B566" s="375"/>
      <c r="C566" s="375"/>
      <c r="D566" s="375"/>
      <c r="E566" s="375"/>
      <c r="F566" s="375"/>
    </row>
    <row r="567" customFormat="false" ht="11.25" hidden="false" customHeight="false" outlineLevel="0" collapsed="false">
      <c r="A567" s="375"/>
      <c r="B567" s="375"/>
      <c r="C567" s="375"/>
      <c r="D567" s="375"/>
      <c r="E567" s="375"/>
      <c r="F567" s="375"/>
    </row>
    <row r="568" customFormat="false" ht="11.25" hidden="false" customHeight="false" outlineLevel="0" collapsed="false">
      <c r="A568" s="375"/>
      <c r="B568" s="375"/>
      <c r="C568" s="375"/>
      <c r="D568" s="375"/>
      <c r="E568" s="375"/>
      <c r="F568" s="375"/>
    </row>
    <row r="569" customFormat="false" ht="11.25" hidden="false" customHeight="false" outlineLevel="0" collapsed="false">
      <c r="A569" s="375"/>
      <c r="B569" s="375"/>
      <c r="C569" s="375"/>
      <c r="D569" s="375"/>
      <c r="E569" s="375"/>
      <c r="F569" s="375"/>
    </row>
    <row r="570" customFormat="false" ht="11.25" hidden="false" customHeight="false" outlineLevel="0" collapsed="false">
      <c r="A570" s="375"/>
      <c r="B570" s="375"/>
      <c r="C570" s="375"/>
      <c r="D570" s="375"/>
      <c r="E570" s="375"/>
      <c r="F570" s="375"/>
    </row>
    <row r="571" customFormat="false" ht="11.25" hidden="false" customHeight="false" outlineLevel="0" collapsed="false">
      <c r="A571" s="375"/>
      <c r="B571" s="375"/>
      <c r="C571" s="375"/>
      <c r="D571" s="375"/>
      <c r="E571" s="375"/>
      <c r="F571" s="375"/>
    </row>
    <row r="572" customFormat="false" ht="11.25" hidden="false" customHeight="false" outlineLevel="0" collapsed="false">
      <c r="A572" s="375"/>
      <c r="B572" s="375"/>
      <c r="C572" s="375"/>
      <c r="D572" s="375"/>
      <c r="E572" s="375"/>
      <c r="F572" s="375"/>
    </row>
    <row r="573" customFormat="false" ht="11.25" hidden="false" customHeight="false" outlineLevel="0" collapsed="false">
      <c r="A573" s="375"/>
      <c r="B573" s="375"/>
      <c r="C573" s="375"/>
      <c r="D573" s="375"/>
      <c r="E573" s="375"/>
      <c r="F573" s="375"/>
    </row>
    <row r="574" customFormat="false" ht="11.25" hidden="false" customHeight="false" outlineLevel="0" collapsed="false">
      <c r="A574" s="375"/>
      <c r="B574" s="375"/>
      <c r="C574" s="375"/>
      <c r="D574" s="375"/>
      <c r="E574" s="375"/>
      <c r="F574" s="375"/>
    </row>
    <row r="575" customFormat="false" ht="11.25" hidden="false" customHeight="false" outlineLevel="0" collapsed="false">
      <c r="A575" s="375"/>
      <c r="B575" s="375"/>
      <c r="C575" s="375"/>
      <c r="D575" s="375"/>
      <c r="E575" s="375"/>
      <c r="F575" s="375"/>
    </row>
    <row r="576" customFormat="false" ht="11.25" hidden="false" customHeight="false" outlineLevel="0" collapsed="false">
      <c r="A576" s="375"/>
      <c r="B576" s="375"/>
      <c r="C576" s="375"/>
      <c r="D576" s="375"/>
      <c r="E576" s="375"/>
      <c r="F576" s="375"/>
    </row>
    <row r="577" customFormat="false" ht="11.25" hidden="false" customHeight="false" outlineLevel="0" collapsed="false">
      <c r="A577" s="375"/>
      <c r="B577" s="375"/>
      <c r="C577" s="375"/>
      <c r="D577" s="375"/>
      <c r="E577" s="375"/>
      <c r="F577" s="375"/>
    </row>
    <row r="578" customFormat="false" ht="11.25" hidden="false" customHeight="false" outlineLevel="0" collapsed="false">
      <c r="A578" s="375"/>
      <c r="B578" s="375"/>
      <c r="C578" s="375"/>
      <c r="D578" s="375"/>
      <c r="E578" s="375"/>
      <c r="F578" s="375"/>
    </row>
    <row r="579" customFormat="false" ht="11.25" hidden="false" customHeight="false" outlineLevel="0" collapsed="false">
      <c r="A579" s="375"/>
      <c r="B579" s="375"/>
      <c r="C579" s="375"/>
      <c r="D579" s="375"/>
      <c r="E579" s="375"/>
      <c r="F579" s="375"/>
    </row>
    <row r="580" customFormat="false" ht="11.25" hidden="false" customHeight="false" outlineLevel="0" collapsed="false">
      <c r="A580" s="375"/>
      <c r="B580" s="375"/>
      <c r="C580" s="375"/>
      <c r="D580" s="375"/>
      <c r="E580" s="375"/>
      <c r="F580" s="375"/>
    </row>
    <row r="581" customFormat="false" ht="11.25" hidden="false" customHeight="false" outlineLevel="0" collapsed="false">
      <c r="A581" s="375"/>
      <c r="B581" s="375"/>
      <c r="C581" s="375"/>
      <c r="D581" s="375"/>
      <c r="E581" s="375"/>
      <c r="F581" s="375"/>
    </row>
    <row r="582" customFormat="false" ht="11.25" hidden="false" customHeight="false" outlineLevel="0" collapsed="false">
      <c r="A582" s="375"/>
      <c r="B582" s="375"/>
      <c r="C582" s="375"/>
      <c r="D582" s="375"/>
      <c r="E582" s="375"/>
      <c r="F582" s="375"/>
    </row>
    <row r="583" customFormat="false" ht="11.25" hidden="false" customHeight="false" outlineLevel="0" collapsed="false">
      <c r="A583" s="375"/>
      <c r="B583" s="375"/>
      <c r="C583" s="375"/>
      <c r="D583" s="375"/>
      <c r="E583" s="375"/>
      <c r="F583" s="375"/>
    </row>
    <row r="584" customFormat="false" ht="11.25" hidden="false" customHeight="false" outlineLevel="0" collapsed="false">
      <c r="A584" s="375"/>
      <c r="B584" s="375"/>
      <c r="C584" s="375"/>
      <c r="D584" s="375"/>
      <c r="E584" s="375"/>
      <c r="F584" s="375"/>
    </row>
    <row r="585" customFormat="false" ht="11.25" hidden="false" customHeight="false" outlineLevel="0" collapsed="false">
      <c r="A585" s="375"/>
      <c r="B585" s="375"/>
      <c r="C585" s="375"/>
      <c r="D585" s="375"/>
      <c r="E585" s="375"/>
      <c r="F585" s="375"/>
    </row>
    <row r="586" customFormat="false" ht="11.25" hidden="false" customHeight="false" outlineLevel="0" collapsed="false">
      <c r="A586" s="375"/>
      <c r="B586" s="375"/>
      <c r="C586" s="375"/>
      <c r="D586" s="375"/>
      <c r="E586" s="375"/>
      <c r="F586" s="375"/>
    </row>
    <row r="587" customFormat="false" ht="11.25" hidden="false" customHeight="false" outlineLevel="0" collapsed="false">
      <c r="A587" s="375"/>
      <c r="B587" s="375"/>
      <c r="C587" s="375"/>
      <c r="D587" s="375"/>
      <c r="E587" s="375"/>
      <c r="F587" s="375"/>
    </row>
    <row r="588" customFormat="false" ht="11.25" hidden="false" customHeight="false" outlineLevel="0" collapsed="false">
      <c r="A588" s="375"/>
      <c r="B588" s="375"/>
      <c r="C588" s="375"/>
      <c r="D588" s="375"/>
      <c r="E588" s="375"/>
      <c r="F588" s="375"/>
    </row>
    <row r="589" customFormat="false" ht="11.25" hidden="false" customHeight="false" outlineLevel="0" collapsed="false">
      <c r="A589" s="375"/>
      <c r="B589" s="375"/>
      <c r="C589" s="375"/>
      <c r="D589" s="375"/>
      <c r="E589" s="375"/>
      <c r="F589" s="375"/>
    </row>
    <row r="590" customFormat="false" ht="11.25" hidden="false" customHeight="false" outlineLevel="0" collapsed="false">
      <c r="A590" s="375"/>
      <c r="B590" s="375"/>
      <c r="C590" s="375"/>
      <c r="D590" s="375"/>
      <c r="E590" s="375"/>
      <c r="F590" s="375"/>
    </row>
    <row r="591" customFormat="false" ht="11.25" hidden="false" customHeight="false" outlineLevel="0" collapsed="false">
      <c r="A591" s="375"/>
      <c r="B591" s="375"/>
      <c r="C591" s="375"/>
      <c r="D591" s="375"/>
      <c r="E591" s="375"/>
      <c r="F591" s="375"/>
    </row>
    <row r="592" customFormat="false" ht="11.25" hidden="false" customHeight="false" outlineLevel="0" collapsed="false">
      <c r="A592" s="375"/>
      <c r="B592" s="375"/>
      <c r="C592" s="375"/>
      <c r="D592" s="375"/>
      <c r="E592" s="375"/>
      <c r="F592" s="375"/>
    </row>
    <row r="593" customFormat="false" ht="11.25" hidden="false" customHeight="false" outlineLevel="0" collapsed="false">
      <c r="A593" s="375"/>
      <c r="B593" s="375"/>
      <c r="C593" s="375"/>
      <c r="D593" s="375"/>
      <c r="E593" s="375"/>
      <c r="F593" s="375"/>
    </row>
    <row r="594" customFormat="false" ht="11.25" hidden="false" customHeight="false" outlineLevel="0" collapsed="false">
      <c r="A594" s="375"/>
      <c r="B594" s="375"/>
      <c r="C594" s="375"/>
      <c r="D594" s="375"/>
      <c r="E594" s="375"/>
      <c r="F594" s="375"/>
    </row>
    <row r="595" customFormat="false" ht="11.25" hidden="false" customHeight="false" outlineLevel="0" collapsed="false">
      <c r="A595" s="375"/>
      <c r="B595" s="375"/>
      <c r="C595" s="375"/>
      <c r="D595" s="375"/>
      <c r="E595" s="375"/>
      <c r="F595" s="375"/>
    </row>
    <row r="596" customFormat="false" ht="11.25" hidden="false" customHeight="false" outlineLevel="0" collapsed="false">
      <c r="A596" s="375"/>
      <c r="B596" s="375"/>
      <c r="C596" s="375"/>
      <c r="D596" s="375"/>
      <c r="E596" s="375"/>
      <c r="F596" s="375"/>
    </row>
    <row r="597" customFormat="false" ht="11.25" hidden="false" customHeight="false" outlineLevel="0" collapsed="false">
      <c r="A597" s="375"/>
      <c r="B597" s="375"/>
      <c r="C597" s="375"/>
      <c r="D597" s="375"/>
      <c r="E597" s="375"/>
      <c r="F597" s="375"/>
    </row>
    <row r="598" customFormat="false" ht="11.25" hidden="false" customHeight="false" outlineLevel="0" collapsed="false">
      <c r="A598" s="375"/>
      <c r="B598" s="375"/>
      <c r="C598" s="375"/>
      <c r="D598" s="375"/>
      <c r="E598" s="375"/>
      <c r="F598" s="375"/>
    </row>
    <row r="599" customFormat="false" ht="11.25" hidden="false" customHeight="false" outlineLevel="0" collapsed="false">
      <c r="A599" s="375"/>
      <c r="B599" s="375"/>
      <c r="C599" s="375"/>
      <c r="D599" s="375"/>
      <c r="E599" s="375"/>
      <c r="F599" s="375"/>
    </row>
    <row r="600" customFormat="false" ht="11.25" hidden="false" customHeight="false" outlineLevel="0" collapsed="false">
      <c r="A600" s="375"/>
      <c r="B600" s="375"/>
      <c r="C600" s="375"/>
      <c r="D600" s="375"/>
      <c r="E600" s="375"/>
      <c r="F600" s="375"/>
    </row>
    <row r="601" customFormat="false" ht="11.25" hidden="false" customHeight="false" outlineLevel="0" collapsed="false">
      <c r="A601" s="375"/>
      <c r="B601" s="375"/>
      <c r="C601" s="375"/>
      <c r="D601" s="375"/>
      <c r="E601" s="375"/>
      <c r="F601" s="375"/>
    </row>
    <row r="602" customFormat="false" ht="11.25" hidden="false" customHeight="false" outlineLevel="0" collapsed="false">
      <c r="A602" s="375"/>
      <c r="B602" s="375"/>
      <c r="C602" s="375"/>
      <c r="D602" s="375"/>
      <c r="E602" s="375"/>
      <c r="F602" s="375"/>
    </row>
    <row r="603" customFormat="false" ht="11.25" hidden="false" customHeight="false" outlineLevel="0" collapsed="false">
      <c r="A603" s="375"/>
      <c r="B603" s="375"/>
      <c r="C603" s="375"/>
      <c r="D603" s="375"/>
      <c r="E603" s="375"/>
      <c r="F603" s="375"/>
    </row>
    <row r="604" customFormat="false" ht="11.25" hidden="false" customHeight="false" outlineLevel="0" collapsed="false">
      <c r="A604" s="375"/>
      <c r="B604" s="375"/>
      <c r="C604" s="375"/>
      <c r="D604" s="375"/>
      <c r="E604" s="375"/>
      <c r="F604" s="375"/>
    </row>
    <row r="605" customFormat="false" ht="11.25" hidden="false" customHeight="false" outlineLevel="0" collapsed="false">
      <c r="A605" s="375"/>
      <c r="B605" s="375"/>
      <c r="C605" s="375"/>
      <c r="D605" s="375"/>
      <c r="E605" s="375"/>
      <c r="F605" s="375"/>
    </row>
    <row r="606" customFormat="false" ht="11.25" hidden="false" customHeight="false" outlineLevel="0" collapsed="false">
      <c r="A606" s="375"/>
      <c r="B606" s="375"/>
      <c r="C606" s="375"/>
      <c r="D606" s="375"/>
      <c r="E606" s="375"/>
      <c r="F606" s="375"/>
    </row>
    <row r="607" customFormat="false" ht="11.25" hidden="false" customHeight="false" outlineLevel="0" collapsed="false">
      <c r="A607" s="375"/>
      <c r="B607" s="375"/>
      <c r="C607" s="375"/>
      <c r="D607" s="375"/>
      <c r="E607" s="375"/>
      <c r="F607" s="375"/>
    </row>
    <row r="608" customFormat="false" ht="11.25" hidden="false" customHeight="false" outlineLevel="0" collapsed="false">
      <c r="A608" s="375"/>
      <c r="B608" s="375"/>
      <c r="C608" s="375"/>
      <c r="D608" s="375"/>
      <c r="E608" s="375"/>
      <c r="F608" s="375"/>
    </row>
    <row r="609" customFormat="false" ht="11.25" hidden="false" customHeight="false" outlineLevel="0" collapsed="false">
      <c r="A609" s="375"/>
      <c r="B609" s="375"/>
      <c r="C609" s="375"/>
      <c r="D609" s="375"/>
      <c r="E609" s="375"/>
      <c r="F609" s="375"/>
    </row>
    <row r="610" customFormat="false" ht="11.25" hidden="false" customHeight="false" outlineLevel="0" collapsed="false">
      <c r="A610" s="375"/>
      <c r="B610" s="375"/>
      <c r="C610" s="375"/>
      <c r="D610" s="375"/>
      <c r="E610" s="375"/>
      <c r="F610" s="375"/>
    </row>
    <row r="611" customFormat="false" ht="11.25" hidden="false" customHeight="false" outlineLevel="0" collapsed="false">
      <c r="A611" s="375"/>
      <c r="B611" s="375"/>
      <c r="C611" s="375"/>
      <c r="D611" s="375"/>
      <c r="E611" s="375"/>
      <c r="F611" s="375"/>
    </row>
    <row r="612" customFormat="false" ht="11.25" hidden="false" customHeight="false" outlineLevel="0" collapsed="false">
      <c r="A612" s="375"/>
      <c r="B612" s="375"/>
      <c r="C612" s="375"/>
      <c r="D612" s="375"/>
      <c r="E612" s="375"/>
      <c r="F612" s="375"/>
    </row>
    <row r="613" customFormat="false" ht="11.25" hidden="false" customHeight="false" outlineLevel="0" collapsed="false">
      <c r="A613" s="375"/>
      <c r="B613" s="375"/>
      <c r="C613" s="375"/>
      <c r="D613" s="375"/>
      <c r="E613" s="375"/>
      <c r="F613" s="375"/>
    </row>
    <row r="614" customFormat="false" ht="11.25" hidden="false" customHeight="false" outlineLevel="0" collapsed="false">
      <c r="A614" s="375"/>
      <c r="B614" s="375"/>
      <c r="C614" s="375"/>
      <c r="D614" s="375"/>
      <c r="E614" s="375"/>
      <c r="F614" s="375"/>
    </row>
    <row r="615" customFormat="false" ht="11.25" hidden="false" customHeight="false" outlineLevel="0" collapsed="false">
      <c r="A615" s="375"/>
      <c r="B615" s="375"/>
      <c r="C615" s="375"/>
      <c r="D615" s="375"/>
      <c r="E615" s="375"/>
      <c r="F615" s="375"/>
    </row>
    <row r="616" customFormat="false" ht="11.25" hidden="false" customHeight="false" outlineLevel="0" collapsed="false">
      <c r="A616" s="375"/>
      <c r="B616" s="375"/>
      <c r="C616" s="375"/>
      <c r="D616" s="375"/>
      <c r="E616" s="375"/>
      <c r="F616" s="375"/>
    </row>
    <row r="617" customFormat="false" ht="11.25" hidden="false" customHeight="false" outlineLevel="0" collapsed="false">
      <c r="A617" s="375"/>
      <c r="B617" s="375"/>
      <c r="C617" s="375"/>
      <c r="D617" s="375"/>
      <c r="E617" s="375"/>
      <c r="F617" s="375"/>
    </row>
    <row r="618" customFormat="false" ht="11.25" hidden="false" customHeight="false" outlineLevel="0" collapsed="false">
      <c r="A618" s="375"/>
      <c r="B618" s="375"/>
      <c r="C618" s="375"/>
      <c r="D618" s="375"/>
      <c r="E618" s="375"/>
      <c r="F618" s="375"/>
    </row>
    <row r="619" customFormat="false" ht="11.25" hidden="false" customHeight="false" outlineLevel="0" collapsed="false">
      <c r="A619" s="375"/>
      <c r="B619" s="375"/>
      <c r="C619" s="375"/>
      <c r="D619" s="375"/>
      <c r="E619" s="375"/>
      <c r="F619" s="375"/>
    </row>
    <row r="620" customFormat="false" ht="11.25" hidden="false" customHeight="false" outlineLevel="0" collapsed="false">
      <c r="A620" s="375"/>
      <c r="B620" s="375"/>
      <c r="C620" s="375"/>
      <c r="D620" s="375"/>
      <c r="E620" s="375"/>
      <c r="F620" s="375"/>
    </row>
    <row r="621" customFormat="false" ht="11.25" hidden="false" customHeight="false" outlineLevel="0" collapsed="false">
      <c r="A621" s="375"/>
      <c r="B621" s="375"/>
      <c r="C621" s="375"/>
      <c r="D621" s="375"/>
      <c r="E621" s="375"/>
      <c r="F621" s="375"/>
    </row>
    <row r="622" customFormat="false" ht="11.25" hidden="false" customHeight="false" outlineLevel="0" collapsed="false">
      <c r="A622" s="375"/>
      <c r="B622" s="375"/>
      <c r="C622" s="375"/>
      <c r="D622" s="375"/>
      <c r="E622" s="375"/>
      <c r="F622" s="375"/>
    </row>
    <row r="623" customFormat="false" ht="11.25" hidden="false" customHeight="false" outlineLevel="0" collapsed="false">
      <c r="A623" s="375"/>
      <c r="B623" s="375"/>
      <c r="C623" s="375"/>
      <c r="D623" s="375"/>
      <c r="E623" s="375"/>
      <c r="F623" s="375"/>
    </row>
    <row r="624" customFormat="false" ht="11.25" hidden="false" customHeight="false" outlineLevel="0" collapsed="false">
      <c r="A624" s="375"/>
      <c r="B624" s="375"/>
      <c r="C624" s="375"/>
      <c r="D624" s="375"/>
      <c r="E624" s="375"/>
      <c r="F624" s="375"/>
    </row>
    <row r="625" customFormat="false" ht="11.25" hidden="false" customHeight="false" outlineLevel="0" collapsed="false">
      <c r="A625" s="375"/>
      <c r="B625" s="375"/>
      <c r="C625" s="375"/>
      <c r="D625" s="375"/>
      <c r="E625" s="375"/>
      <c r="F625" s="375"/>
    </row>
    <row r="626" customFormat="false" ht="11.25" hidden="false" customHeight="false" outlineLevel="0" collapsed="false">
      <c r="A626" s="375"/>
      <c r="B626" s="375"/>
      <c r="C626" s="375"/>
      <c r="D626" s="375"/>
      <c r="E626" s="375"/>
      <c r="F626" s="375"/>
    </row>
    <row r="627" customFormat="false" ht="11.25" hidden="false" customHeight="false" outlineLevel="0" collapsed="false">
      <c r="A627" s="375"/>
      <c r="B627" s="375"/>
      <c r="C627" s="375"/>
      <c r="D627" s="375"/>
      <c r="E627" s="375"/>
      <c r="F627" s="375"/>
    </row>
    <row r="628" customFormat="false" ht="11.25" hidden="false" customHeight="false" outlineLevel="0" collapsed="false">
      <c r="A628" s="375"/>
      <c r="B628" s="375"/>
      <c r="C628" s="375"/>
      <c r="D628" s="375"/>
      <c r="E628" s="375"/>
      <c r="F628" s="375"/>
    </row>
    <row r="629" customFormat="false" ht="11.25" hidden="false" customHeight="false" outlineLevel="0" collapsed="false">
      <c r="A629" s="375"/>
      <c r="B629" s="375"/>
      <c r="C629" s="375"/>
      <c r="D629" s="375"/>
      <c r="E629" s="375"/>
      <c r="F629" s="375"/>
    </row>
    <row r="630" customFormat="false" ht="11.25" hidden="false" customHeight="false" outlineLevel="0" collapsed="false">
      <c r="A630" s="375"/>
      <c r="B630" s="375"/>
      <c r="C630" s="375"/>
      <c r="D630" s="375"/>
      <c r="E630" s="375"/>
      <c r="F630" s="375"/>
    </row>
    <row r="631" customFormat="false" ht="11.25" hidden="false" customHeight="false" outlineLevel="0" collapsed="false">
      <c r="A631" s="375"/>
      <c r="B631" s="375"/>
      <c r="C631" s="375"/>
      <c r="D631" s="375"/>
      <c r="E631" s="375"/>
      <c r="F631" s="375"/>
    </row>
    <row r="632" customFormat="false" ht="11.25" hidden="false" customHeight="false" outlineLevel="0" collapsed="false">
      <c r="A632" s="375"/>
      <c r="B632" s="375"/>
      <c r="C632" s="375"/>
      <c r="D632" s="375"/>
      <c r="E632" s="375"/>
      <c r="F632" s="375"/>
    </row>
    <row r="633" customFormat="false" ht="11.25" hidden="false" customHeight="false" outlineLevel="0" collapsed="false">
      <c r="A633" s="375"/>
      <c r="B633" s="375"/>
      <c r="C633" s="375"/>
      <c r="D633" s="375"/>
      <c r="E633" s="375"/>
      <c r="F633" s="375"/>
    </row>
    <row r="634" customFormat="false" ht="11.25" hidden="false" customHeight="false" outlineLevel="0" collapsed="false">
      <c r="A634" s="375"/>
      <c r="B634" s="375"/>
      <c r="C634" s="375"/>
      <c r="D634" s="375"/>
      <c r="E634" s="375"/>
      <c r="F634" s="375"/>
    </row>
    <row r="635" customFormat="false" ht="11.25" hidden="false" customHeight="false" outlineLevel="0" collapsed="false">
      <c r="A635" s="375"/>
      <c r="B635" s="375"/>
      <c r="C635" s="375"/>
      <c r="D635" s="375"/>
      <c r="E635" s="375"/>
      <c r="F635" s="375"/>
    </row>
    <row r="636" customFormat="false" ht="11.25" hidden="false" customHeight="false" outlineLevel="0" collapsed="false">
      <c r="A636" s="375"/>
      <c r="B636" s="375"/>
      <c r="C636" s="375"/>
      <c r="D636" s="375"/>
      <c r="E636" s="375"/>
      <c r="F636" s="375"/>
    </row>
    <row r="637" customFormat="false" ht="11.25" hidden="false" customHeight="false" outlineLevel="0" collapsed="false">
      <c r="A637" s="375"/>
      <c r="B637" s="375"/>
      <c r="C637" s="375"/>
      <c r="D637" s="375"/>
      <c r="E637" s="375"/>
      <c r="F637" s="375"/>
    </row>
    <row r="638" customFormat="false" ht="11.25" hidden="false" customHeight="false" outlineLevel="0" collapsed="false">
      <c r="A638" s="375"/>
      <c r="B638" s="375"/>
      <c r="C638" s="375"/>
      <c r="D638" s="375"/>
      <c r="E638" s="375"/>
      <c r="F638" s="375"/>
    </row>
    <row r="639" customFormat="false" ht="11.25" hidden="false" customHeight="false" outlineLevel="0" collapsed="false">
      <c r="A639" s="375"/>
      <c r="B639" s="375"/>
      <c r="C639" s="375"/>
      <c r="D639" s="375"/>
      <c r="E639" s="375"/>
      <c r="F639" s="375"/>
    </row>
    <row r="640" customFormat="false" ht="11.25" hidden="false" customHeight="false" outlineLevel="0" collapsed="false">
      <c r="A640" s="375"/>
      <c r="B640" s="375"/>
      <c r="C640" s="375"/>
      <c r="D640" s="375"/>
      <c r="E640" s="375"/>
      <c r="F640" s="375"/>
    </row>
    <row r="641" customFormat="false" ht="11.25" hidden="false" customHeight="false" outlineLevel="0" collapsed="false">
      <c r="A641" s="375"/>
      <c r="B641" s="375"/>
      <c r="C641" s="375"/>
      <c r="D641" s="375"/>
      <c r="E641" s="375"/>
      <c r="F641" s="375"/>
    </row>
    <row r="642" customFormat="false" ht="11.25" hidden="false" customHeight="false" outlineLevel="0" collapsed="false">
      <c r="A642" s="375"/>
      <c r="B642" s="375"/>
      <c r="C642" s="375"/>
      <c r="D642" s="375"/>
      <c r="E642" s="375"/>
      <c r="F642" s="375"/>
    </row>
    <row r="643" customFormat="false" ht="11.25" hidden="false" customHeight="false" outlineLevel="0" collapsed="false">
      <c r="A643" s="375"/>
      <c r="B643" s="375"/>
      <c r="C643" s="375"/>
      <c r="D643" s="375"/>
      <c r="E643" s="375"/>
      <c r="F643" s="375"/>
    </row>
    <row r="644" customFormat="false" ht="11.25" hidden="false" customHeight="false" outlineLevel="0" collapsed="false">
      <c r="A644" s="375"/>
      <c r="B644" s="375"/>
      <c r="C644" s="375"/>
      <c r="D644" s="375"/>
      <c r="E644" s="375"/>
      <c r="F644" s="375"/>
    </row>
    <row r="645" customFormat="false" ht="11.25" hidden="false" customHeight="false" outlineLevel="0" collapsed="false">
      <c r="A645" s="375"/>
      <c r="B645" s="375"/>
      <c r="C645" s="375"/>
      <c r="D645" s="375"/>
      <c r="E645" s="375"/>
      <c r="F645" s="375"/>
    </row>
    <row r="646" customFormat="false" ht="11.25" hidden="false" customHeight="false" outlineLevel="0" collapsed="false">
      <c r="A646" s="375"/>
      <c r="B646" s="375"/>
      <c r="C646" s="375"/>
      <c r="D646" s="375"/>
      <c r="E646" s="375"/>
      <c r="F646" s="375"/>
    </row>
    <row r="647" customFormat="false" ht="11.25" hidden="false" customHeight="false" outlineLevel="0" collapsed="false">
      <c r="A647" s="375"/>
      <c r="B647" s="375"/>
      <c r="C647" s="375"/>
      <c r="D647" s="375"/>
      <c r="E647" s="375"/>
      <c r="F647" s="375"/>
    </row>
    <row r="648" customFormat="false" ht="11.25" hidden="false" customHeight="false" outlineLevel="0" collapsed="false">
      <c r="A648" s="375"/>
      <c r="B648" s="375"/>
      <c r="C648" s="375"/>
      <c r="D648" s="375"/>
      <c r="E648" s="375"/>
      <c r="F648" s="375"/>
    </row>
    <row r="649" customFormat="false" ht="11.25" hidden="false" customHeight="false" outlineLevel="0" collapsed="false">
      <c r="A649" s="375"/>
      <c r="B649" s="375"/>
      <c r="C649" s="375"/>
      <c r="D649" s="375"/>
      <c r="E649" s="375"/>
      <c r="F649" s="375"/>
    </row>
    <row r="650" customFormat="false" ht="11.25" hidden="false" customHeight="false" outlineLevel="0" collapsed="false">
      <c r="A650" s="375"/>
      <c r="B650" s="375"/>
      <c r="C650" s="375"/>
      <c r="D650" s="375"/>
      <c r="E650" s="375"/>
      <c r="F650" s="375"/>
    </row>
    <row r="651" customFormat="false" ht="11.25" hidden="false" customHeight="false" outlineLevel="0" collapsed="false">
      <c r="A651" s="375"/>
      <c r="B651" s="375"/>
      <c r="C651" s="375"/>
      <c r="D651" s="375"/>
      <c r="E651" s="375"/>
      <c r="F651" s="375"/>
    </row>
    <row r="652" customFormat="false" ht="11.25" hidden="false" customHeight="false" outlineLevel="0" collapsed="false">
      <c r="A652" s="375"/>
      <c r="B652" s="375"/>
      <c r="C652" s="375"/>
      <c r="D652" s="375"/>
      <c r="E652" s="375"/>
      <c r="F652" s="375"/>
    </row>
    <row r="653" customFormat="false" ht="11.25" hidden="false" customHeight="false" outlineLevel="0" collapsed="false">
      <c r="A653" s="375"/>
      <c r="B653" s="375"/>
      <c r="C653" s="375"/>
      <c r="D653" s="375"/>
      <c r="E653" s="375"/>
      <c r="F653" s="375"/>
    </row>
    <row r="654" customFormat="false" ht="11.25" hidden="false" customHeight="false" outlineLevel="0" collapsed="false">
      <c r="A654" s="375"/>
      <c r="B654" s="375"/>
      <c r="C654" s="375"/>
      <c r="D654" s="375"/>
      <c r="E654" s="375"/>
      <c r="F654" s="375"/>
    </row>
    <row r="655" customFormat="false" ht="11.25" hidden="false" customHeight="false" outlineLevel="0" collapsed="false">
      <c r="A655" s="375"/>
      <c r="B655" s="375"/>
      <c r="C655" s="375"/>
      <c r="D655" s="375"/>
      <c r="E655" s="375"/>
      <c r="F655" s="375"/>
    </row>
    <row r="656" customFormat="false" ht="11.25" hidden="false" customHeight="false" outlineLevel="0" collapsed="false">
      <c r="A656" s="375"/>
      <c r="B656" s="375"/>
      <c r="C656" s="375"/>
      <c r="D656" s="375"/>
      <c r="E656" s="375"/>
      <c r="F656" s="375"/>
    </row>
    <row r="657" customFormat="false" ht="11.25" hidden="false" customHeight="false" outlineLevel="0" collapsed="false">
      <c r="A657" s="375"/>
      <c r="B657" s="375"/>
      <c r="C657" s="375"/>
      <c r="D657" s="375"/>
      <c r="E657" s="375"/>
      <c r="F657" s="375"/>
    </row>
    <row r="658" customFormat="false" ht="11.25" hidden="false" customHeight="false" outlineLevel="0" collapsed="false">
      <c r="A658" s="375"/>
      <c r="B658" s="375"/>
      <c r="C658" s="375"/>
      <c r="D658" s="375"/>
      <c r="E658" s="375"/>
      <c r="F658" s="375"/>
    </row>
    <row r="659" customFormat="false" ht="11.25" hidden="false" customHeight="false" outlineLevel="0" collapsed="false">
      <c r="A659" s="375"/>
      <c r="B659" s="375"/>
      <c r="C659" s="375"/>
      <c r="D659" s="375"/>
      <c r="E659" s="375"/>
      <c r="F659" s="375"/>
    </row>
    <row r="660" customFormat="false" ht="11.25" hidden="false" customHeight="false" outlineLevel="0" collapsed="false">
      <c r="A660" s="375"/>
      <c r="B660" s="375"/>
      <c r="C660" s="375"/>
      <c r="D660" s="375"/>
      <c r="E660" s="375"/>
      <c r="F660" s="375"/>
    </row>
    <row r="661" customFormat="false" ht="11.25" hidden="false" customHeight="false" outlineLevel="0" collapsed="false">
      <c r="A661" s="375"/>
      <c r="B661" s="375"/>
      <c r="C661" s="375"/>
      <c r="D661" s="375"/>
      <c r="E661" s="375"/>
      <c r="F661" s="375"/>
    </row>
    <row r="662" customFormat="false" ht="11.25" hidden="false" customHeight="false" outlineLevel="0" collapsed="false">
      <c r="A662" s="375"/>
      <c r="B662" s="375"/>
      <c r="C662" s="375"/>
      <c r="D662" s="375"/>
      <c r="E662" s="375"/>
      <c r="F662" s="375"/>
    </row>
    <row r="663" customFormat="false" ht="11.25" hidden="false" customHeight="false" outlineLevel="0" collapsed="false">
      <c r="A663" s="375"/>
      <c r="B663" s="375"/>
      <c r="C663" s="375"/>
      <c r="D663" s="375"/>
      <c r="E663" s="375"/>
      <c r="F663" s="375"/>
    </row>
    <row r="664" customFormat="false" ht="11.25" hidden="false" customHeight="false" outlineLevel="0" collapsed="false">
      <c r="A664" s="375"/>
      <c r="B664" s="375"/>
      <c r="C664" s="375"/>
      <c r="D664" s="375"/>
      <c r="E664" s="375"/>
      <c r="F664" s="375"/>
    </row>
    <row r="665" customFormat="false" ht="11.25" hidden="false" customHeight="false" outlineLevel="0" collapsed="false">
      <c r="A665" s="375"/>
      <c r="B665" s="375"/>
      <c r="C665" s="375"/>
      <c r="D665" s="375"/>
      <c r="E665" s="375"/>
      <c r="F665" s="375"/>
    </row>
    <row r="666" customFormat="false" ht="11.25" hidden="false" customHeight="false" outlineLevel="0" collapsed="false">
      <c r="A666" s="375"/>
      <c r="B666" s="375"/>
      <c r="C666" s="375"/>
      <c r="D666" s="375"/>
      <c r="E666" s="375"/>
      <c r="F666" s="375"/>
    </row>
    <row r="667" customFormat="false" ht="11.25" hidden="false" customHeight="false" outlineLevel="0" collapsed="false">
      <c r="A667" s="375"/>
      <c r="B667" s="375"/>
      <c r="C667" s="375"/>
      <c r="D667" s="375"/>
      <c r="E667" s="375"/>
      <c r="F667" s="375"/>
    </row>
    <row r="668" customFormat="false" ht="11.25" hidden="false" customHeight="false" outlineLevel="0" collapsed="false">
      <c r="A668" s="375"/>
      <c r="B668" s="375"/>
      <c r="C668" s="375"/>
      <c r="D668" s="375"/>
      <c r="E668" s="375"/>
      <c r="F668" s="375"/>
    </row>
    <row r="669" customFormat="false" ht="11.25" hidden="false" customHeight="false" outlineLevel="0" collapsed="false">
      <c r="A669" s="375"/>
      <c r="B669" s="375"/>
      <c r="C669" s="375"/>
      <c r="D669" s="375"/>
      <c r="E669" s="375"/>
      <c r="F669" s="375"/>
    </row>
    <row r="670" customFormat="false" ht="11.25" hidden="false" customHeight="false" outlineLevel="0" collapsed="false">
      <c r="A670" s="375"/>
      <c r="B670" s="375"/>
      <c r="C670" s="375"/>
      <c r="D670" s="375"/>
      <c r="E670" s="375"/>
      <c r="F670" s="375"/>
    </row>
    <row r="671" customFormat="false" ht="11.25" hidden="false" customHeight="false" outlineLevel="0" collapsed="false">
      <c r="A671" s="375"/>
      <c r="B671" s="375"/>
      <c r="C671" s="375"/>
      <c r="D671" s="375"/>
      <c r="E671" s="375"/>
      <c r="F671" s="375"/>
    </row>
    <row r="672" customFormat="false" ht="11.25" hidden="false" customHeight="false" outlineLevel="0" collapsed="false">
      <c r="A672" s="375"/>
      <c r="B672" s="375"/>
      <c r="C672" s="375"/>
      <c r="D672" s="375"/>
      <c r="E672" s="375"/>
      <c r="F672" s="375"/>
    </row>
    <row r="673" customFormat="false" ht="11.25" hidden="false" customHeight="false" outlineLevel="0" collapsed="false">
      <c r="A673" s="375"/>
      <c r="B673" s="375"/>
      <c r="C673" s="375"/>
      <c r="D673" s="375"/>
      <c r="E673" s="375"/>
      <c r="F673" s="375"/>
    </row>
    <row r="674" customFormat="false" ht="11.25" hidden="false" customHeight="false" outlineLevel="0" collapsed="false">
      <c r="A674" s="375"/>
      <c r="B674" s="375"/>
      <c r="C674" s="375"/>
      <c r="D674" s="375"/>
      <c r="E674" s="375"/>
      <c r="F674" s="375"/>
    </row>
    <row r="675" customFormat="false" ht="11.25" hidden="false" customHeight="false" outlineLevel="0" collapsed="false">
      <c r="A675" s="375"/>
      <c r="B675" s="375"/>
      <c r="C675" s="375"/>
      <c r="D675" s="375"/>
      <c r="E675" s="375"/>
      <c r="F675" s="375"/>
    </row>
    <row r="676" customFormat="false" ht="11.25" hidden="false" customHeight="false" outlineLevel="0" collapsed="false">
      <c r="A676" s="375"/>
      <c r="B676" s="375"/>
      <c r="C676" s="375"/>
      <c r="D676" s="375"/>
      <c r="E676" s="375"/>
      <c r="F676" s="375"/>
    </row>
    <row r="677" customFormat="false" ht="11.25" hidden="false" customHeight="false" outlineLevel="0" collapsed="false">
      <c r="A677" s="375"/>
      <c r="B677" s="375"/>
      <c r="C677" s="375"/>
      <c r="D677" s="375"/>
      <c r="E677" s="375"/>
      <c r="F677" s="375"/>
    </row>
    <row r="678" customFormat="false" ht="11.25" hidden="false" customHeight="false" outlineLevel="0" collapsed="false">
      <c r="A678" s="375"/>
      <c r="B678" s="375"/>
      <c r="C678" s="375"/>
      <c r="D678" s="375"/>
      <c r="E678" s="375"/>
      <c r="F678" s="375"/>
    </row>
    <row r="679" customFormat="false" ht="11.25" hidden="false" customHeight="false" outlineLevel="0" collapsed="false">
      <c r="A679" s="375"/>
      <c r="B679" s="375"/>
      <c r="C679" s="375"/>
      <c r="D679" s="375"/>
      <c r="E679" s="375"/>
      <c r="F679" s="375"/>
    </row>
    <row r="680" customFormat="false" ht="11.25" hidden="false" customHeight="false" outlineLevel="0" collapsed="false">
      <c r="A680" s="375"/>
      <c r="B680" s="375"/>
      <c r="C680" s="375"/>
      <c r="D680" s="375"/>
      <c r="E680" s="375"/>
      <c r="F680" s="375"/>
    </row>
    <row r="681" customFormat="false" ht="11.25" hidden="false" customHeight="false" outlineLevel="0" collapsed="false">
      <c r="A681" s="375"/>
      <c r="B681" s="375"/>
      <c r="C681" s="375"/>
      <c r="D681" s="375"/>
      <c r="E681" s="375"/>
      <c r="F681" s="375"/>
    </row>
    <row r="682" customFormat="false" ht="11.25" hidden="false" customHeight="false" outlineLevel="0" collapsed="false">
      <c r="A682" s="375"/>
      <c r="B682" s="375"/>
      <c r="C682" s="375"/>
      <c r="D682" s="375"/>
      <c r="E682" s="375"/>
      <c r="F682" s="375"/>
    </row>
    <row r="683" customFormat="false" ht="11.25" hidden="false" customHeight="false" outlineLevel="0" collapsed="false">
      <c r="A683" s="375"/>
      <c r="B683" s="375"/>
      <c r="C683" s="375"/>
      <c r="D683" s="375"/>
      <c r="E683" s="375"/>
      <c r="F683" s="375"/>
    </row>
    <row r="684" customFormat="false" ht="11.25" hidden="false" customHeight="false" outlineLevel="0" collapsed="false">
      <c r="A684" s="375"/>
      <c r="B684" s="375"/>
      <c r="C684" s="375"/>
      <c r="D684" s="375"/>
      <c r="E684" s="375"/>
      <c r="F684" s="375"/>
    </row>
    <row r="685" customFormat="false" ht="11.25" hidden="false" customHeight="false" outlineLevel="0" collapsed="false">
      <c r="A685" s="375"/>
      <c r="B685" s="375"/>
      <c r="C685" s="375"/>
      <c r="D685" s="375"/>
      <c r="E685" s="375"/>
      <c r="F685" s="375"/>
    </row>
    <row r="686" customFormat="false" ht="11.25" hidden="false" customHeight="false" outlineLevel="0" collapsed="false">
      <c r="A686" s="375"/>
      <c r="B686" s="375"/>
      <c r="C686" s="375"/>
      <c r="D686" s="375"/>
      <c r="E686" s="375"/>
      <c r="F686" s="375"/>
    </row>
    <row r="687" customFormat="false" ht="11.25" hidden="false" customHeight="false" outlineLevel="0" collapsed="false">
      <c r="A687" s="375"/>
      <c r="B687" s="375"/>
      <c r="C687" s="375"/>
      <c r="D687" s="375"/>
      <c r="E687" s="375"/>
      <c r="F687" s="375"/>
    </row>
    <row r="688" customFormat="false" ht="11.25" hidden="false" customHeight="false" outlineLevel="0" collapsed="false">
      <c r="A688" s="375"/>
      <c r="B688" s="375"/>
      <c r="C688" s="375"/>
      <c r="D688" s="375"/>
      <c r="E688" s="375"/>
      <c r="F688" s="375"/>
    </row>
    <row r="689" customFormat="false" ht="11.25" hidden="false" customHeight="false" outlineLevel="0" collapsed="false">
      <c r="A689" s="375"/>
      <c r="B689" s="375"/>
      <c r="C689" s="375"/>
      <c r="D689" s="375"/>
      <c r="E689" s="375"/>
      <c r="F689" s="375"/>
    </row>
    <row r="690" customFormat="false" ht="11.25" hidden="false" customHeight="false" outlineLevel="0" collapsed="false">
      <c r="A690" s="375"/>
      <c r="B690" s="375"/>
      <c r="C690" s="375"/>
      <c r="D690" s="375"/>
      <c r="E690" s="375"/>
      <c r="F690" s="375"/>
    </row>
    <row r="691" customFormat="false" ht="11.25" hidden="false" customHeight="false" outlineLevel="0" collapsed="false">
      <c r="A691" s="375"/>
      <c r="B691" s="375"/>
      <c r="C691" s="375"/>
      <c r="D691" s="375"/>
      <c r="E691" s="375"/>
      <c r="F691" s="375"/>
    </row>
    <row r="692" customFormat="false" ht="11.25" hidden="false" customHeight="false" outlineLevel="0" collapsed="false">
      <c r="A692" s="375"/>
      <c r="B692" s="375"/>
      <c r="C692" s="375"/>
      <c r="D692" s="375"/>
      <c r="E692" s="375"/>
      <c r="F692" s="375"/>
    </row>
    <row r="693" customFormat="false" ht="11.25" hidden="false" customHeight="false" outlineLevel="0" collapsed="false">
      <c r="A693" s="375"/>
      <c r="B693" s="375"/>
      <c r="C693" s="375"/>
      <c r="D693" s="375"/>
      <c r="E693" s="375"/>
      <c r="F693" s="375"/>
    </row>
    <row r="694" customFormat="false" ht="11.25" hidden="false" customHeight="false" outlineLevel="0" collapsed="false">
      <c r="A694" s="375"/>
      <c r="B694" s="375"/>
      <c r="C694" s="375"/>
      <c r="D694" s="375"/>
      <c r="E694" s="375"/>
      <c r="F694" s="375"/>
    </row>
    <row r="695" customFormat="false" ht="11.25" hidden="false" customHeight="false" outlineLevel="0" collapsed="false">
      <c r="A695" s="375"/>
      <c r="B695" s="375"/>
      <c r="C695" s="375"/>
      <c r="D695" s="375"/>
      <c r="E695" s="375"/>
      <c r="F695" s="375"/>
    </row>
    <row r="696" customFormat="false" ht="11.25" hidden="false" customHeight="false" outlineLevel="0" collapsed="false">
      <c r="A696" s="375"/>
      <c r="B696" s="375"/>
      <c r="C696" s="375"/>
      <c r="D696" s="375"/>
      <c r="E696" s="375"/>
      <c r="F696" s="375"/>
    </row>
    <row r="697" customFormat="false" ht="11.25" hidden="false" customHeight="false" outlineLevel="0" collapsed="false">
      <c r="A697" s="375"/>
      <c r="B697" s="375"/>
      <c r="C697" s="375"/>
      <c r="D697" s="375"/>
      <c r="E697" s="375"/>
      <c r="F697" s="375"/>
    </row>
    <row r="698" customFormat="false" ht="11.25" hidden="false" customHeight="false" outlineLevel="0" collapsed="false">
      <c r="A698" s="375"/>
      <c r="B698" s="375"/>
      <c r="C698" s="375"/>
      <c r="D698" s="375"/>
      <c r="E698" s="375"/>
      <c r="F698" s="375"/>
    </row>
    <row r="699" customFormat="false" ht="11.25" hidden="false" customHeight="false" outlineLevel="0" collapsed="false">
      <c r="A699" s="375"/>
      <c r="B699" s="375"/>
      <c r="C699" s="375"/>
      <c r="D699" s="375"/>
      <c r="E699" s="375"/>
      <c r="F699" s="375"/>
    </row>
    <row r="700" customFormat="false" ht="11.25" hidden="false" customHeight="false" outlineLevel="0" collapsed="false">
      <c r="A700" s="375"/>
      <c r="B700" s="375"/>
      <c r="C700" s="375"/>
      <c r="D700" s="375"/>
      <c r="E700" s="375"/>
      <c r="F700" s="375"/>
    </row>
    <row r="701" customFormat="false" ht="11.25" hidden="false" customHeight="false" outlineLevel="0" collapsed="false">
      <c r="A701" s="375"/>
      <c r="B701" s="375"/>
      <c r="C701" s="375"/>
      <c r="D701" s="375"/>
      <c r="E701" s="375"/>
      <c r="F701" s="375"/>
    </row>
    <row r="702" customFormat="false" ht="11.25" hidden="false" customHeight="false" outlineLevel="0" collapsed="false">
      <c r="A702" s="375"/>
      <c r="B702" s="375"/>
      <c r="C702" s="375"/>
      <c r="D702" s="375"/>
      <c r="E702" s="375"/>
      <c r="F702" s="375"/>
    </row>
    <row r="703" customFormat="false" ht="11.25" hidden="false" customHeight="false" outlineLevel="0" collapsed="false">
      <c r="A703" s="375"/>
      <c r="B703" s="375"/>
      <c r="C703" s="375"/>
      <c r="D703" s="375"/>
      <c r="E703" s="375"/>
      <c r="F703" s="375"/>
    </row>
    <row r="704" customFormat="false" ht="11.25" hidden="false" customHeight="false" outlineLevel="0" collapsed="false">
      <c r="A704" s="375"/>
      <c r="B704" s="375"/>
      <c r="C704" s="375"/>
      <c r="D704" s="375"/>
      <c r="E704" s="375"/>
      <c r="F704" s="375"/>
    </row>
    <row r="705" customFormat="false" ht="11.25" hidden="false" customHeight="false" outlineLevel="0" collapsed="false">
      <c r="A705" s="375"/>
      <c r="B705" s="375"/>
      <c r="C705" s="375"/>
      <c r="D705" s="375"/>
      <c r="E705" s="375"/>
      <c r="F705" s="375"/>
    </row>
    <row r="706" customFormat="false" ht="11.25" hidden="false" customHeight="false" outlineLevel="0" collapsed="false">
      <c r="A706" s="375"/>
      <c r="B706" s="375"/>
      <c r="C706" s="375"/>
      <c r="D706" s="375"/>
      <c r="E706" s="375"/>
      <c r="F706" s="375"/>
    </row>
    <row r="707" customFormat="false" ht="11.25" hidden="false" customHeight="false" outlineLevel="0" collapsed="false">
      <c r="A707" s="375"/>
      <c r="B707" s="375"/>
      <c r="C707" s="375"/>
      <c r="D707" s="375"/>
      <c r="E707" s="375"/>
      <c r="F707" s="375"/>
    </row>
    <row r="708" customFormat="false" ht="11.25" hidden="false" customHeight="false" outlineLevel="0" collapsed="false">
      <c r="A708" s="375"/>
      <c r="B708" s="375"/>
      <c r="C708" s="375"/>
      <c r="D708" s="375"/>
      <c r="E708" s="375"/>
      <c r="F708" s="375"/>
    </row>
    <row r="709" customFormat="false" ht="11.25" hidden="false" customHeight="false" outlineLevel="0" collapsed="false">
      <c r="A709" s="375"/>
      <c r="B709" s="375"/>
      <c r="C709" s="375"/>
      <c r="D709" s="375"/>
      <c r="E709" s="375"/>
      <c r="F709" s="375"/>
    </row>
    <row r="710" customFormat="false" ht="11.25" hidden="false" customHeight="false" outlineLevel="0" collapsed="false">
      <c r="A710" s="375"/>
      <c r="B710" s="375"/>
      <c r="C710" s="375"/>
      <c r="D710" s="375"/>
      <c r="E710" s="375"/>
      <c r="F710" s="375"/>
    </row>
    <row r="711" customFormat="false" ht="11.25" hidden="false" customHeight="false" outlineLevel="0" collapsed="false">
      <c r="A711" s="375"/>
      <c r="B711" s="375"/>
      <c r="C711" s="375"/>
      <c r="D711" s="375"/>
      <c r="E711" s="375"/>
      <c r="F711" s="375"/>
    </row>
    <row r="712" customFormat="false" ht="11.25" hidden="false" customHeight="false" outlineLevel="0" collapsed="false">
      <c r="A712" s="375"/>
      <c r="B712" s="375"/>
      <c r="C712" s="375"/>
      <c r="D712" s="375"/>
      <c r="E712" s="375"/>
      <c r="F712" s="375"/>
    </row>
    <row r="713" customFormat="false" ht="11.25" hidden="false" customHeight="false" outlineLevel="0" collapsed="false">
      <c r="A713" s="375"/>
      <c r="B713" s="375"/>
      <c r="C713" s="375"/>
      <c r="D713" s="375"/>
      <c r="E713" s="375"/>
      <c r="F713" s="375"/>
    </row>
    <row r="714" customFormat="false" ht="11.25" hidden="false" customHeight="false" outlineLevel="0" collapsed="false">
      <c r="A714" s="375"/>
      <c r="B714" s="375"/>
      <c r="C714" s="375"/>
      <c r="D714" s="375"/>
      <c r="E714" s="375"/>
      <c r="F714" s="375"/>
    </row>
    <row r="715" customFormat="false" ht="11.25" hidden="false" customHeight="false" outlineLevel="0" collapsed="false">
      <c r="A715" s="375"/>
      <c r="B715" s="375"/>
      <c r="C715" s="375"/>
      <c r="D715" s="375"/>
      <c r="E715" s="375"/>
      <c r="F715" s="375"/>
    </row>
    <row r="716" customFormat="false" ht="11.25" hidden="false" customHeight="false" outlineLevel="0" collapsed="false">
      <c r="A716" s="375"/>
      <c r="B716" s="375"/>
      <c r="C716" s="375"/>
      <c r="D716" s="375"/>
      <c r="E716" s="375"/>
      <c r="F716" s="375"/>
    </row>
    <row r="717" customFormat="false" ht="11.25" hidden="false" customHeight="false" outlineLevel="0" collapsed="false">
      <c r="A717" s="375"/>
      <c r="B717" s="375"/>
      <c r="C717" s="375"/>
      <c r="D717" s="375"/>
      <c r="E717" s="375"/>
      <c r="F717" s="375"/>
    </row>
    <row r="718" customFormat="false" ht="11.25" hidden="false" customHeight="false" outlineLevel="0" collapsed="false">
      <c r="A718" s="375"/>
      <c r="B718" s="375"/>
      <c r="C718" s="375"/>
      <c r="D718" s="375"/>
      <c r="E718" s="375"/>
      <c r="F718" s="375"/>
    </row>
    <row r="719" customFormat="false" ht="11.25" hidden="false" customHeight="false" outlineLevel="0" collapsed="false">
      <c r="A719" s="375"/>
      <c r="B719" s="375"/>
      <c r="C719" s="375"/>
      <c r="D719" s="375"/>
      <c r="E719" s="375"/>
      <c r="F719" s="375"/>
    </row>
    <row r="720" customFormat="false" ht="11.25" hidden="false" customHeight="false" outlineLevel="0" collapsed="false">
      <c r="A720" s="375"/>
      <c r="B720" s="375"/>
      <c r="C720" s="375"/>
      <c r="D720" s="375"/>
      <c r="E720" s="375"/>
      <c r="F720" s="375"/>
    </row>
    <row r="721" customFormat="false" ht="11.25" hidden="false" customHeight="false" outlineLevel="0" collapsed="false">
      <c r="A721" s="375"/>
      <c r="B721" s="375"/>
      <c r="C721" s="375"/>
      <c r="D721" s="375"/>
      <c r="E721" s="375"/>
      <c r="F721" s="375"/>
    </row>
    <row r="722" customFormat="false" ht="11.25" hidden="false" customHeight="false" outlineLevel="0" collapsed="false">
      <c r="A722" s="375"/>
      <c r="B722" s="375"/>
      <c r="C722" s="375"/>
      <c r="D722" s="375"/>
      <c r="E722" s="375"/>
      <c r="F722" s="375"/>
    </row>
    <row r="723" customFormat="false" ht="11.25" hidden="false" customHeight="false" outlineLevel="0" collapsed="false">
      <c r="A723" s="375"/>
      <c r="B723" s="375"/>
      <c r="C723" s="375"/>
      <c r="D723" s="375"/>
      <c r="E723" s="375"/>
      <c r="F723" s="375"/>
    </row>
    <row r="724" customFormat="false" ht="11.25" hidden="false" customHeight="false" outlineLevel="0" collapsed="false">
      <c r="A724" s="375"/>
      <c r="B724" s="375"/>
      <c r="C724" s="375"/>
      <c r="D724" s="375"/>
      <c r="E724" s="375"/>
      <c r="F724" s="375"/>
    </row>
    <row r="725" customFormat="false" ht="11.25" hidden="false" customHeight="false" outlineLevel="0" collapsed="false">
      <c r="A725" s="375"/>
      <c r="B725" s="375"/>
      <c r="C725" s="375"/>
      <c r="D725" s="375"/>
      <c r="E725" s="375"/>
      <c r="F725" s="375"/>
    </row>
    <row r="726" customFormat="false" ht="11.25" hidden="false" customHeight="false" outlineLevel="0" collapsed="false">
      <c r="A726" s="375"/>
      <c r="B726" s="375"/>
      <c r="C726" s="375"/>
      <c r="D726" s="375"/>
      <c r="E726" s="375"/>
      <c r="F726" s="375"/>
    </row>
    <row r="727" customFormat="false" ht="11.25" hidden="false" customHeight="false" outlineLevel="0" collapsed="false">
      <c r="A727" s="375"/>
      <c r="B727" s="375"/>
      <c r="C727" s="375"/>
      <c r="D727" s="375"/>
      <c r="E727" s="375"/>
      <c r="F727" s="375"/>
    </row>
    <row r="728" customFormat="false" ht="11.25" hidden="false" customHeight="false" outlineLevel="0" collapsed="false">
      <c r="A728" s="375"/>
      <c r="B728" s="375"/>
      <c r="C728" s="375"/>
      <c r="D728" s="375"/>
      <c r="E728" s="375"/>
      <c r="F728" s="375"/>
    </row>
    <row r="729" customFormat="false" ht="11.25" hidden="false" customHeight="false" outlineLevel="0" collapsed="false">
      <c r="A729" s="375"/>
      <c r="B729" s="375"/>
      <c r="C729" s="375"/>
      <c r="D729" s="375"/>
      <c r="E729" s="375"/>
      <c r="F729" s="375"/>
    </row>
    <row r="730" customFormat="false" ht="11.25" hidden="false" customHeight="false" outlineLevel="0" collapsed="false">
      <c r="A730" s="375"/>
      <c r="B730" s="375"/>
      <c r="C730" s="375"/>
      <c r="D730" s="375"/>
      <c r="E730" s="375"/>
      <c r="F730" s="375"/>
    </row>
    <row r="731" customFormat="false" ht="11.25" hidden="false" customHeight="false" outlineLevel="0" collapsed="false">
      <c r="A731" s="375"/>
      <c r="B731" s="375"/>
      <c r="C731" s="375"/>
      <c r="D731" s="375"/>
      <c r="E731" s="375"/>
      <c r="F731" s="375"/>
    </row>
    <row r="732" customFormat="false" ht="11.25" hidden="false" customHeight="false" outlineLevel="0" collapsed="false">
      <c r="A732" s="375"/>
      <c r="B732" s="375"/>
      <c r="C732" s="375"/>
      <c r="D732" s="375"/>
      <c r="E732" s="375"/>
      <c r="F732" s="375"/>
    </row>
    <row r="733" customFormat="false" ht="11.25" hidden="false" customHeight="false" outlineLevel="0" collapsed="false">
      <c r="A733" s="375"/>
      <c r="B733" s="375"/>
      <c r="C733" s="375"/>
      <c r="D733" s="375"/>
      <c r="E733" s="375"/>
      <c r="F733" s="375"/>
    </row>
    <row r="734" customFormat="false" ht="11.25" hidden="false" customHeight="false" outlineLevel="0" collapsed="false">
      <c r="A734" s="375"/>
      <c r="B734" s="375"/>
      <c r="C734" s="375"/>
      <c r="D734" s="375"/>
      <c r="E734" s="375"/>
      <c r="F734" s="375"/>
    </row>
    <row r="735" customFormat="false" ht="11.25" hidden="false" customHeight="false" outlineLevel="0" collapsed="false">
      <c r="A735" s="375"/>
      <c r="B735" s="375"/>
      <c r="C735" s="375"/>
      <c r="D735" s="375"/>
      <c r="E735" s="375"/>
      <c r="F735" s="375"/>
    </row>
    <row r="736" customFormat="false" ht="11.25" hidden="false" customHeight="false" outlineLevel="0" collapsed="false">
      <c r="A736" s="375"/>
      <c r="B736" s="375"/>
      <c r="C736" s="375"/>
      <c r="D736" s="375"/>
      <c r="E736" s="375"/>
      <c r="F736" s="375"/>
    </row>
    <row r="737" customFormat="false" ht="11.25" hidden="false" customHeight="false" outlineLevel="0" collapsed="false">
      <c r="A737" s="375"/>
      <c r="B737" s="375"/>
      <c r="C737" s="375"/>
      <c r="D737" s="375"/>
      <c r="E737" s="375"/>
      <c r="F737" s="375"/>
    </row>
    <row r="738" customFormat="false" ht="11.25" hidden="false" customHeight="false" outlineLevel="0" collapsed="false">
      <c r="A738" s="375"/>
      <c r="B738" s="375"/>
      <c r="C738" s="375"/>
      <c r="D738" s="375"/>
      <c r="E738" s="375"/>
      <c r="F738" s="375"/>
    </row>
    <row r="739" customFormat="false" ht="11.25" hidden="false" customHeight="false" outlineLevel="0" collapsed="false">
      <c r="A739" s="375"/>
      <c r="B739" s="375"/>
      <c r="C739" s="375"/>
      <c r="D739" s="375"/>
      <c r="E739" s="375"/>
      <c r="F739" s="375"/>
    </row>
    <row r="740" customFormat="false" ht="11.25" hidden="false" customHeight="false" outlineLevel="0" collapsed="false">
      <c r="A740" s="375"/>
      <c r="B740" s="375"/>
      <c r="C740" s="375"/>
      <c r="D740" s="375"/>
      <c r="E740" s="375"/>
      <c r="F740" s="375"/>
    </row>
    <row r="741" customFormat="false" ht="11.25" hidden="false" customHeight="false" outlineLevel="0" collapsed="false">
      <c r="A741" s="375"/>
      <c r="B741" s="375"/>
      <c r="C741" s="375"/>
      <c r="D741" s="375"/>
      <c r="E741" s="375"/>
      <c r="F741" s="375"/>
    </row>
    <row r="742" customFormat="false" ht="11.25" hidden="false" customHeight="false" outlineLevel="0" collapsed="false">
      <c r="A742" s="375"/>
      <c r="B742" s="375"/>
      <c r="C742" s="375"/>
      <c r="D742" s="375"/>
      <c r="E742" s="375"/>
      <c r="F742" s="375"/>
    </row>
    <row r="743" customFormat="false" ht="11.25" hidden="false" customHeight="false" outlineLevel="0" collapsed="false">
      <c r="A743" s="375"/>
      <c r="B743" s="375"/>
      <c r="C743" s="375"/>
      <c r="D743" s="375"/>
      <c r="E743" s="375"/>
      <c r="F743" s="375"/>
    </row>
    <row r="744" customFormat="false" ht="11.25" hidden="false" customHeight="false" outlineLevel="0" collapsed="false">
      <c r="A744" s="375"/>
      <c r="B744" s="375"/>
      <c r="C744" s="375"/>
      <c r="D744" s="375"/>
      <c r="E744" s="375"/>
      <c r="F744" s="375"/>
    </row>
    <row r="745" customFormat="false" ht="11.25" hidden="false" customHeight="false" outlineLevel="0" collapsed="false">
      <c r="A745" s="375"/>
      <c r="B745" s="375"/>
      <c r="C745" s="375"/>
      <c r="D745" s="375"/>
      <c r="E745" s="375"/>
      <c r="F745" s="375"/>
    </row>
    <row r="746" customFormat="false" ht="11.25" hidden="false" customHeight="false" outlineLevel="0" collapsed="false">
      <c r="A746" s="375"/>
      <c r="B746" s="375"/>
      <c r="C746" s="375"/>
      <c r="D746" s="375"/>
      <c r="E746" s="375"/>
      <c r="F746" s="375"/>
    </row>
    <row r="747" customFormat="false" ht="11.25" hidden="false" customHeight="false" outlineLevel="0" collapsed="false">
      <c r="A747" s="375"/>
      <c r="B747" s="375"/>
      <c r="C747" s="375"/>
      <c r="D747" s="375"/>
      <c r="E747" s="375"/>
      <c r="F747" s="375"/>
    </row>
    <row r="748" customFormat="false" ht="11.25" hidden="false" customHeight="false" outlineLevel="0" collapsed="false">
      <c r="A748" s="375"/>
      <c r="B748" s="375"/>
      <c r="C748" s="375"/>
      <c r="D748" s="375"/>
      <c r="E748" s="375"/>
      <c r="F748" s="375"/>
    </row>
    <row r="749" customFormat="false" ht="11.25" hidden="false" customHeight="false" outlineLevel="0" collapsed="false">
      <c r="A749" s="375"/>
      <c r="B749" s="375"/>
      <c r="C749" s="375"/>
      <c r="D749" s="375"/>
      <c r="E749" s="375"/>
      <c r="F749" s="375"/>
    </row>
    <row r="750" customFormat="false" ht="11.25" hidden="false" customHeight="false" outlineLevel="0" collapsed="false">
      <c r="A750" s="375"/>
      <c r="B750" s="375"/>
      <c r="C750" s="375"/>
      <c r="D750" s="375"/>
      <c r="E750" s="375"/>
      <c r="F750" s="375"/>
    </row>
    <row r="751" customFormat="false" ht="11.25" hidden="false" customHeight="false" outlineLevel="0" collapsed="false">
      <c r="A751" s="375"/>
      <c r="B751" s="375"/>
      <c r="C751" s="375"/>
      <c r="D751" s="375"/>
      <c r="E751" s="375"/>
      <c r="F751" s="375"/>
    </row>
    <row r="752" customFormat="false" ht="11.25" hidden="false" customHeight="false" outlineLevel="0" collapsed="false">
      <c r="A752" s="375"/>
      <c r="B752" s="375"/>
      <c r="C752" s="375"/>
      <c r="D752" s="375"/>
      <c r="E752" s="375"/>
      <c r="F752" s="375"/>
    </row>
    <row r="753" customFormat="false" ht="11.25" hidden="false" customHeight="false" outlineLevel="0" collapsed="false">
      <c r="A753" s="375"/>
      <c r="B753" s="375"/>
      <c r="C753" s="375"/>
      <c r="D753" s="375"/>
      <c r="E753" s="375"/>
      <c r="F753" s="375"/>
    </row>
    <row r="754" customFormat="false" ht="11.25" hidden="false" customHeight="false" outlineLevel="0" collapsed="false">
      <c r="A754" s="375"/>
      <c r="B754" s="375"/>
      <c r="C754" s="375"/>
      <c r="D754" s="375"/>
      <c r="E754" s="375"/>
      <c r="F754" s="375"/>
    </row>
    <row r="755" customFormat="false" ht="11.25" hidden="false" customHeight="false" outlineLevel="0" collapsed="false">
      <c r="A755" s="375"/>
      <c r="B755" s="375"/>
      <c r="C755" s="375"/>
      <c r="D755" s="375"/>
      <c r="E755" s="375"/>
      <c r="F755" s="375"/>
    </row>
    <row r="756" customFormat="false" ht="11.25" hidden="false" customHeight="false" outlineLevel="0" collapsed="false">
      <c r="A756" s="375"/>
      <c r="B756" s="375"/>
      <c r="C756" s="375"/>
      <c r="D756" s="375"/>
      <c r="E756" s="375"/>
      <c r="F756" s="375"/>
    </row>
    <row r="757" customFormat="false" ht="11.25" hidden="false" customHeight="false" outlineLevel="0" collapsed="false">
      <c r="A757" s="375"/>
      <c r="B757" s="375"/>
      <c r="C757" s="375"/>
      <c r="D757" s="375"/>
      <c r="E757" s="375"/>
      <c r="F757" s="375"/>
    </row>
    <row r="758" customFormat="false" ht="11.25" hidden="false" customHeight="false" outlineLevel="0" collapsed="false">
      <c r="A758" s="375"/>
      <c r="B758" s="375"/>
      <c r="C758" s="375"/>
      <c r="D758" s="375"/>
      <c r="E758" s="375"/>
      <c r="F758" s="375"/>
    </row>
    <row r="759" customFormat="false" ht="11.25" hidden="false" customHeight="false" outlineLevel="0" collapsed="false">
      <c r="A759" s="375"/>
      <c r="B759" s="375"/>
      <c r="C759" s="375"/>
      <c r="D759" s="375"/>
      <c r="E759" s="375"/>
      <c r="F759" s="375"/>
    </row>
    <row r="760" customFormat="false" ht="11.25" hidden="false" customHeight="false" outlineLevel="0" collapsed="false">
      <c r="A760" s="375"/>
      <c r="B760" s="375"/>
      <c r="C760" s="375"/>
      <c r="D760" s="375"/>
      <c r="E760" s="375"/>
      <c r="F760" s="375"/>
    </row>
    <row r="761" customFormat="false" ht="11.25" hidden="false" customHeight="false" outlineLevel="0" collapsed="false">
      <c r="A761" s="375"/>
      <c r="B761" s="375"/>
      <c r="C761" s="375"/>
      <c r="D761" s="375"/>
      <c r="E761" s="375"/>
      <c r="F761" s="375"/>
    </row>
    <row r="762" customFormat="false" ht="11.25" hidden="false" customHeight="false" outlineLevel="0" collapsed="false">
      <c r="A762" s="375"/>
      <c r="B762" s="375"/>
      <c r="C762" s="375"/>
      <c r="D762" s="375"/>
      <c r="E762" s="375"/>
      <c r="F762" s="375"/>
    </row>
    <row r="763" customFormat="false" ht="11.25" hidden="false" customHeight="false" outlineLevel="0" collapsed="false">
      <c r="A763" s="375"/>
      <c r="B763" s="375"/>
      <c r="C763" s="375"/>
      <c r="D763" s="375"/>
      <c r="E763" s="375"/>
      <c r="F763" s="375"/>
    </row>
    <row r="764" customFormat="false" ht="11.25" hidden="false" customHeight="false" outlineLevel="0" collapsed="false">
      <c r="A764" s="375"/>
      <c r="B764" s="375"/>
      <c r="C764" s="375"/>
      <c r="D764" s="375"/>
      <c r="E764" s="375"/>
      <c r="F764" s="375"/>
    </row>
    <row r="765" customFormat="false" ht="11.25" hidden="false" customHeight="false" outlineLevel="0" collapsed="false">
      <c r="A765" s="375"/>
      <c r="B765" s="375"/>
      <c r="C765" s="375"/>
      <c r="D765" s="375"/>
      <c r="E765" s="375"/>
      <c r="F765" s="375"/>
    </row>
    <row r="766" customFormat="false" ht="11.25" hidden="false" customHeight="false" outlineLevel="0" collapsed="false">
      <c r="A766" s="375"/>
      <c r="B766" s="375"/>
      <c r="C766" s="375"/>
      <c r="D766" s="375"/>
      <c r="E766" s="375"/>
      <c r="F766" s="375"/>
    </row>
    <row r="767" customFormat="false" ht="11.25" hidden="false" customHeight="false" outlineLevel="0" collapsed="false">
      <c r="A767" s="375"/>
      <c r="B767" s="375"/>
      <c r="C767" s="375"/>
      <c r="D767" s="375"/>
      <c r="E767" s="375"/>
      <c r="F767" s="375"/>
    </row>
    <row r="768" customFormat="false" ht="11.25" hidden="false" customHeight="false" outlineLevel="0" collapsed="false">
      <c r="A768" s="375"/>
      <c r="B768" s="375"/>
      <c r="C768" s="375"/>
      <c r="D768" s="375"/>
      <c r="E768" s="375"/>
      <c r="F768" s="375"/>
    </row>
    <row r="769" customFormat="false" ht="11.25" hidden="false" customHeight="false" outlineLevel="0" collapsed="false">
      <c r="A769" s="375"/>
      <c r="B769" s="375"/>
      <c r="C769" s="375"/>
      <c r="D769" s="375"/>
      <c r="E769" s="375"/>
      <c r="F769" s="375"/>
    </row>
    <row r="770" customFormat="false" ht="11.25" hidden="false" customHeight="false" outlineLevel="0" collapsed="false">
      <c r="A770" s="375"/>
      <c r="B770" s="375"/>
      <c r="C770" s="375"/>
      <c r="D770" s="375"/>
      <c r="E770" s="375"/>
      <c r="F770" s="375"/>
    </row>
    <row r="771" customFormat="false" ht="11.25" hidden="false" customHeight="false" outlineLevel="0" collapsed="false">
      <c r="A771" s="375"/>
      <c r="B771" s="375"/>
      <c r="C771" s="375"/>
      <c r="D771" s="375"/>
      <c r="E771" s="375"/>
      <c r="F771" s="375"/>
    </row>
    <row r="772" customFormat="false" ht="11.25" hidden="false" customHeight="false" outlineLevel="0" collapsed="false">
      <c r="A772" s="375"/>
      <c r="B772" s="375"/>
      <c r="C772" s="375"/>
      <c r="D772" s="375"/>
      <c r="E772" s="375"/>
      <c r="F772" s="375"/>
    </row>
    <row r="773" customFormat="false" ht="11.25" hidden="false" customHeight="false" outlineLevel="0" collapsed="false">
      <c r="A773" s="375"/>
      <c r="B773" s="375"/>
      <c r="C773" s="375"/>
      <c r="D773" s="375"/>
      <c r="E773" s="375"/>
      <c r="F773" s="375"/>
    </row>
    <row r="774" customFormat="false" ht="11.25" hidden="false" customHeight="false" outlineLevel="0" collapsed="false">
      <c r="A774" s="375"/>
      <c r="B774" s="375"/>
      <c r="C774" s="375"/>
      <c r="D774" s="375"/>
      <c r="E774" s="375"/>
      <c r="F774" s="375"/>
    </row>
    <row r="775" customFormat="false" ht="11.25" hidden="false" customHeight="false" outlineLevel="0" collapsed="false">
      <c r="A775" s="375"/>
      <c r="B775" s="375"/>
      <c r="C775" s="375"/>
      <c r="D775" s="375"/>
      <c r="E775" s="375"/>
      <c r="F775" s="375"/>
    </row>
    <row r="776" customFormat="false" ht="11.25" hidden="false" customHeight="false" outlineLevel="0" collapsed="false">
      <c r="A776" s="375"/>
      <c r="B776" s="375"/>
      <c r="C776" s="375"/>
      <c r="D776" s="375"/>
      <c r="E776" s="375"/>
      <c r="F776" s="375"/>
    </row>
    <row r="777" customFormat="false" ht="11.25" hidden="false" customHeight="false" outlineLevel="0" collapsed="false">
      <c r="A777" s="375"/>
      <c r="B777" s="375"/>
      <c r="C777" s="375"/>
      <c r="D777" s="375"/>
      <c r="E777" s="375"/>
      <c r="F777" s="375"/>
    </row>
    <row r="778" customFormat="false" ht="11.25" hidden="false" customHeight="false" outlineLevel="0" collapsed="false">
      <c r="A778" s="375"/>
      <c r="B778" s="375"/>
      <c r="C778" s="375"/>
      <c r="D778" s="375"/>
      <c r="E778" s="375"/>
      <c r="F778" s="375"/>
    </row>
    <row r="779" customFormat="false" ht="11.25" hidden="false" customHeight="false" outlineLevel="0" collapsed="false">
      <c r="A779" s="375"/>
      <c r="B779" s="375"/>
      <c r="C779" s="375"/>
      <c r="D779" s="375"/>
      <c r="E779" s="375"/>
      <c r="F779" s="375"/>
    </row>
    <row r="780" customFormat="false" ht="11.25" hidden="false" customHeight="false" outlineLevel="0" collapsed="false">
      <c r="A780" s="375"/>
      <c r="B780" s="375"/>
      <c r="C780" s="375"/>
      <c r="D780" s="375"/>
      <c r="E780" s="375"/>
      <c r="F780" s="375"/>
    </row>
    <row r="781" customFormat="false" ht="11.25" hidden="false" customHeight="false" outlineLevel="0" collapsed="false">
      <c r="A781" s="375"/>
      <c r="B781" s="375"/>
      <c r="C781" s="375"/>
      <c r="D781" s="375"/>
      <c r="E781" s="375"/>
      <c r="F781" s="375"/>
    </row>
    <row r="782" customFormat="false" ht="11.25" hidden="false" customHeight="false" outlineLevel="0" collapsed="false">
      <c r="A782" s="375"/>
      <c r="B782" s="375"/>
      <c r="C782" s="375"/>
      <c r="D782" s="375"/>
      <c r="E782" s="375"/>
      <c r="F782" s="375"/>
    </row>
    <row r="783" customFormat="false" ht="11.25" hidden="false" customHeight="false" outlineLevel="0" collapsed="false">
      <c r="A783" s="375"/>
      <c r="B783" s="375"/>
      <c r="C783" s="375"/>
      <c r="D783" s="375"/>
      <c r="E783" s="375"/>
      <c r="F783" s="375"/>
    </row>
    <row r="784" customFormat="false" ht="11.25" hidden="false" customHeight="false" outlineLevel="0" collapsed="false">
      <c r="A784" s="375"/>
      <c r="B784" s="375"/>
      <c r="C784" s="375"/>
      <c r="D784" s="375"/>
      <c r="E784" s="375"/>
      <c r="F784" s="375"/>
    </row>
    <row r="785" customFormat="false" ht="11.25" hidden="false" customHeight="false" outlineLevel="0" collapsed="false">
      <c r="A785" s="375"/>
      <c r="B785" s="375"/>
      <c r="C785" s="375"/>
      <c r="D785" s="375"/>
      <c r="E785" s="375"/>
      <c r="F785" s="375"/>
    </row>
    <row r="786" customFormat="false" ht="11.25" hidden="false" customHeight="false" outlineLevel="0" collapsed="false">
      <c r="A786" s="375"/>
      <c r="B786" s="375"/>
      <c r="C786" s="375"/>
      <c r="D786" s="375"/>
      <c r="E786" s="375"/>
      <c r="F786" s="375"/>
    </row>
    <row r="787" customFormat="false" ht="11.25" hidden="false" customHeight="false" outlineLevel="0" collapsed="false">
      <c r="A787" s="375"/>
      <c r="B787" s="375"/>
      <c r="C787" s="375"/>
      <c r="D787" s="375"/>
      <c r="E787" s="375"/>
      <c r="F787" s="375"/>
    </row>
    <row r="788" customFormat="false" ht="11.25" hidden="false" customHeight="false" outlineLevel="0" collapsed="false">
      <c r="A788" s="375"/>
      <c r="B788" s="375"/>
      <c r="C788" s="375"/>
      <c r="D788" s="375"/>
      <c r="E788" s="375"/>
      <c r="F788" s="375"/>
    </row>
    <row r="789" customFormat="false" ht="11.25" hidden="false" customHeight="false" outlineLevel="0" collapsed="false">
      <c r="A789" s="375"/>
      <c r="B789" s="375"/>
      <c r="C789" s="375"/>
      <c r="D789" s="375"/>
      <c r="E789" s="375"/>
      <c r="F789" s="375"/>
    </row>
    <row r="790" customFormat="false" ht="11.25" hidden="false" customHeight="false" outlineLevel="0" collapsed="false">
      <c r="A790" s="375"/>
      <c r="B790" s="375"/>
      <c r="C790" s="375"/>
      <c r="D790" s="375"/>
      <c r="E790" s="375"/>
      <c r="F790" s="375"/>
    </row>
    <row r="791" customFormat="false" ht="11.25" hidden="false" customHeight="false" outlineLevel="0" collapsed="false">
      <c r="A791" s="375"/>
      <c r="B791" s="375"/>
      <c r="C791" s="375"/>
      <c r="D791" s="375"/>
      <c r="E791" s="375"/>
      <c r="F791" s="375"/>
    </row>
    <row r="792" customFormat="false" ht="11.25" hidden="false" customHeight="false" outlineLevel="0" collapsed="false">
      <c r="A792" s="375"/>
      <c r="B792" s="375"/>
      <c r="C792" s="375"/>
      <c r="D792" s="375"/>
      <c r="E792" s="375"/>
      <c r="F792" s="375"/>
    </row>
    <row r="793" customFormat="false" ht="11.25" hidden="false" customHeight="false" outlineLevel="0" collapsed="false">
      <c r="A793" s="375"/>
      <c r="B793" s="375"/>
      <c r="C793" s="375"/>
      <c r="D793" s="375"/>
      <c r="E793" s="375"/>
      <c r="F793" s="375"/>
    </row>
    <row r="794" customFormat="false" ht="11.25" hidden="false" customHeight="false" outlineLevel="0" collapsed="false">
      <c r="A794" s="375"/>
      <c r="B794" s="375"/>
      <c r="C794" s="375"/>
      <c r="D794" s="375"/>
      <c r="E794" s="375"/>
      <c r="F794" s="375"/>
    </row>
    <row r="795" customFormat="false" ht="11.25" hidden="false" customHeight="false" outlineLevel="0" collapsed="false">
      <c r="A795" s="375"/>
      <c r="B795" s="375"/>
      <c r="C795" s="375"/>
      <c r="D795" s="375"/>
      <c r="E795" s="375"/>
      <c r="F795" s="375"/>
    </row>
    <row r="796" customFormat="false" ht="11.25" hidden="false" customHeight="false" outlineLevel="0" collapsed="false">
      <c r="A796" s="375"/>
      <c r="B796" s="375"/>
      <c r="C796" s="375"/>
      <c r="D796" s="375"/>
      <c r="E796" s="375"/>
      <c r="F796" s="375"/>
    </row>
    <row r="797" customFormat="false" ht="11.25" hidden="false" customHeight="false" outlineLevel="0" collapsed="false">
      <c r="A797" s="375"/>
      <c r="B797" s="375"/>
      <c r="C797" s="375"/>
      <c r="D797" s="375"/>
      <c r="E797" s="375"/>
      <c r="F797" s="375"/>
    </row>
    <row r="798" customFormat="false" ht="11.25" hidden="false" customHeight="false" outlineLevel="0" collapsed="false">
      <c r="A798" s="375"/>
      <c r="B798" s="375"/>
      <c r="C798" s="375"/>
      <c r="D798" s="375"/>
      <c r="E798" s="375"/>
      <c r="F798" s="375"/>
    </row>
    <row r="799" customFormat="false" ht="11.25" hidden="false" customHeight="false" outlineLevel="0" collapsed="false">
      <c r="A799" s="375"/>
      <c r="B799" s="375"/>
      <c r="C799" s="375"/>
      <c r="D799" s="375"/>
      <c r="E799" s="375"/>
      <c r="F799" s="375"/>
    </row>
    <row r="800" customFormat="false" ht="11.25" hidden="false" customHeight="false" outlineLevel="0" collapsed="false">
      <c r="A800" s="375"/>
      <c r="B800" s="375"/>
      <c r="C800" s="375"/>
      <c r="D800" s="375"/>
      <c r="E800" s="375"/>
      <c r="F800" s="375"/>
    </row>
    <row r="801" customFormat="false" ht="11.25" hidden="false" customHeight="false" outlineLevel="0" collapsed="false">
      <c r="A801" s="375"/>
      <c r="B801" s="375"/>
      <c r="C801" s="375"/>
      <c r="D801" s="375"/>
      <c r="E801" s="375"/>
      <c r="F801" s="375"/>
    </row>
    <row r="802" customFormat="false" ht="11.25" hidden="false" customHeight="false" outlineLevel="0" collapsed="false">
      <c r="A802" s="375"/>
      <c r="B802" s="375"/>
      <c r="C802" s="375"/>
      <c r="D802" s="375"/>
      <c r="E802" s="375"/>
      <c r="F802" s="375"/>
    </row>
    <row r="803" customFormat="false" ht="11.25" hidden="false" customHeight="false" outlineLevel="0" collapsed="false">
      <c r="A803" s="375"/>
      <c r="B803" s="375"/>
      <c r="C803" s="375"/>
      <c r="D803" s="375"/>
      <c r="E803" s="375"/>
      <c r="F803" s="375"/>
    </row>
    <row r="804" customFormat="false" ht="11.25" hidden="false" customHeight="false" outlineLevel="0" collapsed="false">
      <c r="A804" s="375"/>
      <c r="B804" s="375"/>
      <c r="C804" s="375"/>
      <c r="D804" s="375"/>
      <c r="E804" s="375"/>
      <c r="F804" s="375"/>
    </row>
    <row r="805" customFormat="false" ht="11.25" hidden="false" customHeight="false" outlineLevel="0" collapsed="false">
      <c r="A805" s="375"/>
      <c r="B805" s="375"/>
      <c r="C805" s="375"/>
      <c r="D805" s="375"/>
      <c r="E805" s="375"/>
      <c r="F805" s="375"/>
    </row>
    <row r="806" customFormat="false" ht="11.25" hidden="false" customHeight="false" outlineLevel="0" collapsed="false">
      <c r="A806" s="375"/>
      <c r="B806" s="375"/>
      <c r="C806" s="375"/>
      <c r="D806" s="375"/>
      <c r="E806" s="375"/>
      <c r="F806" s="375"/>
    </row>
    <row r="807" customFormat="false" ht="11.25" hidden="false" customHeight="false" outlineLevel="0" collapsed="false">
      <c r="A807" s="375"/>
      <c r="B807" s="375"/>
      <c r="C807" s="375"/>
      <c r="D807" s="375"/>
      <c r="E807" s="375"/>
      <c r="F807" s="375"/>
    </row>
    <row r="808" customFormat="false" ht="11.25" hidden="false" customHeight="false" outlineLevel="0" collapsed="false">
      <c r="A808" s="375"/>
      <c r="B808" s="375"/>
      <c r="C808" s="375"/>
      <c r="D808" s="375"/>
      <c r="E808" s="375"/>
      <c r="F808" s="375"/>
    </row>
    <row r="809" customFormat="false" ht="11.25" hidden="false" customHeight="false" outlineLevel="0" collapsed="false">
      <c r="A809" s="375"/>
      <c r="B809" s="375"/>
      <c r="C809" s="375"/>
      <c r="D809" s="375"/>
      <c r="E809" s="375"/>
      <c r="F809" s="375"/>
    </row>
    <row r="810" customFormat="false" ht="11.25" hidden="false" customHeight="false" outlineLevel="0" collapsed="false">
      <c r="A810" s="375"/>
      <c r="B810" s="375"/>
      <c r="C810" s="375"/>
      <c r="D810" s="375"/>
      <c r="E810" s="375"/>
      <c r="F810" s="375"/>
    </row>
    <row r="811" customFormat="false" ht="11.25" hidden="false" customHeight="false" outlineLevel="0" collapsed="false">
      <c r="A811" s="375"/>
      <c r="B811" s="375"/>
      <c r="C811" s="375"/>
      <c r="D811" s="375"/>
      <c r="E811" s="375"/>
      <c r="F811" s="375"/>
    </row>
    <row r="812" customFormat="false" ht="11.25" hidden="false" customHeight="false" outlineLevel="0" collapsed="false">
      <c r="A812" s="375"/>
      <c r="B812" s="375"/>
      <c r="C812" s="375"/>
      <c r="D812" s="375"/>
      <c r="E812" s="375"/>
      <c r="F812" s="375"/>
    </row>
    <row r="813" customFormat="false" ht="11.25" hidden="false" customHeight="false" outlineLevel="0" collapsed="false">
      <c r="A813" s="375"/>
      <c r="B813" s="375"/>
      <c r="C813" s="375"/>
      <c r="D813" s="375"/>
      <c r="E813" s="375"/>
      <c r="F813" s="375"/>
    </row>
    <row r="814" customFormat="false" ht="11.25" hidden="false" customHeight="false" outlineLevel="0" collapsed="false">
      <c r="A814" s="375"/>
      <c r="B814" s="375"/>
      <c r="C814" s="375"/>
      <c r="D814" s="375"/>
      <c r="E814" s="375"/>
      <c r="F814" s="375"/>
    </row>
    <row r="815" customFormat="false" ht="11.25" hidden="false" customHeight="false" outlineLevel="0" collapsed="false">
      <c r="A815" s="375"/>
      <c r="B815" s="375"/>
      <c r="C815" s="375"/>
      <c r="D815" s="375"/>
      <c r="E815" s="375"/>
      <c r="F815" s="375"/>
    </row>
    <row r="816" customFormat="false" ht="11.25" hidden="false" customHeight="false" outlineLevel="0" collapsed="false">
      <c r="A816" s="375"/>
      <c r="B816" s="375"/>
      <c r="C816" s="375"/>
      <c r="D816" s="375"/>
      <c r="E816" s="375"/>
      <c r="F816" s="375"/>
    </row>
    <row r="817" customFormat="false" ht="11.25" hidden="false" customHeight="false" outlineLevel="0" collapsed="false">
      <c r="A817" s="375"/>
      <c r="B817" s="375"/>
      <c r="C817" s="375"/>
      <c r="D817" s="375"/>
      <c r="E817" s="375"/>
      <c r="F817" s="375"/>
    </row>
    <row r="818" customFormat="false" ht="11.25" hidden="false" customHeight="false" outlineLevel="0" collapsed="false">
      <c r="A818" s="375"/>
      <c r="B818" s="375"/>
      <c r="C818" s="375"/>
      <c r="D818" s="375"/>
      <c r="E818" s="375"/>
      <c r="F818" s="375"/>
    </row>
    <row r="819" customFormat="false" ht="11.25" hidden="false" customHeight="false" outlineLevel="0" collapsed="false">
      <c r="A819" s="375"/>
      <c r="B819" s="375"/>
      <c r="C819" s="375"/>
      <c r="D819" s="375"/>
      <c r="E819" s="375"/>
      <c r="F819" s="375"/>
    </row>
    <row r="820" customFormat="false" ht="11.25" hidden="false" customHeight="false" outlineLevel="0" collapsed="false">
      <c r="A820" s="375"/>
      <c r="B820" s="375"/>
      <c r="C820" s="375"/>
      <c r="D820" s="375"/>
      <c r="E820" s="375"/>
      <c r="F820" s="375"/>
    </row>
    <row r="821" customFormat="false" ht="11.25" hidden="false" customHeight="false" outlineLevel="0" collapsed="false">
      <c r="A821" s="375"/>
      <c r="B821" s="375"/>
      <c r="C821" s="375"/>
      <c r="D821" s="375"/>
      <c r="E821" s="375"/>
      <c r="F821" s="375"/>
    </row>
    <row r="822" customFormat="false" ht="11.25" hidden="false" customHeight="false" outlineLevel="0" collapsed="false">
      <c r="A822" s="375"/>
      <c r="B822" s="375"/>
      <c r="C822" s="375"/>
      <c r="D822" s="375"/>
      <c r="E822" s="375"/>
      <c r="F822" s="375"/>
    </row>
    <row r="823" customFormat="false" ht="11.25" hidden="false" customHeight="false" outlineLevel="0" collapsed="false">
      <c r="A823" s="375"/>
      <c r="B823" s="375"/>
      <c r="C823" s="375"/>
      <c r="D823" s="375"/>
      <c r="E823" s="375"/>
      <c r="F823" s="375"/>
    </row>
    <row r="824" customFormat="false" ht="11.25" hidden="false" customHeight="false" outlineLevel="0" collapsed="false">
      <c r="A824" s="375"/>
      <c r="B824" s="375"/>
      <c r="C824" s="375"/>
      <c r="D824" s="375"/>
      <c r="E824" s="375"/>
      <c r="F824" s="375"/>
    </row>
    <row r="825" customFormat="false" ht="11.25" hidden="false" customHeight="false" outlineLevel="0" collapsed="false">
      <c r="A825" s="375"/>
      <c r="B825" s="375"/>
      <c r="C825" s="375"/>
      <c r="D825" s="375"/>
      <c r="E825" s="375"/>
      <c r="F825" s="375"/>
    </row>
    <row r="826" customFormat="false" ht="11.25" hidden="false" customHeight="false" outlineLevel="0" collapsed="false">
      <c r="A826" s="375"/>
      <c r="B826" s="375"/>
      <c r="C826" s="375"/>
      <c r="D826" s="375"/>
      <c r="E826" s="375"/>
      <c r="F826" s="375"/>
    </row>
    <row r="827" customFormat="false" ht="11.25" hidden="false" customHeight="false" outlineLevel="0" collapsed="false">
      <c r="A827" s="375"/>
      <c r="B827" s="375"/>
      <c r="C827" s="375"/>
      <c r="D827" s="375"/>
      <c r="E827" s="375"/>
      <c r="F827" s="375"/>
    </row>
    <row r="828" customFormat="false" ht="11.25" hidden="false" customHeight="false" outlineLevel="0" collapsed="false">
      <c r="A828" s="375"/>
      <c r="B828" s="375"/>
      <c r="C828" s="375"/>
      <c r="D828" s="375"/>
      <c r="E828" s="375"/>
      <c r="F828" s="375"/>
    </row>
    <row r="829" customFormat="false" ht="11.25" hidden="false" customHeight="false" outlineLevel="0" collapsed="false">
      <c r="A829" s="375"/>
      <c r="B829" s="375"/>
      <c r="C829" s="375"/>
      <c r="D829" s="375"/>
      <c r="E829" s="375"/>
      <c r="F829" s="375"/>
    </row>
    <row r="830" customFormat="false" ht="11.25" hidden="false" customHeight="false" outlineLevel="0" collapsed="false">
      <c r="A830" s="375"/>
      <c r="B830" s="375"/>
      <c r="C830" s="375"/>
      <c r="D830" s="375"/>
      <c r="E830" s="375"/>
      <c r="F830" s="375"/>
    </row>
    <row r="831" customFormat="false" ht="11.25" hidden="false" customHeight="false" outlineLevel="0" collapsed="false">
      <c r="A831" s="375"/>
      <c r="B831" s="375"/>
      <c r="C831" s="375"/>
      <c r="D831" s="375"/>
      <c r="E831" s="375"/>
      <c r="F831" s="375"/>
    </row>
    <row r="832" customFormat="false" ht="11.25" hidden="false" customHeight="false" outlineLevel="0" collapsed="false">
      <c r="A832" s="375"/>
      <c r="B832" s="375"/>
      <c r="C832" s="375"/>
      <c r="D832" s="375"/>
      <c r="E832" s="375"/>
      <c r="F832" s="375"/>
    </row>
    <row r="833" customFormat="false" ht="11.25" hidden="false" customHeight="false" outlineLevel="0" collapsed="false">
      <c r="A833" s="375"/>
      <c r="B833" s="375"/>
      <c r="C833" s="375"/>
      <c r="D833" s="375"/>
      <c r="E833" s="375"/>
      <c r="F833" s="375"/>
    </row>
    <row r="834" customFormat="false" ht="11.25" hidden="false" customHeight="false" outlineLevel="0" collapsed="false">
      <c r="A834" s="375"/>
      <c r="B834" s="375"/>
      <c r="C834" s="375"/>
      <c r="D834" s="375"/>
      <c r="E834" s="375"/>
      <c r="F834" s="375"/>
    </row>
    <row r="835" customFormat="false" ht="11.25" hidden="false" customHeight="false" outlineLevel="0" collapsed="false">
      <c r="A835" s="375"/>
      <c r="B835" s="375"/>
      <c r="C835" s="375"/>
      <c r="D835" s="375"/>
      <c r="E835" s="375"/>
      <c r="F835" s="375"/>
    </row>
    <row r="836" customFormat="false" ht="11.25" hidden="false" customHeight="false" outlineLevel="0" collapsed="false">
      <c r="A836" s="375"/>
      <c r="B836" s="375"/>
      <c r="C836" s="375"/>
      <c r="D836" s="375"/>
      <c r="E836" s="375"/>
      <c r="F836" s="375"/>
    </row>
    <row r="837" customFormat="false" ht="11.25" hidden="false" customHeight="false" outlineLevel="0" collapsed="false">
      <c r="A837" s="375"/>
      <c r="B837" s="375"/>
      <c r="C837" s="375"/>
      <c r="D837" s="375"/>
      <c r="E837" s="375"/>
      <c r="F837" s="375"/>
    </row>
    <row r="838" customFormat="false" ht="11.25" hidden="false" customHeight="false" outlineLevel="0" collapsed="false">
      <c r="A838" s="375"/>
      <c r="B838" s="375"/>
      <c r="C838" s="375"/>
      <c r="D838" s="375"/>
      <c r="E838" s="375"/>
      <c r="F838" s="375"/>
    </row>
    <row r="839" customFormat="false" ht="11.25" hidden="false" customHeight="false" outlineLevel="0" collapsed="false">
      <c r="A839" s="375"/>
      <c r="B839" s="375"/>
      <c r="C839" s="375"/>
      <c r="D839" s="375"/>
      <c r="E839" s="375"/>
      <c r="F839" s="375"/>
    </row>
    <row r="840" customFormat="false" ht="11.25" hidden="false" customHeight="false" outlineLevel="0" collapsed="false">
      <c r="A840" s="375"/>
      <c r="B840" s="375"/>
      <c r="C840" s="375"/>
      <c r="D840" s="375"/>
      <c r="E840" s="375"/>
      <c r="F840" s="375"/>
    </row>
    <row r="841" customFormat="false" ht="11.25" hidden="false" customHeight="false" outlineLevel="0" collapsed="false">
      <c r="A841" s="375"/>
      <c r="B841" s="375"/>
      <c r="C841" s="375"/>
      <c r="D841" s="375"/>
      <c r="E841" s="375"/>
      <c r="F841" s="375"/>
    </row>
    <row r="842" customFormat="false" ht="11.25" hidden="false" customHeight="false" outlineLevel="0" collapsed="false">
      <c r="A842" s="375"/>
      <c r="B842" s="375"/>
      <c r="C842" s="375"/>
      <c r="D842" s="375"/>
      <c r="E842" s="375"/>
      <c r="F842" s="375"/>
    </row>
    <row r="843" customFormat="false" ht="11.25" hidden="false" customHeight="false" outlineLevel="0" collapsed="false">
      <c r="A843" s="375"/>
      <c r="B843" s="375"/>
      <c r="C843" s="375"/>
      <c r="D843" s="375"/>
      <c r="E843" s="375"/>
      <c r="F843" s="375"/>
    </row>
    <row r="844" customFormat="false" ht="11.25" hidden="false" customHeight="false" outlineLevel="0" collapsed="false">
      <c r="A844" s="375"/>
      <c r="B844" s="375"/>
      <c r="C844" s="375"/>
      <c r="D844" s="375"/>
      <c r="E844" s="375"/>
      <c r="F844" s="375"/>
    </row>
    <row r="845" customFormat="false" ht="11.25" hidden="false" customHeight="false" outlineLevel="0" collapsed="false">
      <c r="A845" s="375"/>
      <c r="B845" s="375"/>
      <c r="C845" s="375"/>
      <c r="D845" s="375"/>
      <c r="E845" s="375"/>
      <c r="F845" s="375"/>
    </row>
    <row r="846" customFormat="false" ht="11.25" hidden="false" customHeight="false" outlineLevel="0" collapsed="false">
      <c r="A846" s="375"/>
      <c r="B846" s="375"/>
      <c r="C846" s="375"/>
      <c r="D846" s="375"/>
      <c r="E846" s="375"/>
      <c r="F846" s="375"/>
    </row>
    <row r="847" customFormat="false" ht="11.25" hidden="false" customHeight="false" outlineLevel="0" collapsed="false">
      <c r="A847" s="375"/>
      <c r="B847" s="375"/>
      <c r="C847" s="375"/>
      <c r="D847" s="375"/>
      <c r="E847" s="375"/>
      <c r="F847" s="375"/>
    </row>
    <row r="848" customFormat="false" ht="11.25" hidden="false" customHeight="false" outlineLevel="0" collapsed="false">
      <c r="A848" s="375"/>
      <c r="B848" s="375"/>
      <c r="C848" s="375"/>
      <c r="D848" s="375"/>
      <c r="E848" s="375"/>
      <c r="F848" s="375"/>
    </row>
    <row r="849" customFormat="false" ht="11.25" hidden="false" customHeight="false" outlineLevel="0" collapsed="false">
      <c r="A849" s="375"/>
      <c r="B849" s="375"/>
      <c r="C849" s="375"/>
      <c r="D849" s="375"/>
      <c r="E849" s="375"/>
      <c r="F849" s="375"/>
    </row>
    <row r="850" customFormat="false" ht="11.25" hidden="false" customHeight="false" outlineLevel="0" collapsed="false">
      <c r="A850" s="375"/>
      <c r="B850" s="375"/>
      <c r="C850" s="375"/>
      <c r="D850" s="375"/>
      <c r="E850" s="375"/>
      <c r="F850" s="375"/>
    </row>
    <row r="851" customFormat="false" ht="11.25" hidden="false" customHeight="false" outlineLevel="0" collapsed="false">
      <c r="A851" s="375"/>
      <c r="B851" s="375"/>
      <c r="C851" s="375"/>
      <c r="D851" s="375"/>
      <c r="E851" s="375"/>
      <c r="F851" s="375"/>
    </row>
    <row r="852" customFormat="false" ht="11.25" hidden="false" customHeight="false" outlineLevel="0" collapsed="false">
      <c r="A852" s="375"/>
      <c r="B852" s="375"/>
      <c r="C852" s="375"/>
      <c r="D852" s="375"/>
      <c r="E852" s="375"/>
      <c r="F852" s="375"/>
    </row>
    <row r="853" customFormat="false" ht="11.25" hidden="false" customHeight="false" outlineLevel="0" collapsed="false">
      <c r="A853" s="375"/>
      <c r="B853" s="375"/>
      <c r="C853" s="375"/>
      <c r="D853" s="375"/>
      <c r="E853" s="375"/>
      <c r="F853" s="375"/>
    </row>
    <row r="854" customFormat="false" ht="11.25" hidden="false" customHeight="false" outlineLevel="0" collapsed="false">
      <c r="A854" s="375"/>
      <c r="B854" s="375"/>
      <c r="C854" s="375"/>
      <c r="D854" s="375"/>
      <c r="E854" s="375"/>
      <c r="F854" s="375"/>
    </row>
    <row r="855" customFormat="false" ht="11.25" hidden="false" customHeight="false" outlineLevel="0" collapsed="false">
      <c r="A855" s="375"/>
      <c r="B855" s="375"/>
      <c r="C855" s="375"/>
      <c r="D855" s="375"/>
      <c r="E855" s="375"/>
      <c r="F855" s="375"/>
    </row>
    <row r="856" customFormat="false" ht="11.25" hidden="false" customHeight="false" outlineLevel="0" collapsed="false">
      <c r="A856" s="375"/>
      <c r="B856" s="375"/>
      <c r="C856" s="375"/>
      <c r="D856" s="375"/>
      <c r="E856" s="375"/>
      <c r="F856" s="375"/>
    </row>
    <row r="857" customFormat="false" ht="11.25" hidden="false" customHeight="false" outlineLevel="0" collapsed="false">
      <c r="A857" s="375"/>
      <c r="B857" s="375"/>
      <c r="C857" s="375"/>
      <c r="D857" s="375"/>
      <c r="E857" s="375"/>
      <c r="F857" s="375"/>
    </row>
    <row r="858" customFormat="false" ht="11.25" hidden="false" customHeight="false" outlineLevel="0" collapsed="false">
      <c r="A858" s="375"/>
      <c r="B858" s="375"/>
      <c r="C858" s="375"/>
      <c r="D858" s="375"/>
      <c r="E858" s="375"/>
      <c r="F858" s="375"/>
    </row>
    <row r="859" customFormat="false" ht="11.25" hidden="false" customHeight="false" outlineLevel="0" collapsed="false">
      <c r="A859" s="375"/>
      <c r="B859" s="375"/>
      <c r="C859" s="375"/>
      <c r="D859" s="375"/>
      <c r="E859" s="375"/>
      <c r="F859" s="375"/>
    </row>
    <row r="860" customFormat="false" ht="11.25" hidden="false" customHeight="false" outlineLevel="0" collapsed="false">
      <c r="A860" s="375"/>
      <c r="B860" s="375"/>
      <c r="C860" s="375"/>
      <c r="D860" s="375"/>
      <c r="E860" s="375"/>
      <c r="F860" s="375"/>
    </row>
    <row r="861" customFormat="false" ht="11.25" hidden="false" customHeight="false" outlineLevel="0" collapsed="false">
      <c r="A861" s="375"/>
      <c r="B861" s="375"/>
      <c r="C861" s="375"/>
      <c r="D861" s="375"/>
      <c r="E861" s="375"/>
      <c r="F861" s="375"/>
    </row>
    <row r="862" customFormat="false" ht="11.25" hidden="false" customHeight="false" outlineLevel="0" collapsed="false">
      <c r="A862" s="375"/>
      <c r="B862" s="375"/>
      <c r="C862" s="375"/>
      <c r="D862" s="375"/>
      <c r="E862" s="375"/>
      <c r="F862" s="375"/>
    </row>
    <row r="863" customFormat="false" ht="11.25" hidden="false" customHeight="false" outlineLevel="0" collapsed="false">
      <c r="A863" s="375"/>
      <c r="B863" s="375"/>
      <c r="C863" s="375"/>
      <c r="D863" s="375"/>
      <c r="E863" s="375"/>
      <c r="F863" s="375"/>
    </row>
    <row r="864" customFormat="false" ht="11.25" hidden="false" customHeight="false" outlineLevel="0" collapsed="false">
      <c r="A864" s="375"/>
      <c r="B864" s="375"/>
      <c r="C864" s="375"/>
      <c r="D864" s="375"/>
      <c r="E864" s="375"/>
      <c r="F864" s="375"/>
    </row>
    <row r="865" customFormat="false" ht="11.25" hidden="false" customHeight="false" outlineLevel="0" collapsed="false">
      <c r="A865" s="375"/>
      <c r="B865" s="375"/>
      <c r="C865" s="375"/>
      <c r="D865" s="375"/>
      <c r="E865" s="375"/>
      <c r="F865" s="375"/>
    </row>
    <row r="866" customFormat="false" ht="11.25" hidden="false" customHeight="false" outlineLevel="0" collapsed="false">
      <c r="A866" s="375"/>
      <c r="B866" s="375"/>
      <c r="C866" s="375"/>
      <c r="D866" s="375"/>
      <c r="E866" s="375"/>
      <c r="F866" s="375"/>
    </row>
    <row r="867" customFormat="false" ht="11.25" hidden="false" customHeight="false" outlineLevel="0" collapsed="false">
      <c r="A867" s="375"/>
      <c r="B867" s="375"/>
      <c r="C867" s="375"/>
      <c r="D867" s="375"/>
      <c r="E867" s="375"/>
      <c r="F867" s="375"/>
    </row>
    <row r="868" customFormat="false" ht="11.25" hidden="false" customHeight="false" outlineLevel="0" collapsed="false">
      <c r="A868" s="375"/>
      <c r="B868" s="375"/>
      <c r="C868" s="375"/>
      <c r="D868" s="375"/>
      <c r="E868" s="375"/>
      <c r="F868" s="375"/>
    </row>
    <row r="869" customFormat="false" ht="11.25" hidden="false" customHeight="false" outlineLevel="0" collapsed="false">
      <c r="A869" s="375"/>
      <c r="B869" s="375"/>
      <c r="C869" s="375"/>
      <c r="D869" s="375"/>
      <c r="E869" s="375"/>
      <c r="F869" s="375"/>
    </row>
    <row r="870" customFormat="false" ht="11.25" hidden="false" customHeight="false" outlineLevel="0" collapsed="false">
      <c r="A870" s="375"/>
      <c r="B870" s="375"/>
      <c r="C870" s="375"/>
      <c r="D870" s="375"/>
      <c r="E870" s="375"/>
      <c r="F870" s="375"/>
    </row>
    <row r="871" customFormat="false" ht="11.25" hidden="false" customHeight="false" outlineLevel="0" collapsed="false">
      <c r="A871" s="375"/>
      <c r="B871" s="375"/>
      <c r="C871" s="375"/>
      <c r="D871" s="375"/>
      <c r="E871" s="375"/>
      <c r="F871" s="375"/>
    </row>
    <row r="872" customFormat="false" ht="11.25" hidden="false" customHeight="false" outlineLevel="0" collapsed="false">
      <c r="A872" s="375"/>
      <c r="B872" s="375"/>
      <c r="C872" s="375"/>
      <c r="D872" s="375"/>
      <c r="E872" s="375"/>
      <c r="F872" s="375"/>
    </row>
    <row r="873" customFormat="false" ht="11.25" hidden="false" customHeight="false" outlineLevel="0" collapsed="false">
      <c r="A873" s="375"/>
      <c r="B873" s="375"/>
      <c r="C873" s="375"/>
      <c r="D873" s="375"/>
      <c r="E873" s="375"/>
      <c r="F873" s="375"/>
    </row>
    <row r="874" customFormat="false" ht="11.25" hidden="false" customHeight="false" outlineLevel="0" collapsed="false">
      <c r="A874" s="375"/>
      <c r="B874" s="375"/>
      <c r="C874" s="375"/>
      <c r="D874" s="375"/>
      <c r="E874" s="375"/>
      <c r="F874" s="375"/>
    </row>
    <row r="875" customFormat="false" ht="11.25" hidden="false" customHeight="false" outlineLevel="0" collapsed="false">
      <c r="A875" s="375"/>
      <c r="B875" s="375"/>
      <c r="C875" s="375"/>
      <c r="D875" s="375"/>
      <c r="E875" s="375"/>
      <c r="F875" s="375"/>
    </row>
    <row r="876" customFormat="false" ht="11.25" hidden="false" customHeight="false" outlineLevel="0" collapsed="false">
      <c r="A876" s="375"/>
      <c r="B876" s="375"/>
      <c r="C876" s="375"/>
      <c r="D876" s="375"/>
      <c r="E876" s="375"/>
      <c r="F876" s="375"/>
    </row>
    <row r="877" customFormat="false" ht="11.25" hidden="false" customHeight="false" outlineLevel="0" collapsed="false">
      <c r="A877" s="375"/>
      <c r="B877" s="375"/>
      <c r="C877" s="375"/>
      <c r="D877" s="375"/>
      <c r="E877" s="375"/>
      <c r="F877" s="375"/>
    </row>
    <row r="878" customFormat="false" ht="11.25" hidden="false" customHeight="false" outlineLevel="0" collapsed="false">
      <c r="A878" s="375"/>
      <c r="B878" s="375"/>
      <c r="C878" s="375"/>
      <c r="D878" s="375"/>
      <c r="E878" s="375"/>
      <c r="F878" s="375"/>
    </row>
    <row r="879" customFormat="false" ht="11.25" hidden="false" customHeight="false" outlineLevel="0" collapsed="false">
      <c r="A879" s="375"/>
      <c r="B879" s="375"/>
      <c r="C879" s="375"/>
      <c r="D879" s="375"/>
      <c r="E879" s="375"/>
      <c r="F879" s="375"/>
    </row>
    <row r="880" customFormat="false" ht="11.25" hidden="false" customHeight="false" outlineLevel="0" collapsed="false">
      <c r="A880" s="375"/>
      <c r="B880" s="375"/>
      <c r="C880" s="375"/>
      <c r="D880" s="375"/>
      <c r="E880" s="375"/>
      <c r="F880" s="375"/>
    </row>
    <row r="881" customFormat="false" ht="11.25" hidden="false" customHeight="false" outlineLevel="0" collapsed="false">
      <c r="A881" s="375"/>
      <c r="B881" s="375"/>
      <c r="C881" s="375"/>
      <c r="D881" s="375"/>
      <c r="E881" s="375"/>
      <c r="F881" s="375"/>
    </row>
    <row r="882" customFormat="false" ht="11.25" hidden="false" customHeight="false" outlineLevel="0" collapsed="false">
      <c r="A882" s="375"/>
      <c r="B882" s="375"/>
      <c r="C882" s="375"/>
      <c r="D882" s="375"/>
      <c r="E882" s="375"/>
      <c r="F882" s="375"/>
    </row>
    <row r="883" customFormat="false" ht="11.25" hidden="false" customHeight="false" outlineLevel="0" collapsed="false">
      <c r="A883" s="375"/>
      <c r="B883" s="375"/>
      <c r="C883" s="375"/>
      <c r="D883" s="375"/>
      <c r="E883" s="375"/>
      <c r="F883" s="375"/>
    </row>
    <row r="884" customFormat="false" ht="11.25" hidden="false" customHeight="false" outlineLevel="0" collapsed="false">
      <c r="A884" s="375"/>
      <c r="B884" s="375"/>
      <c r="C884" s="375"/>
      <c r="D884" s="375"/>
      <c r="E884" s="375"/>
      <c r="F884" s="375"/>
    </row>
    <row r="885" customFormat="false" ht="11.25" hidden="false" customHeight="false" outlineLevel="0" collapsed="false">
      <c r="A885" s="375"/>
      <c r="B885" s="375"/>
      <c r="C885" s="375"/>
      <c r="D885" s="375"/>
      <c r="E885" s="375"/>
      <c r="F885" s="375"/>
    </row>
    <row r="886" customFormat="false" ht="11.25" hidden="false" customHeight="false" outlineLevel="0" collapsed="false">
      <c r="A886" s="375"/>
      <c r="B886" s="375"/>
      <c r="C886" s="375"/>
      <c r="D886" s="375"/>
      <c r="E886" s="375"/>
      <c r="F886" s="375"/>
    </row>
    <row r="887" customFormat="false" ht="11.25" hidden="false" customHeight="false" outlineLevel="0" collapsed="false">
      <c r="A887" s="375"/>
      <c r="B887" s="375"/>
      <c r="C887" s="375"/>
      <c r="D887" s="375"/>
      <c r="E887" s="375"/>
      <c r="F887" s="375"/>
    </row>
    <row r="888" customFormat="false" ht="11.25" hidden="false" customHeight="false" outlineLevel="0" collapsed="false">
      <c r="A888" s="375"/>
      <c r="B888" s="375"/>
      <c r="C888" s="375"/>
      <c r="D888" s="375"/>
      <c r="E888" s="375"/>
      <c r="F888" s="375"/>
    </row>
    <row r="889" customFormat="false" ht="11.25" hidden="false" customHeight="false" outlineLevel="0" collapsed="false">
      <c r="A889" s="375"/>
      <c r="B889" s="375"/>
      <c r="C889" s="375"/>
      <c r="D889" s="375"/>
      <c r="E889" s="375"/>
      <c r="F889" s="375"/>
    </row>
    <row r="890" customFormat="false" ht="11.25" hidden="false" customHeight="false" outlineLevel="0" collapsed="false">
      <c r="A890" s="375"/>
      <c r="B890" s="375"/>
      <c r="C890" s="375"/>
      <c r="D890" s="375"/>
      <c r="E890" s="375"/>
      <c r="F890" s="375"/>
    </row>
    <row r="891" customFormat="false" ht="11.25" hidden="false" customHeight="false" outlineLevel="0" collapsed="false">
      <c r="A891" s="375"/>
      <c r="B891" s="375"/>
      <c r="C891" s="375"/>
      <c r="D891" s="375"/>
      <c r="E891" s="375"/>
      <c r="F891" s="375"/>
    </row>
    <row r="892" customFormat="false" ht="11.25" hidden="false" customHeight="false" outlineLevel="0" collapsed="false">
      <c r="A892" s="375"/>
      <c r="B892" s="375"/>
      <c r="C892" s="375"/>
      <c r="D892" s="375"/>
      <c r="E892" s="375"/>
      <c r="F892" s="375"/>
    </row>
    <row r="893" customFormat="false" ht="11.25" hidden="false" customHeight="false" outlineLevel="0" collapsed="false">
      <c r="A893" s="375"/>
      <c r="B893" s="375"/>
      <c r="C893" s="375"/>
      <c r="D893" s="375"/>
      <c r="E893" s="375"/>
      <c r="F893" s="375"/>
    </row>
    <row r="894" customFormat="false" ht="11.25" hidden="false" customHeight="false" outlineLevel="0" collapsed="false">
      <c r="A894" s="375"/>
      <c r="B894" s="375"/>
      <c r="C894" s="375"/>
      <c r="D894" s="375"/>
      <c r="E894" s="375"/>
      <c r="F894" s="375"/>
    </row>
    <row r="895" customFormat="false" ht="11.25" hidden="false" customHeight="false" outlineLevel="0" collapsed="false">
      <c r="A895" s="375"/>
      <c r="B895" s="375"/>
      <c r="C895" s="375"/>
      <c r="D895" s="375"/>
      <c r="E895" s="375"/>
      <c r="F895" s="375"/>
    </row>
    <row r="896" customFormat="false" ht="11.25" hidden="false" customHeight="false" outlineLevel="0" collapsed="false">
      <c r="A896" s="375"/>
      <c r="B896" s="375"/>
      <c r="C896" s="375"/>
      <c r="D896" s="375"/>
      <c r="E896" s="375"/>
      <c r="F896" s="375"/>
    </row>
    <row r="897" customFormat="false" ht="11.25" hidden="false" customHeight="false" outlineLevel="0" collapsed="false">
      <c r="A897" s="375"/>
      <c r="B897" s="375"/>
      <c r="C897" s="375"/>
      <c r="D897" s="375"/>
      <c r="E897" s="375"/>
      <c r="F897" s="375"/>
    </row>
    <row r="898" customFormat="false" ht="11.25" hidden="false" customHeight="false" outlineLevel="0" collapsed="false">
      <c r="A898" s="375"/>
      <c r="B898" s="375"/>
      <c r="C898" s="375"/>
      <c r="D898" s="375"/>
      <c r="E898" s="375"/>
      <c r="F898" s="375"/>
    </row>
    <row r="899" customFormat="false" ht="11.25" hidden="false" customHeight="false" outlineLevel="0" collapsed="false">
      <c r="A899" s="375"/>
      <c r="B899" s="375"/>
      <c r="C899" s="375"/>
      <c r="D899" s="375"/>
      <c r="E899" s="375"/>
      <c r="F899" s="375"/>
    </row>
    <row r="900" customFormat="false" ht="11.25" hidden="false" customHeight="false" outlineLevel="0" collapsed="false">
      <c r="A900" s="375"/>
      <c r="B900" s="375"/>
      <c r="C900" s="375"/>
      <c r="D900" s="375"/>
      <c r="E900" s="375"/>
      <c r="F900" s="375"/>
    </row>
    <row r="901" customFormat="false" ht="11.25" hidden="false" customHeight="false" outlineLevel="0" collapsed="false">
      <c r="A901" s="375"/>
      <c r="B901" s="375"/>
      <c r="C901" s="375"/>
      <c r="D901" s="375"/>
      <c r="E901" s="375"/>
      <c r="F901" s="375"/>
    </row>
    <row r="902" customFormat="false" ht="11.25" hidden="false" customHeight="false" outlineLevel="0" collapsed="false">
      <c r="A902" s="375"/>
      <c r="B902" s="375"/>
      <c r="C902" s="375"/>
      <c r="D902" s="375"/>
      <c r="E902" s="375"/>
      <c r="F902" s="375"/>
    </row>
    <row r="903" customFormat="false" ht="11.25" hidden="false" customHeight="false" outlineLevel="0" collapsed="false">
      <c r="A903" s="375"/>
      <c r="B903" s="375"/>
      <c r="C903" s="375"/>
      <c r="D903" s="375"/>
      <c r="E903" s="375"/>
      <c r="F903" s="375"/>
    </row>
    <row r="904" customFormat="false" ht="11.25" hidden="false" customHeight="false" outlineLevel="0" collapsed="false">
      <c r="A904" s="375"/>
      <c r="B904" s="375"/>
      <c r="C904" s="375"/>
      <c r="D904" s="375"/>
      <c r="E904" s="375"/>
      <c r="F904" s="375"/>
    </row>
    <row r="905" customFormat="false" ht="11.25" hidden="false" customHeight="false" outlineLevel="0" collapsed="false">
      <c r="A905" s="375"/>
      <c r="B905" s="375"/>
      <c r="C905" s="375"/>
      <c r="D905" s="375"/>
      <c r="E905" s="375"/>
      <c r="F905" s="375"/>
    </row>
    <row r="906" customFormat="false" ht="11.25" hidden="false" customHeight="false" outlineLevel="0" collapsed="false">
      <c r="A906" s="375"/>
      <c r="B906" s="375"/>
      <c r="C906" s="375"/>
      <c r="D906" s="375"/>
      <c r="E906" s="375"/>
      <c r="F906" s="375"/>
    </row>
    <row r="907" customFormat="false" ht="11.25" hidden="false" customHeight="false" outlineLevel="0" collapsed="false">
      <c r="A907" s="375"/>
      <c r="B907" s="375"/>
      <c r="C907" s="375"/>
      <c r="D907" s="375"/>
      <c r="E907" s="375"/>
      <c r="F907" s="375"/>
    </row>
    <row r="908" customFormat="false" ht="11.25" hidden="false" customHeight="false" outlineLevel="0" collapsed="false">
      <c r="A908" s="375"/>
      <c r="B908" s="375"/>
      <c r="C908" s="375"/>
      <c r="D908" s="375"/>
      <c r="E908" s="375"/>
      <c r="F908" s="375"/>
    </row>
    <row r="909" customFormat="false" ht="11.25" hidden="false" customHeight="false" outlineLevel="0" collapsed="false">
      <c r="A909" s="375"/>
      <c r="B909" s="375"/>
      <c r="C909" s="375"/>
      <c r="D909" s="375"/>
      <c r="E909" s="375"/>
      <c r="F909" s="375"/>
    </row>
    <row r="910" customFormat="false" ht="11.25" hidden="false" customHeight="false" outlineLevel="0" collapsed="false">
      <c r="A910" s="375"/>
      <c r="B910" s="375"/>
      <c r="C910" s="375"/>
      <c r="D910" s="375"/>
      <c r="E910" s="375"/>
      <c r="F910" s="375"/>
    </row>
    <row r="911" customFormat="false" ht="11.25" hidden="false" customHeight="false" outlineLevel="0" collapsed="false">
      <c r="A911" s="375"/>
      <c r="B911" s="375"/>
      <c r="C911" s="375"/>
      <c r="D911" s="375"/>
      <c r="E911" s="375"/>
      <c r="F911" s="375"/>
    </row>
    <row r="912" customFormat="false" ht="11.25" hidden="false" customHeight="false" outlineLevel="0" collapsed="false">
      <c r="A912" s="375"/>
      <c r="B912" s="375"/>
      <c r="C912" s="375"/>
      <c r="D912" s="375"/>
      <c r="E912" s="375"/>
      <c r="F912" s="375"/>
    </row>
    <row r="913" customFormat="false" ht="11.25" hidden="false" customHeight="false" outlineLevel="0" collapsed="false">
      <c r="A913" s="375"/>
      <c r="B913" s="375"/>
      <c r="C913" s="375"/>
      <c r="D913" s="375"/>
      <c r="E913" s="375"/>
      <c r="F913" s="375"/>
    </row>
    <row r="914" customFormat="false" ht="11.25" hidden="false" customHeight="false" outlineLevel="0" collapsed="false">
      <c r="A914" s="375"/>
      <c r="B914" s="375"/>
      <c r="C914" s="375"/>
      <c r="D914" s="375"/>
      <c r="E914" s="375"/>
      <c r="F914" s="375"/>
    </row>
    <row r="915" customFormat="false" ht="11.25" hidden="false" customHeight="false" outlineLevel="0" collapsed="false">
      <c r="A915" s="375"/>
      <c r="B915" s="375"/>
      <c r="C915" s="375"/>
      <c r="D915" s="375"/>
      <c r="E915" s="375"/>
      <c r="F915" s="375"/>
    </row>
    <row r="916" customFormat="false" ht="11.25" hidden="false" customHeight="false" outlineLevel="0" collapsed="false">
      <c r="A916" s="375"/>
      <c r="B916" s="375"/>
      <c r="C916" s="375"/>
      <c r="D916" s="375"/>
      <c r="E916" s="375"/>
      <c r="F916" s="375"/>
    </row>
    <row r="917" customFormat="false" ht="11.25" hidden="false" customHeight="false" outlineLevel="0" collapsed="false">
      <c r="A917" s="375"/>
      <c r="B917" s="375"/>
      <c r="C917" s="375"/>
      <c r="D917" s="375"/>
      <c r="E917" s="375"/>
      <c r="F917" s="375"/>
    </row>
    <row r="918" customFormat="false" ht="11.25" hidden="false" customHeight="false" outlineLevel="0" collapsed="false">
      <c r="A918" s="375"/>
      <c r="B918" s="375"/>
      <c r="C918" s="375"/>
      <c r="D918" s="375"/>
      <c r="E918" s="375"/>
      <c r="F918" s="375"/>
    </row>
    <row r="919" customFormat="false" ht="11.25" hidden="false" customHeight="false" outlineLevel="0" collapsed="false">
      <c r="A919" s="375"/>
      <c r="B919" s="375"/>
      <c r="C919" s="375"/>
      <c r="D919" s="375"/>
      <c r="E919" s="375"/>
      <c r="F919" s="375"/>
    </row>
    <row r="920" customFormat="false" ht="11.25" hidden="false" customHeight="false" outlineLevel="0" collapsed="false">
      <c r="A920" s="375"/>
      <c r="B920" s="375"/>
      <c r="C920" s="375"/>
      <c r="D920" s="375"/>
      <c r="E920" s="375"/>
      <c r="F920" s="375"/>
    </row>
    <row r="921" customFormat="false" ht="11.25" hidden="false" customHeight="false" outlineLevel="0" collapsed="false">
      <c r="A921" s="375"/>
      <c r="B921" s="375"/>
      <c r="C921" s="375"/>
      <c r="D921" s="375"/>
      <c r="E921" s="375"/>
      <c r="F921" s="375"/>
    </row>
    <row r="922" customFormat="false" ht="11.25" hidden="false" customHeight="false" outlineLevel="0" collapsed="false">
      <c r="A922" s="375"/>
      <c r="B922" s="375"/>
      <c r="C922" s="375"/>
      <c r="D922" s="375"/>
      <c r="E922" s="375"/>
      <c r="F922" s="375"/>
    </row>
    <row r="923" customFormat="false" ht="11.25" hidden="false" customHeight="false" outlineLevel="0" collapsed="false">
      <c r="A923" s="375"/>
      <c r="B923" s="375"/>
      <c r="C923" s="375"/>
      <c r="D923" s="375"/>
      <c r="E923" s="375"/>
      <c r="F923" s="375"/>
    </row>
    <row r="924" customFormat="false" ht="11.25" hidden="false" customHeight="false" outlineLevel="0" collapsed="false">
      <c r="A924" s="375"/>
      <c r="B924" s="375"/>
      <c r="C924" s="375"/>
      <c r="D924" s="375"/>
      <c r="E924" s="375"/>
      <c r="F924" s="375"/>
    </row>
    <row r="925" customFormat="false" ht="11.25" hidden="false" customHeight="false" outlineLevel="0" collapsed="false">
      <c r="A925" s="375"/>
      <c r="B925" s="375"/>
      <c r="C925" s="375"/>
      <c r="D925" s="375"/>
      <c r="E925" s="375"/>
      <c r="F925" s="375"/>
    </row>
    <row r="926" customFormat="false" ht="11.25" hidden="false" customHeight="false" outlineLevel="0" collapsed="false">
      <c r="A926" s="375"/>
      <c r="B926" s="375"/>
      <c r="C926" s="375"/>
      <c r="D926" s="375"/>
      <c r="E926" s="375"/>
      <c r="F926" s="375"/>
    </row>
    <row r="927" customFormat="false" ht="11.25" hidden="false" customHeight="false" outlineLevel="0" collapsed="false">
      <c r="A927" s="375"/>
      <c r="B927" s="375"/>
      <c r="C927" s="375"/>
      <c r="D927" s="375"/>
      <c r="E927" s="375"/>
      <c r="F927" s="375"/>
    </row>
    <row r="928" customFormat="false" ht="11.25" hidden="false" customHeight="false" outlineLevel="0" collapsed="false">
      <c r="A928" s="375"/>
      <c r="B928" s="375"/>
      <c r="C928" s="375"/>
      <c r="D928" s="375"/>
      <c r="E928" s="375"/>
      <c r="F928" s="375"/>
    </row>
    <row r="929" customFormat="false" ht="11.25" hidden="false" customHeight="false" outlineLevel="0" collapsed="false">
      <c r="A929" s="375"/>
      <c r="B929" s="375"/>
      <c r="C929" s="375"/>
      <c r="D929" s="375"/>
      <c r="E929" s="375"/>
      <c r="F929" s="375"/>
    </row>
    <row r="930" customFormat="false" ht="11.25" hidden="false" customHeight="false" outlineLevel="0" collapsed="false">
      <c r="A930" s="375"/>
      <c r="B930" s="375"/>
      <c r="C930" s="375"/>
      <c r="D930" s="375"/>
      <c r="E930" s="375"/>
      <c r="F930" s="375"/>
    </row>
    <row r="931" customFormat="false" ht="11.25" hidden="false" customHeight="false" outlineLevel="0" collapsed="false">
      <c r="A931" s="375"/>
      <c r="B931" s="375"/>
      <c r="C931" s="375"/>
      <c r="D931" s="375"/>
      <c r="E931" s="375"/>
      <c r="F931" s="375"/>
    </row>
    <row r="932" customFormat="false" ht="11.25" hidden="false" customHeight="false" outlineLevel="0" collapsed="false">
      <c r="A932" s="375"/>
      <c r="B932" s="375"/>
      <c r="C932" s="375"/>
      <c r="D932" s="375"/>
      <c r="E932" s="375"/>
      <c r="F932" s="375"/>
    </row>
    <row r="933" customFormat="false" ht="11.25" hidden="false" customHeight="false" outlineLevel="0" collapsed="false">
      <c r="A933" s="375"/>
      <c r="B933" s="375"/>
      <c r="C933" s="375"/>
      <c r="D933" s="375"/>
      <c r="E933" s="375"/>
      <c r="F933" s="375"/>
    </row>
    <row r="934" customFormat="false" ht="11.25" hidden="false" customHeight="false" outlineLevel="0" collapsed="false">
      <c r="A934" s="375"/>
      <c r="B934" s="375"/>
      <c r="C934" s="375"/>
      <c r="D934" s="375"/>
      <c r="E934" s="375"/>
      <c r="F934" s="375"/>
    </row>
    <row r="935" customFormat="false" ht="11.25" hidden="false" customHeight="false" outlineLevel="0" collapsed="false">
      <c r="A935" s="375"/>
      <c r="B935" s="375"/>
      <c r="C935" s="375"/>
      <c r="D935" s="375"/>
      <c r="E935" s="375"/>
      <c r="F935" s="375"/>
    </row>
    <row r="936" customFormat="false" ht="11.25" hidden="false" customHeight="false" outlineLevel="0" collapsed="false">
      <c r="A936" s="375"/>
      <c r="B936" s="375"/>
      <c r="C936" s="375"/>
      <c r="D936" s="375"/>
      <c r="E936" s="375"/>
      <c r="F936" s="375"/>
    </row>
    <row r="937" customFormat="false" ht="11.25" hidden="false" customHeight="false" outlineLevel="0" collapsed="false">
      <c r="A937" s="375"/>
      <c r="B937" s="375"/>
      <c r="C937" s="375"/>
      <c r="D937" s="375"/>
      <c r="E937" s="375"/>
      <c r="F937" s="375"/>
    </row>
    <row r="938" customFormat="false" ht="11.25" hidden="false" customHeight="false" outlineLevel="0" collapsed="false">
      <c r="A938" s="375"/>
      <c r="B938" s="375"/>
      <c r="C938" s="375"/>
      <c r="D938" s="375"/>
      <c r="E938" s="375"/>
      <c r="F938" s="375"/>
    </row>
    <row r="939" customFormat="false" ht="11.25" hidden="false" customHeight="false" outlineLevel="0" collapsed="false">
      <c r="A939" s="375"/>
      <c r="B939" s="375"/>
      <c r="C939" s="375"/>
      <c r="D939" s="375"/>
      <c r="E939" s="375"/>
      <c r="F939" s="375"/>
    </row>
    <row r="940" customFormat="false" ht="11.25" hidden="false" customHeight="false" outlineLevel="0" collapsed="false">
      <c r="A940" s="375"/>
      <c r="B940" s="375"/>
      <c r="C940" s="375"/>
      <c r="D940" s="375"/>
      <c r="E940" s="375"/>
      <c r="F940" s="375"/>
    </row>
    <row r="941" customFormat="false" ht="11.25" hidden="false" customHeight="false" outlineLevel="0" collapsed="false">
      <c r="A941" s="375"/>
      <c r="B941" s="375"/>
      <c r="C941" s="375"/>
      <c r="D941" s="375"/>
      <c r="E941" s="375"/>
      <c r="F941" s="375"/>
    </row>
    <row r="942" customFormat="false" ht="11.25" hidden="false" customHeight="false" outlineLevel="0" collapsed="false">
      <c r="A942" s="375"/>
      <c r="B942" s="375"/>
      <c r="C942" s="375"/>
      <c r="D942" s="375"/>
      <c r="E942" s="375"/>
      <c r="F942" s="375"/>
    </row>
    <row r="943" customFormat="false" ht="11.25" hidden="false" customHeight="false" outlineLevel="0" collapsed="false">
      <c r="A943" s="375"/>
      <c r="B943" s="375"/>
      <c r="C943" s="375"/>
      <c r="D943" s="375"/>
      <c r="E943" s="375"/>
      <c r="F943" s="375"/>
    </row>
    <row r="944" customFormat="false" ht="11.25" hidden="false" customHeight="false" outlineLevel="0" collapsed="false">
      <c r="A944" s="375"/>
      <c r="B944" s="375"/>
      <c r="C944" s="375"/>
      <c r="D944" s="375"/>
      <c r="E944" s="375"/>
      <c r="F944" s="375"/>
    </row>
    <row r="945" customFormat="false" ht="11.25" hidden="false" customHeight="false" outlineLevel="0" collapsed="false">
      <c r="A945" s="375"/>
      <c r="B945" s="375"/>
      <c r="C945" s="375"/>
      <c r="D945" s="375"/>
      <c r="E945" s="375"/>
      <c r="F945" s="375"/>
    </row>
    <row r="946" customFormat="false" ht="11.25" hidden="false" customHeight="false" outlineLevel="0" collapsed="false">
      <c r="A946" s="375"/>
      <c r="B946" s="375"/>
      <c r="C946" s="375"/>
      <c r="D946" s="375"/>
      <c r="E946" s="375"/>
      <c r="F946" s="375"/>
    </row>
    <row r="947" customFormat="false" ht="11.25" hidden="false" customHeight="false" outlineLevel="0" collapsed="false">
      <c r="A947" s="375"/>
      <c r="B947" s="375"/>
      <c r="C947" s="375"/>
      <c r="D947" s="375"/>
      <c r="E947" s="375"/>
      <c r="F947" s="375"/>
    </row>
    <row r="948" customFormat="false" ht="11.25" hidden="false" customHeight="false" outlineLevel="0" collapsed="false">
      <c r="A948" s="375"/>
      <c r="B948" s="375"/>
      <c r="C948" s="375"/>
      <c r="D948" s="375"/>
      <c r="E948" s="375"/>
      <c r="F948" s="375"/>
    </row>
    <row r="949" customFormat="false" ht="11.25" hidden="false" customHeight="false" outlineLevel="0" collapsed="false">
      <c r="A949" s="375"/>
      <c r="B949" s="375"/>
      <c r="C949" s="375"/>
      <c r="D949" s="375"/>
      <c r="E949" s="375"/>
      <c r="F949" s="375"/>
    </row>
    <row r="950" customFormat="false" ht="11.25" hidden="false" customHeight="false" outlineLevel="0" collapsed="false">
      <c r="A950" s="375"/>
      <c r="B950" s="375"/>
      <c r="C950" s="375"/>
      <c r="D950" s="375"/>
      <c r="E950" s="375"/>
      <c r="F950" s="375"/>
    </row>
    <row r="951" customFormat="false" ht="11.25" hidden="false" customHeight="false" outlineLevel="0" collapsed="false">
      <c r="A951" s="375"/>
      <c r="B951" s="375"/>
      <c r="C951" s="375"/>
      <c r="D951" s="375"/>
      <c r="E951" s="375"/>
      <c r="F951" s="375"/>
    </row>
    <row r="952" customFormat="false" ht="11.25" hidden="false" customHeight="false" outlineLevel="0" collapsed="false">
      <c r="A952" s="375"/>
      <c r="B952" s="375"/>
      <c r="C952" s="375"/>
      <c r="D952" s="375"/>
      <c r="E952" s="375"/>
      <c r="F952" s="375"/>
    </row>
    <row r="953" customFormat="false" ht="11.25" hidden="false" customHeight="false" outlineLevel="0" collapsed="false">
      <c r="A953" s="375"/>
      <c r="B953" s="375"/>
      <c r="C953" s="375"/>
      <c r="D953" s="375"/>
      <c r="E953" s="375"/>
      <c r="F953" s="375"/>
    </row>
    <row r="954" customFormat="false" ht="11.25" hidden="false" customHeight="false" outlineLevel="0" collapsed="false">
      <c r="A954" s="375"/>
      <c r="B954" s="375"/>
      <c r="C954" s="375"/>
      <c r="D954" s="375"/>
      <c r="E954" s="375"/>
      <c r="F954" s="375"/>
    </row>
    <row r="955" customFormat="false" ht="11.25" hidden="false" customHeight="false" outlineLevel="0" collapsed="false">
      <c r="A955" s="375"/>
      <c r="B955" s="375"/>
      <c r="C955" s="375"/>
      <c r="D955" s="375"/>
      <c r="E955" s="375"/>
      <c r="F955" s="375"/>
    </row>
    <row r="956" customFormat="false" ht="11.25" hidden="false" customHeight="false" outlineLevel="0" collapsed="false">
      <c r="A956" s="375"/>
      <c r="B956" s="375"/>
      <c r="C956" s="375"/>
      <c r="D956" s="375"/>
      <c r="E956" s="375"/>
      <c r="F956" s="375"/>
    </row>
    <row r="957" customFormat="false" ht="11.25" hidden="false" customHeight="false" outlineLevel="0" collapsed="false">
      <c r="A957" s="375"/>
      <c r="B957" s="375"/>
      <c r="C957" s="375"/>
      <c r="D957" s="375"/>
      <c r="E957" s="375"/>
      <c r="F957" s="375"/>
    </row>
    <row r="958" customFormat="false" ht="11.25" hidden="false" customHeight="false" outlineLevel="0" collapsed="false">
      <c r="A958" s="375"/>
      <c r="B958" s="375"/>
      <c r="C958" s="375"/>
      <c r="D958" s="375"/>
      <c r="E958" s="375"/>
      <c r="F958" s="375"/>
    </row>
    <row r="959" customFormat="false" ht="11.25" hidden="false" customHeight="false" outlineLevel="0" collapsed="false">
      <c r="A959" s="375"/>
      <c r="B959" s="375"/>
      <c r="C959" s="375"/>
      <c r="D959" s="375"/>
      <c r="E959" s="375"/>
      <c r="F959" s="375"/>
    </row>
    <row r="960" customFormat="false" ht="11.25" hidden="false" customHeight="false" outlineLevel="0" collapsed="false">
      <c r="A960" s="375"/>
      <c r="B960" s="375"/>
      <c r="C960" s="375"/>
      <c r="D960" s="375"/>
      <c r="E960" s="375"/>
      <c r="F960" s="375"/>
    </row>
    <row r="961" customFormat="false" ht="11.25" hidden="false" customHeight="false" outlineLevel="0" collapsed="false">
      <c r="A961" s="375"/>
      <c r="B961" s="375"/>
      <c r="C961" s="375"/>
      <c r="D961" s="375"/>
      <c r="E961" s="375"/>
      <c r="F961" s="375"/>
    </row>
    <row r="962" customFormat="false" ht="11.25" hidden="false" customHeight="false" outlineLevel="0" collapsed="false">
      <c r="A962" s="375"/>
      <c r="B962" s="375"/>
      <c r="C962" s="375"/>
      <c r="D962" s="375"/>
      <c r="E962" s="375"/>
      <c r="F962" s="375"/>
    </row>
    <row r="963" customFormat="false" ht="11.25" hidden="false" customHeight="false" outlineLevel="0" collapsed="false">
      <c r="A963" s="375"/>
      <c r="B963" s="375"/>
      <c r="C963" s="375"/>
      <c r="D963" s="375"/>
      <c r="E963" s="375"/>
      <c r="F963" s="375"/>
    </row>
    <row r="964" customFormat="false" ht="11.25" hidden="false" customHeight="false" outlineLevel="0" collapsed="false">
      <c r="A964" s="375"/>
      <c r="B964" s="375"/>
      <c r="C964" s="375"/>
      <c r="D964" s="375"/>
      <c r="E964" s="375"/>
      <c r="F964" s="375"/>
    </row>
    <row r="965" customFormat="false" ht="11.25" hidden="false" customHeight="false" outlineLevel="0" collapsed="false">
      <c r="A965" s="375"/>
      <c r="B965" s="375"/>
      <c r="C965" s="375"/>
      <c r="D965" s="375"/>
      <c r="E965" s="375"/>
      <c r="F965" s="375"/>
    </row>
    <row r="966" customFormat="false" ht="11.25" hidden="false" customHeight="false" outlineLevel="0" collapsed="false">
      <c r="A966" s="375"/>
      <c r="B966" s="375"/>
      <c r="C966" s="375"/>
      <c r="D966" s="375"/>
      <c r="E966" s="375"/>
      <c r="F966" s="375"/>
    </row>
    <row r="967" customFormat="false" ht="11.25" hidden="false" customHeight="false" outlineLevel="0" collapsed="false">
      <c r="A967" s="375"/>
      <c r="B967" s="375"/>
      <c r="C967" s="375"/>
      <c r="D967" s="375"/>
      <c r="E967" s="375"/>
      <c r="F967" s="375"/>
    </row>
    <row r="968" customFormat="false" ht="11.25" hidden="false" customHeight="false" outlineLevel="0" collapsed="false">
      <c r="A968" s="375"/>
      <c r="B968" s="375"/>
      <c r="C968" s="375"/>
      <c r="D968" s="375"/>
      <c r="E968" s="375"/>
      <c r="F968" s="375"/>
    </row>
    <row r="969" customFormat="false" ht="11.25" hidden="false" customHeight="false" outlineLevel="0" collapsed="false">
      <c r="A969" s="375"/>
      <c r="B969" s="375"/>
      <c r="C969" s="375"/>
      <c r="D969" s="375"/>
      <c r="E969" s="375"/>
      <c r="F969" s="375"/>
    </row>
    <row r="970" customFormat="false" ht="11.25" hidden="false" customHeight="false" outlineLevel="0" collapsed="false">
      <c r="A970" s="375"/>
      <c r="B970" s="375"/>
      <c r="C970" s="375"/>
      <c r="D970" s="375"/>
      <c r="E970" s="375"/>
      <c r="F970" s="375"/>
    </row>
    <row r="971" customFormat="false" ht="11.25" hidden="false" customHeight="false" outlineLevel="0" collapsed="false">
      <c r="A971" s="375"/>
      <c r="B971" s="375"/>
      <c r="C971" s="375"/>
      <c r="D971" s="375"/>
      <c r="E971" s="375"/>
      <c r="F971" s="375"/>
    </row>
    <row r="972" customFormat="false" ht="11.25" hidden="false" customHeight="false" outlineLevel="0" collapsed="false">
      <c r="A972" s="375"/>
      <c r="B972" s="375"/>
      <c r="C972" s="375"/>
      <c r="D972" s="375"/>
      <c r="E972" s="375"/>
      <c r="F972" s="375"/>
    </row>
    <row r="973" customFormat="false" ht="11.25" hidden="false" customHeight="false" outlineLevel="0" collapsed="false">
      <c r="A973" s="375"/>
      <c r="B973" s="375"/>
      <c r="C973" s="375"/>
      <c r="D973" s="375"/>
      <c r="E973" s="375"/>
      <c r="F973" s="375"/>
    </row>
    <row r="974" customFormat="false" ht="11.25" hidden="false" customHeight="false" outlineLevel="0" collapsed="false">
      <c r="A974" s="375"/>
      <c r="B974" s="375"/>
      <c r="C974" s="375"/>
      <c r="D974" s="375"/>
      <c r="E974" s="375"/>
      <c r="F974" s="375"/>
    </row>
    <row r="975" customFormat="false" ht="11.25" hidden="false" customHeight="false" outlineLevel="0" collapsed="false">
      <c r="A975" s="375"/>
      <c r="B975" s="375"/>
      <c r="C975" s="375"/>
      <c r="D975" s="375"/>
      <c r="E975" s="375"/>
      <c r="F975" s="375"/>
    </row>
    <row r="976" customFormat="false" ht="11.25" hidden="false" customHeight="false" outlineLevel="0" collapsed="false">
      <c r="A976" s="375"/>
      <c r="B976" s="375"/>
      <c r="C976" s="375"/>
      <c r="D976" s="375"/>
      <c r="E976" s="375"/>
      <c r="F976" s="375"/>
    </row>
    <row r="977" customFormat="false" ht="11.25" hidden="false" customHeight="false" outlineLevel="0" collapsed="false">
      <c r="A977" s="375"/>
      <c r="B977" s="375"/>
      <c r="C977" s="375"/>
      <c r="D977" s="375"/>
      <c r="E977" s="375"/>
      <c r="F977" s="375"/>
    </row>
    <row r="978" customFormat="false" ht="11.25" hidden="false" customHeight="false" outlineLevel="0" collapsed="false">
      <c r="A978" s="375"/>
      <c r="B978" s="375"/>
      <c r="C978" s="375"/>
      <c r="D978" s="375"/>
      <c r="E978" s="375"/>
      <c r="F978" s="375"/>
    </row>
    <row r="979" customFormat="false" ht="11.25" hidden="false" customHeight="false" outlineLevel="0" collapsed="false">
      <c r="A979" s="375"/>
      <c r="B979" s="375"/>
      <c r="C979" s="375"/>
      <c r="D979" s="375"/>
      <c r="E979" s="375"/>
      <c r="F979" s="375"/>
    </row>
    <row r="980" customFormat="false" ht="11.25" hidden="false" customHeight="false" outlineLevel="0" collapsed="false">
      <c r="A980" s="375"/>
      <c r="B980" s="375"/>
      <c r="C980" s="375"/>
      <c r="D980" s="375"/>
      <c r="E980" s="375"/>
      <c r="F980" s="375"/>
    </row>
    <row r="981" customFormat="false" ht="11.25" hidden="false" customHeight="false" outlineLevel="0" collapsed="false">
      <c r="A981" s="375"/>
      <c r="B981" s="375"/>
      <c r="C981" s="375"/>
      <c r="D981" s="375"/>
      <c r="E981" s="375"/>
      <c r="F981" s="375"/>
    </row>
    <row r="982" customFormat="false" ht="11.25" hidden="false" customHeight="false" outlineLevel="0" collapsed="false">
      <c r="A982" s="375"/>
      <c r="B982" s="375"/>
      <c r="C982" s="375"/>
      <c r="D982" s="375"/>
      <c r="E982" s="375"/>
      <c r="F982" s="375"/>
    </row>
    <row r="983" customFormat="false" ht="11.25" hidden="false" customHeight="false" outlineLevel="0" collapsed="false">
      <c r="A983" s="375"/>
      <c r="B983" s="375"/>
      <c r="C983" s="375"/>
      <c r="D983" s="375"/>
      <c r="E983" s="375"/>
      <c r="F983" s="375"/>
    </row>
    <row r="984" customFormat="false" ht="11.25" hidden="false" customHeight="false" outlineLevel="0" collapsed="false">
      <c r="A984" s="375"/>
      <c r="B984" s="375"/>
      <c r="C984" s="375"/>
      <c r="D984" s="375"/>
      <c r="E984" s="375"/>
      <c r="F984" s="375"/>
    </row>
    <row r="985" customFormat="false" ht="11.25" hidden="false" customHeight="false" outlineLevel="0" collapsed="false">
      <c r="A985" s="375"/>
      <c r="B985" s="375"/>
      <c r="C985" s="375"/>
      <c r="D985" s="375"/>
      <c r="E985" s="375"/>
      <c r="F985" s="375"/>
    </row>
    <row r="986" customFormat="false" ht="11.25" hidden="false" customHeight="false" outlineLevel="0" collapsed="false">
      <c r="A986" s="375"/>
      <c r="B986" s="375"/>
      <c r="C986" s="375"/>
      <c r="D986" s="375"/>
      <c r="E986" s="375"/>
      <c r="F986" s="375"/>
    </row>
    <row r="987" customFormat="false" ht="11.25" hidden="false" customHeight="false" outlineLevel="0" collapsed="false">
      <c r="A987" s="375"/>
      <c r="B987" s="375"/>
      <c r="C987" s="375"/>
      <c r="D987" s="375"/>
      <c r="E987" s="375"/>
      <c r="F987" s="375"/>
    </row>
    <row r="988" customFormat="false" ht="11.25" hidden="false" customHeight="false" outlineLevel="0" collapsed="false">
      <c r="A988" s="375"/>
      <c r="B988" s="375"/>
      <c r="C988" s="375"/>
      <c r="D988" s="375"/>
      <c r="E988" s="375"/>
      <c r="F988" s="375"/>
    </row>
    <row r="989" customFormat="false" ht="11.25" hidden="false" customHeight="false" outlineLevel="0" collapsed="false">
      <c r="A989" s="375"/>
      <c r="B989" s="375"/>
      <c r="C989" s="375"/>
      <c r="D989" s="375"/>
      <c r="E989" s="375"/>
      <c r="F989" s="375"/>
    </row>
    <row r="990" customFormat="false" ht="11.25" hidden="false" customHeight="false" outlineLevel="0" collapsed="false">
      <c r="A990" s="375"/>
      <c r="B990" s="375"/>
      <c r="C990" s="375"/>
      <c r="D990" s="375"/>
      <c r="E990" s="375"/>
      <c r="F990" s="375"/>
    </row>
    <row r="991" customFormat="false" ht="11.25" hidden="false" customHeight="false" outlineLevel="0" collapsed="false">
      <c r="A991" s="375"/>
      <c r="B991" s="375"/>
      <c r="C991" s="375"/>
      <c r="D991" s="375"/>
      <c r="E991" s="375"/>
      <c r="F991" s="375"/>
    </row>
    <row r="992" customFormat="false" ht="11.25" hidden="false" customHeight="false" outlineLevel="0" collapsed="false">
      <c r="A992" s="375"/>
      <c r="B992" s="375"/>
      <c r="C992" s="375"/>
      <c r="D992" s="375"/>
      <c r="E992" s="375"/>
      <c r="F992" s="375"/>
    </row>
    <row r="993" customFormat="false" ht="11.25" hidden="false" customHeight="false" outlineLevel="0" collapsed="false">
      <c r="A993" s="375"/>
      <c r="B993" s="375"/>
      <c r="C993" s="375"/>
      <c r="D993" s="375"/>
      <c r="E993" s="375"/>
      <c r="F993" s="375"/>
    </row>
    <row r="994" customFormat="false" ht="11.25" hidden="false" customHeight="false" outlineLevel="0" collapsed="false">
      <c r="A994" s="375"/>
      <c r="B994" s="375"/>
      <c r="C994" s="375"/>
      <c r="D994" s="375"/>
      <c r="E994" s="375"/>
      <c r="F994" s="375"/>
    </row>
    <row r="995" customFormat="false" ht="11.25" hidden="false" customHeight="false" outlineLevel="0" collapsed="false">
      <c r="A995" s="375"/>
      <c r="B995" s="375"/>
      <c r="C995" s="375"/>
      <c r="D995" s="375"/>
      <c r="E995" s="375"/>
      <c r="F995" s="375"/>
    </row>
    <row r="996" customFormat="false" ht="11.25" hidden="false" customHeight="false" outlineLevel="0" collapsed="false">
      <c r="A996" s="375"/>
      <c r="B996" s="375"/>
      <c r="C996" s="375"/>
      <c r="D996" s="375"/>
      <c r="E996" s="375"/>
      <c r="F996" s="375"/>
    </row>
    <row r="997" customFormat="false" ht="11.25" hidden="false" customHeight="false" outlineLevel="0" collapsed="false">
      <c r="A997" s="375"/>
      <c r="B997" s="375"/>
      <c r="C997" s="375"/>
      <c r="D997" s="375"/>
      <c r="E997" s="375"/>
      <c r="F997" s="375"/>
    </row>
    <row r="998" customFormat="false" ht="11.25" hidden="false" customHeight="false" outlineLevel="0" collapsed="false">
      <c r="A998" s="375"/>
      <c r="B998" s="375"/>
      <c r="C998" s="375"/>
      <c r="D998" s="375"/>
      <c r="E998" s="375"/>
      <c r="F998" s="375"/>
    </row>
    <row r="999" customFormat="false" ht="11.25" hidden="false" customHeight="false" outlineLevel="0" collapsed="false">
      <c r="A999" s="375"/>
      <c r="B999" s="375"/>
      <c r="C999" s="375"/>
      <c r="D999" s="375"/>
      <c r="E999" s="375"/>
      <c r="F999" s="375"/>
    </row>
    <row r="1000" customFormat="false" ht="11.25" hidden="false" customHeight="false" outlineLevel="0" collapsed="false">
      <c r="A1000" s="375"/>
      <c r="B1000" s="375"/>
      <c r="C1000" s="375"/>
      <c r="D1000" s="375"/>
      <c r="E1000" s="375"/>
      <c r="F1000" s="375"/>
    </row>
    <row r="1001" customFormat="false" ht="11.25" hidden="false" customHeight="false" outlineLevel="0" collapsed="false">
      <c r="A1001" s="375"/>
      <c r="B1001" s="375"/>
      <c r="C1001" s="375"/>
      <c r="D1001" s="375"/>
      <c r="E1001" s="375"/>
      <c r="F1001" s="375"/>
    </row>
    <row r="1002" customFormat="false" ht="11.25" hidden="false" customHeight="false" outlineLevel="0" collapsed="false">
      <c r="A1002" s="375"/>
      <c r="B1002" s="375"/>
      <c r="C1002" s="375"/>
      <c r="D1002" s="375"/>
      <c r="E1002" s="375"/>
      <c r="F1002" s="375"/>
    </row>
    <row r="1003" customFormat="false" ht="11.25" hidden="false" customHeight="false" outlineLevel="0" collapsed="false">
      <c r="A1003" s="375"/>
      <c r="B1003" s="375"/>
      <c r="C1003" s="375"/>
      <c r="D1003" s="375"/>
      <c r="E1003" s="375"/>
      <c r="F1003" s="375"/>
    </row>
    <row r="1004" customFormat="false" ht="11.25" hidden="false" customHeight="false" outlineLevel="0" collapsed="false">
      <c r="A1004" s="375"/>
      <c r="B1004" s="375"/>
      <c r="C1004" s="375"/>
      <c r="D1004" s="375"/>
      <c r="E1004" s="375"/>
      <c r="F1004" s="375"/>
    </row>
    <row r="1005" customFormat="false" ht="11.25" hidden="false" customHeight="false" outlineLevel="0" collapsed="false">
      <c r="A1005" s="375"/>
      <c r="B1005" s="375"/>
      <c r="C1005" s="375"/>
      <c r="D1005" s="375"/>
      <c r="E1005" s="375"/>
      <c r="F1005" s="375"/>
    </row>
    <row r="1006" customFormat="false" ht="11.25" hidden="false" customHeight="false" outlineLevel="0" collapsed="false">
      <c r="A1006" s="375"/>
      <c r="B1006" s="375"/>
      <c r="C1006" s="375"/>
      <c r="D1006" s="375"/>
      <c r="E1006" s="375"/>
      <c r="F1006" s="375"/>
    </row>
    <row r="1007" customFormat="false" ht="11.25" hidden="false" customHeight="false" outlineLevel="0" collapsed="false">
      <c r="A1007" s="375"/>
      <c r="B1007" s="375"/>
      <c r="C1007" s="375"/>
      <c r="D1007" s="375"/>
      <c r="E1007" s="375"/>
      <c r="F1007" s="375"/>
    </row>
    <row r="1008" customFormat="false" ht="11.25" hidden="false" customHeight="false" outlineLevel="0" collapsed="false">
      <c r="A1008" s="375"/>
      <c r="B1008" s="375"/>
      <c r="C1008" s="375"/>
      <c r="D1008" s="375"/>
      <c r="E1008" s="375"/>
      <c r="F1008" s="375"/>
    </row>
    <row r="1009" customFormat="false" ht="11.25" hidden="false" customHeight="false" outlineLevel="0" collapsed="false">
      <c r="A1009" s="375"/>
      <c r="B1009" s="375"/>
      <c r="C1009" s="375"/>
      <c r="D1009" s="375"/>
      <c r="E1009" s="375"/>
      <c r="F1009" s="375"/>
    </row>
    <row r="1010" customFormat="false" ht="11.25" hidden="false" customHeight="false" outlineLevel="0" collapsed="false">
      <c r="A1010" s="375"/>
      <c r="B1010" s="375"/>
      <c r="C1010" s="375"/>
      <c r="D1010" s="375"/>
      <c r="E1010" s="375"/>
      <c r="F1010" s="375"/>
    </row>
    <row r="1011" customFormat="false" ht="11.25" hidden="false" customHeight="false" outlineLevel="0" collapsed="false">
      <c r="A1011" s="375"/>
      <c r="B1011" s="375"/>
      <c r="C1011" s="375"/>
      <c r="D1011" s="375"/>
      <c r="E1011" s="375"/>
      <c r="F1011" s="375"/>
    </row>
    <row r="1012" customFormat="false" ht="11.25" hidden="false" customHeight="false" outlineLevel="0" collapsed="false">
      <c r="A1012" s="375"/>
      <c r="B1012" s="375"/>
      <c r="C1012" s="375"/>
      <c r="D1012" s="375"/>
      <c r="E1012" s="375"/>
      <c r="F1012" s="375"/>
    </row>
    <row r="1013" customFormat="false" ht="11.25" hidden="false" customHeight="false" outlineLevel="0" collapsed="false">
      <c r="A1013" s="375"/>
      <c r="B1013" s="375"/>
      <c r="C1013" s="375"/>
      <c r="D1013" s="375"/>
      <c r="E1013" s="375"/>
      <c r="F1013" s="375"/>
    </row>
    <row r="1014" customFormat="false" ht="11.25" hidden="false" customHeight="false" outlineLevel="0" collapsed="false">
      <c r="A1014" s="375"/>
      <c r="B1014" s="375"/>
      <c r="C1014" s="375"/>
      <c r="D1014" s="375"/>
      <c r="E1014" s="375"/>
      <c r="F1014" s="375"/>
    </row>
    <row r="1015" customFormat="false" ht="11.25" hidden="false" customHeight="false" outlineLevel="0" collapsed="false">
      <c r="A1015" s="375"/>
      <c r="B1015" s="375"/>
      <c r="C1015" s="375"/>
      <c r="D1015" s="375"/>
      <c r="E1015" s="375"/>
      <c r="F1015" s="375"/>
    </row>
    <row r="1016" customFormat="false" ht="11.25" hidden="false" customHeight="false" outlineLevel="0" collapsed="false">
      <c r="A1016" s="375"/>
      <c r="B1016" s="375"/>
      <c r="C1016" s="375"/>
      <c r="D1016" s="375"/>
      <c r="E1016" s="375"/>
      <c r="F1016" s="375"/>
    </row>
    <row r="1017" customFormat="false" ht="11.25" hidden="false" customHeight="false" outlineLevel="0" collapsed="false">
      <c r="A1017" s="375"/>
      <c r="B1017" s="375"/>
      <c r="C1017" s="375"/>
      <c r="D1017" s="375"/>
      <c r="E1017" s="375"/>
      <c r="F1017" s="375"/>
    </row>
    <row r="1018" customFormat="false" ht="11.25" hidden="false" customHeight="false" outlineLevel="0" collapsed="false">
      <c r="A1018" s="375"/>
      <c r="B1018" s="375"/>
      <c r="C1018" s="375"/>
      <c r="D1018" s="375"/>
      <c r="E1018" s="375"/>
      <c r="F1018" s="375"/>
    </row>
    <row r="1019" customFormat="false" ht="11.25" hidden="false" customHeight="false" outlineLevel="0" collapsed="false">
      <c r="A1019" s="375"/>
      <c r="B1019" s="375"/>
      <c r="C1019" s="375"/>
      <c r="D1019" s="375"/>
      <c r="E1019" s="375"/>
      <c r="F1019" s="375"/>
    </row>
    <row r="1020" customFormat="false" ht="11.25" hidden="false" customHeight="false" outlineLevel="0" collapsed="false">
      <c r="A1020" s="375"/>
      <c r="B1020" s="375"/>
      <c r="C1020" s="375"/>
      <c r="D1020" s="375"/>
      <c r="E1020" s="375"/>
      <c r="F1020" s="375"/>
    </row>
    <row r="1021" customFormat="false" ht="11.25" hidden="false" customHeight="false" outlineLevel="0" collapsed="false">
      <c r="A1021" s="375"/>
      <c r="B1021" s="375"/>
      <c r="C1021" s="375"/>
      <c r="D1021" s="375"/>
      <c r="E1021" s="375"/>
      <c r="F1021" s="375"/>
    </row>
    <row r="1022" customFormat="false" ht="11.25" hidden="false" customHeight="false" outlineLevel="0" collapsed="false">
      <c r="A1022" s="375"/>
      <c r="B1022" s="375"/>
      <c r="C1022" s="375"/>
      <c r="D1022" s="375"/>
      <c r="E1022" s="375"/>
      <c r="F1022" s="375"/>
    </row>
    <row r="1023" customFormat="false" ht="11.25" hidden="false" customHeight="false" outlineLevel="0" collapsed="false">
      <c r="A1023" s="375"/>
      <c r="B1023" s="375"/>
      <c r="C1023" s="375"/>
      <c r="D1023" s="375"/>
      <c r="E1023" s="375"/>
      <c r="F1023" s="375"/>
    </row>
    <row r="1024" customFormat="false" ht="11.25" hidden="false" customHeight="false" outlineLevel="0" collapsed="false">
      <c r="A1024" s="375"/>
      <c r="B1024" s="375"/>
      <c r="C1024" s="375"/>
      <c r="D1024" s="375"/>
      <c r="E1024" s="375"/>
      <c r="F1024" s="375"/>
    </row>
    <row r="1025" customFormat="false" ht="11.25" hidden="false" customHeight="false" outlineLevel="0" collapsed="false">
      <c r="A1025" s="375"/>
      <c r="B1025" s="375"/>
      <c r="C1025" s="375"/>
      <c r="D1025" s="375"/>
      <c r="E1025" s="375"/>
      <c r="F1025" s="375"/>
    </row>
    <row r="1026" customFormat="false" ht="11.25" hidden="false" customHeight="false" outlineLevel="0" collapsed="false">
      <c r="A1026" s="375"/>
      <c r="B1026" s="375"/>
      <c r="C1026" s="375"/>
      <c r="D1026" s="375"/>
      <c r="E1026" s="375"/>
      <c r="F1026" s="375"/>
    </row>
    <row r="1027" customFormat="false" ht="11.25" hidden="false" customHeight="false" outlineLevel="0" collapsed="false">
      <c r="A1027" s="375"/>
      <c r="B1027" s="375"/>
      <c r="C1027" s="375"/>
      <c r="D1027" s="375"/>
      <c r="E1027" s="375"/>
      <c r="F1027" s="375"/>
    </row>
    <row r="1028" customFormat="false" ht="11.25" hidden="false" customHeight="false" outlineLevel="0" collapsed="false">
      <c r="A1028" s="375"/>
      <c r="B1028" s="375"/>
      <c r="C1028" s="375"/>
      <c r="D1028" s="375"/>
      <c r="E1028" s="375"/>
      <c r="F1028" s="375"/>
    </row>
    <row r="1029" customFormat="false" ht="11.25" hidden="false" customHeight="false" outlineLevel="0" collapsed="false">
      <c r="A1029" s="375"/>
      <c r="B1029" s="375"/>
      <c r="C1029" s="375"/>
      <c r="D1029" s="375"/>
      <c r="E1029" s="375"/>
      <c r="F1029" s="375"/>
    </row>
    <row r="1030" customFormat="false" ht="11.25" hidden="false" customHeight="false" outlineLevel="0" collapsed="false">
      <c r="A1030" s="375"/>
      <c r="B1030" s="375"/>
      <c r="C1030" s="375"/>
      <c r="D1030" s="375"/>
      <c r="E1030" s="375"/>
      <c r="F1030" s="375"/>
    </row>
    <row r="1031" customFormat="false" ht="11.25" hidden="false" customHeight="false" outlineLevel="0" collapsed="false">
      <c r="A1031" s="375"/>
      <c r="B1031" s="375"/>
      <c r="C1031" s="375"/>
      <c r="D1031" s="375"/>
      <c r="E1031" s="375"/>
      <c r="F1031" s="375"/>
    </row>
    <row r="1032" customFormat="false" ht="11.25" hidden="false" customHeight="false" outlineLevel="0" collapsed="false">
      <c r="A1032" s="375"/>
      <c r="B1032" s="375"/>
      <c r="C1032" s="375"/>
      <c r="D1032" s="375"/>
      <c r="E1032" s="375"/>
      <c r="F1032" s="375"/>
    </row>
    <row r="1033" customFormat="false" ht="11.25" hidden="false" customHeight="false" outlineLevel="0" collapsed="false">
      <c r="A1033" s="375"/>
      <c r="B1033" s="375"/>
      <c r="C1033" s="375"/>
      <c r="D1033" s="375"/>
      <c r="E1033" s="375"/>
      <c r="F1033" s="375"/>
    </row>
    <row r="1034" customFormat="false" ht="11.25" hidden="false" customHeight="false" outlineLevel="0" collapsed="false">
      <c r="A1034" s="375"/>
      <c r="B1034" s="375"/>
      <c r="C1034" s="375"/>
      <c r="D1034" s="375"/>
      <c r="E1034" s="375"/>
      <c r="F1034" s="375"/>
    </row>
    <row r="1035" customFormat="false" ht="11.25" hidden="false" customHeight="false" outlineLevel="0" collapsed="false">
      <c r="A1035" s="375"/>
      <c r="B1035" s="375"/>
      <c r="C1035" s="375"/>
      <c r="D1035" s="375"/>
      <c r="E1035" s="375"/>
      <c r="F1035" s="375"/>
    </row>
    <row r="1036" customFormat="false" ht="11.25" hidden="false" customHeight="false" outlineLevel="0" collapsed="false">
      <c r="A1036" s="375"/>
      <c r="B1036" s="375"/>
      <c r="C1036" s="375"/>
      <c r="D1036" s="375"/>
      <c r="E1036" s="375"/>
      <c r="F1036" s="375"/>
    </row>
    <row r="1037" customFormat="false" ht="11.25" hidden="false" customHeight="false" outlineLevel="0" collapsed="false">
      <c r="A1037" s="375"/>
      <c r="B1037" s="375"/>
      <c r="C1037" s="375"/>
      <c r="D1037" s="375"/>
      <c r="E1037" s="375"/>
      <c r="F1037" s="375"/>
    </row>
    <row r="1038" customFormat="false" ht="11.25" hidden="false" customHeight="false" outlineLevel="0" collapsed="false">
      <c r="A1038" s="375"/>
      <c r="B1038" s="375"/>
      <c r="C1038" s="375"/>
      <c r="D1038" s="375"/>
      <c r="E1038" s="375"/>
      <c r="F1038" s="375"/>
    </row>
    <row r="1039" customFormat="false" ht="11.25" hidden="false" customHeight="false" outlineLevel="0" collapsed="false">
      <c r="A1039" s="375"/>
      <c r="B1039" s="375"/>
      <c r="C1039" s="375"/>
      <c r="D1039" s="375"/>
      <c r="E1039" s="375"/>
      <c r="F1039" s="375"/>
    </row>
    <row r="1040" customFormat="false" ht="11.25" hidden="false" customHeight="false" outlineLevel="0" collapsed="false">
      <c r="A1040" s="375"/>
      <c r="B1040" s="375"/>
      <c r="C1040" s="375"/>
      <c r="D1040" s="375"/>
      <c r="E1040" s="375"/>
      <c r="F1040" s="375"/>
    </row>
    <row r="1041" customFormat="false" ht="11.25" hidden="false" customHeight="false" outlineLevel="0" collapsed="false">
      <c r="A1041" s="375"/>
      <c r="B1041" s="375"/>
      <c r="C1041" s="375"/>
      <c r="D1041" s="375"/>
      <c r="E1041" s="375"/>
      <c r="F1041" s="375"/>
    </row>
    <row r="1042" customFormat="false" ht="11.25" hidden="false" customHeight="false" outlineLevel="0" collapsed="false">
      <c r="A1042" s="375"/>
      <c r="B1042" s="375"/>
      <c r="C1042" s="375"/>
      <c r="D1042" s="375"/>
      <c r="E1042" s="375"/>
      <c r="F1042" s="375"/>
    </row>
    <row r="1043" customFormat="false" ht="11.25" hidden="false" customHeight="false" outlineLevel="0" collapsed="false">
      <c r="A1043" s="375"/>
      <c r="B1043" s="375"/>
      <c r="C1043" s="375"/>
      <c r="D1043" s="375"/>
      <c r="E1043" s="375"/>
      <c r="F1043" s="375"/>
    </row>
    <row r="1044" customFormat="false" ht="11.25" hidden="false" customHeight="false" outlineLevel="0" collapsed="false">
      <c r="A1044" s="375"/>
      <c r="B1044" s="375"/>
      <c r="C1044" s="375"/>
      <c r="D1044" s="375"/>
      <c r="E1044" s="375"/>
      <c r="F1044" s="375"/>
    </row>
    <row r="1045" customFormat="false" ht="11.25" hidden="false" customHeight="false" outlineLevel="0" collapsed="false">
      <c r="A1045" s="375"/>
      <c r="B1045" s="375"/>
      <c r="C1045" s="375"/>
      <c r="D1045" s="375"/>
      <c r="E1045" s="375"/>
      <c r="F1045" s="375"/>
    </row>
    <row r="1046" customFormat="false" ht="11.25" hidden="false" customHeight="false" outlineLevel="0" collapsed="false">
      <c r="A1046" s="375"/>
      <c r="B1046" s="375"/>
      <c r="C1046" s="375"/>
      <c r="D1046" s="375"/>
      <c r="E1046" s="375"/>
      <c r="F1046" s="375"/>
    </row>
    <row r="1047" customFormat="false" ht="11.25" hidden="false" customHeight="false" outlineLevel="0" collapsed="false">
      <c r="A1047" s="375"/>
      <c r="B1047" s="375"/>
      <c r="C1047" s="375"/>
      <c r="D1047" s="375"/>
      <c r="E1047" s="375"/>
      <c r="F1047" s="375"/>
    </row>
    <row r="1048" customFormat="false" ht="11.25" hidden="false" customHeight="false" outlineLevel="0" collapsed="false">
      <c r="A1048" s="375"/>
      <c r="B1048" s="375"/>
      <c r="C1048" s="375"/>
      <c r="D1048" s="375"/>
      <c r="E1048" s="375"/>
      <c r="F1048" s="375"/>
    </row>
    <row r="1049" customFormat="false" ht="11.25" hidden="false" customHeight="false" outlineLevel="0" collapsed="false">
      <c r="A1049" s="375"/>
      <c r="B1049" s="375"/>
      <c r="C1049" s="375"/>
      <c r="D1049" s="375"/>
      <c r="E1049" s="375"/>
      <c r="F1049" s="375"/>
    </row>
    <row r="1050" customFormat="false" ht="11.25" hidden="false" customHeight="false" outlineLevel="0" collapsed="false">
      <c r="A1050" s="375"/>
      <c r="B1050" s="375"/>
      <c r="C1050" s="375"/>
      <c r="D1050" s="375"/>
      <c r="E1050" s="375"/>
      <c r="F1050" s="375"/>
    </row>
    <row r="1051" customFormat="false" ht="11.25" hidden="false" customHeight="false" outlineLevel="0" collapsed="false">
      <c r="A1051" s="375"/>
      <c r="B1051" s="375"/>
      <c r="C1051" s="375"/>
      <c r="D1051" s="375"/>
      <c r="E1051" s="375"/>
      <c r="F1051" s="375"/>
    </row>
    <row r="1052" customFormat="false" ht="11.25" hidden="false" customHeight="false" outlineLevel="0" collapsed="false">
      <c r="A1052" s="375"/>
      <c r="B1052" s="375"/>
      <c r="C1052" s="375"/>
      <c r="D1052" s="375"/>
      <c r="E1052" s="375"/>
      <c r="F1052" s="375"/>
    </row>
    <row r="1053" customFormat="false" ht="11.25" hidden="false" customHeight="false" outlineLevel="0" collapsed="false">
      <c r="A1053" s="375"/>
      <c r="B1053" s="375"/>
      <c r="C1053" s="375"/>
      <c r="D1053" s="375"/>
      <c r="E1053" s="375"/>
      <c r="F1053" s="375"/>
    </row>
    <row r="1054" customFormat="false" ht="11.25" hidden="false" customHeight="false" outlineLevel="0" collapsed="false">
      <c r="A1054" s="375"/>
      <c r="B1054" s="375"/>
      <c r="C1054" s="375"/>
      <c r="D1054" s="375"/>
      <c r="E1054" s="375"/>
      <c r="F1054" s="375"/>
    </row>
    <row r="1055" customFormat="false" ht="11.25" hidden="false" customHeight="false" outlineLevel="0" collapsed="false">
      <c r="A1055" s="375"/>
      <c r="B1055" s="375"/>
      <c r="C1055" s="375"/>
      <c r="D1055" s="375"/>
      <c r="E1055" s="375"/>
      <c r="F1055" s="375"/>
    </row>
    <row r="1056" customFormat="false" ht="11.25" hidden="false" customHeight="false" outlineLevel="0" collapsed="false">
      <c r="A1056" s="375"/>
      <c r="B1056" s="375"/>
      <c r="C1056" s="375"/>
      <c r="D1056" s="375"/>
      <c r="E1056" s="375"/>
      <c r="F1056" s="375"/>
    </row>
    <row r="1057" customFormat="false" ht="11.25" hidden="false" customHeight="false" outlineLevel="0" collapsed="false">
      <c r="A1057" s="375"/>
      <c r="B1057" s="375"/>
      <c r="C1057" s="375"/>
      <c r="D1057" s="375"/>
      <c r="E1057" s="375"/>
      <c r="F1057" s="375"/>
    </row>
    <row r="1058" customFormat="false" ht="11.25" hidden="false" customHeight="false" outlineLevel="0" collapsed="false">
      <c r="A1058" s="375"/>
      <c r="B1058" s="375"/>
      <c r="C1058" s="375"/>
      <c r="D1058" s="375"/>
      <c r="E1058" s="375"/>
      <c r="F1058" s="375"/>
    </row>
    <row r="1059" customFormat="false" ht="11.25" hidden="false" customHeight="false" outlineLevel="0" collapsed="false">
      <c r="A1059" s="375"/>
      <c r="B1059" s="375"/>
      <c r="C1059" s="375"/>
      <c r="D1059" s="375"/>
      <c r="E1059" s="375"/>
      <c r="F1059" s="375"/>
    </row>
    <row r="1060" customFormat="false" ht="11.25" hidden="false" customHeight="false" outlineLevel="0" collapsed="false">
      <c r="A1060" s="375"/>
      <c r="B1060" s="375"/>
      <c r="C1060" s="375"/>
      <c r="D1060" s="375"/>
      <c r="E1060" s="375"/>
      <c r="F1060" s="375"/>
    </row>
    <row r="1061" customFormat="false" ht="11.25" hidden="false" customHeight="false" outlineLevel="0" collapsed="false">
      <c r="A1061" s="375"/>
      <c r="B1061" s="375"/>
      <c r="C1061" s="375"/>
      <c r="D1061" s="375"/>
      <c r="E1061" s="375"/>
      <c r="F1061" s="375"/>
    </row>
    <row r="1062" customFormat="false" ht="11.25" hidden="false" customHeight="false" outlineLevel="0" collapsed="false">
      <c r="A1062" s="375"/>
      <c r="B1062" s="375"/>
      <c r="C1062" s="375"/>
      <c r="D1062" s="375"/>
      <c r="E1062" s="375"/>
      <c r="F1062" s="375"/>
    </row>
    <row r="1063" customFormat="false" ht="11.25" hidden="false" customHeight="false" outlineLevel="0" collapsed="false">
      <c r="A1063" s="375"/>
      <c r="B1063" s="375"/>
      <c r="C1063" s="375"/>
      <c r="D1063" s="375"/>
      <c r="E1063" s="375"/>
      <c r="F1063" s="375"/>
    </row>
    <row r="1064" customFormat="false" ht="11.25" hidden="false" customHeight="false" outlineLevel="0" collapsed="false">
      <c r="A1064" s="375"/>
      <c r="B1064" s="375"/>
      <c r="C1064" s="375"/>
      <c r="D1064" s="375"/>
      <c r="E1064" s="375"/>
      <c r="F1064" s="375"/>
    </row>
    <row r="1065" customFormat="false" ht="11.25" hidden="false" customHeight="false" outlineLevel="0" collapsed="false">
      <c r="A1065" s="375"/>
      <c r="B1065" s="375"/>
      <c r="C1065" s="375"/>
      <c r="D1065" s="375"/>
      <c r="E1065" s="375"/>
      <c r="F1065" s="375"/>
    </row>
    <row r="1066" customFormat="false" ht="11.25" hidden="false" customHeight="false" outlineLevel="0" collapsed="false">
      <c r="A1066" s="375"/>
      <c r="B1066" s="375"/>
      <c r="C1066" s="375"/>
      <c r="D1066" s="375"/>
      <c r="E1066" s="375"/>
      <c r="F1066" s="375"/>
    </row>
    <row r="1067" customFormat="false" ht="11.25" hidden="false" customHeight="false" outlineLevel="0" collapsed="false">
      <c r="A1067" s="375"/>
      <c r="B1067" s="375"/>
      <c r="C1067" s="375"/>
      <c r="D1067" s="375"/>
      <c r="E1067" s="375"/>
      <c r="F1067" s="375"/>
    </row>
    <row r="1068" customFormat="false" ht="11.25" hidden="false" customHeight="false" outlineLevel="0" collapsed="false">
      <c r="A1068" s="375"/>
      <c r="B1068" s="375"/>
      <c r="C1068" s="375"/>
      <c r="D1068" s="375"/>
      <c r="E1068" s="375"/>
      <c r="F1068" s="375"/>
    </row>
    <row r="1069" customFormat="false" ht="11.25" hidden="false" customHeight="false" outlineLevel="0" collapsed="false">
      <c r="A1069" s="375"/>
      <c r="B1069" s="375"/>
      <c r="C1069" s="375"/>
      <c r="D1069" s="375"/>
      <c r="E1069" s="375"/>
      <c r="F1069" s="375"/>
    </row>
    <row r="1070" customFormat="false" ht="11.25" hidden="false" customHeight="false" outlineLevel="0" collapsed="false">
      <c r="A1070" s="375"/>
      <c r="B1070" s="375"/>
      <c r="C1070" s="375"/>
      <c r="D1070" s="375"/>
      <c r="E1070" s="375"/>
      <c r="F1070" s="375"/>
    </row>
    <row r="1071" customFormat="false" ht="11.25" hidden="false" customHeight="false" outlineLevel="0" collapsed="false">
      <c r="A1071" s="375"/>
      <c r="B1071" s="375"/>
      <c r="C1071" s="375"/>
      <c r="D1071" s="375"/>
      <c r="E1071" s="375"/>
      <c r="F1071" s="375"/>
    </row>
    <row r="1072" customFormat="false" ht="11.25" hidden="false" customHeight="false" outlineLevel="0" collapsed="false">
      <c r="A1072" s="375"/>
      <c r="B1072" s="375"/>
      <c r="C1072" s="375"/>
      <c r="D1072" s="375"/>
      <c r="E1072" s="375"/>
      <c r="F1072" s="375"/>
    </row>
    <row r="1073" customFormat="false" ht="11.25" hidden="false" customHeight="false" outlineLevel="0" collapsed="false">
      <c r="A1073" s="375"/>
      <c r="B1073" s="375"/>
      <c r="C1073" s="375"/>
      <c r="D1073" s="375"/>
      <c r="E1073" s="375"/>
      <c r="F1073" s="375"/>
    </row>
    <row r="1074" customFormat="false" ht="11.25" hidden="false" customHeight="false" outlineLevel="0" collapsed="false">
      <c r="A1074" s="375"/>
      <c r="B1074" s="375"/>
      <c r="C1074" s="375"/>
      <c r="D1074" s="375"/>
      <c r="E1074" s="375"/>
      <c r="F1074" s="375"/>
    </row>
    <row r="1075" customFormat="false" ht="11.25" hidden="false" customHeight="false" outlineLevel="0" collapsed="false">
      <c r="A1075" s="375"/>
      <c r="B1075" s="375"/>
      <c r="C1075" s="375"/>
      <c r="D1075" s="375"/>
      <c r="E1075" s="375"/>
      <c r="F1075" s="375"/>
    </row>
    <row r="1076" customFormat="false" ht="11.25" hidden="false" customHeight="false" outlineLevel="0" collapsed="false">
      <c r="A1076" s="375"/>
      <c r="B1076" s="375"/>
      <c r="C1076" s="375"/>
      <c r="D1076" s="375"/>
      <c r="E1076" s="375"/>
      <c r="F1076" s="375"/>
    </row>
    <row r="1077" customFormat="false" ht="11.25" hidden="false" customHeight="false" outlineLevel="0" collapsed="false">
      <c r="A1077" s="375"/>
      <c r="B1077" s="375"/>
      <c r="C1077" s="375"/>
      <c r="D1077" s="375"/>
      <c r="E1077" s="375"/>
      <c r="F1077" s="375"/>
    </row>
    <row r="1078" customFormat="false" ht="11.25" hidden="false" customHeight="false" outlineLevel="0" collapsed="false">
      <c r="A1078" s="375"/>
      <c r="B1078" s="375"/>
      <c r="C1078" s="375"/>
      <c r="D1078" s="375"/>
      <c r="E1078" s="375"/>
      <c r="F1078" s="375"/>
    </row>
    <row r="1079" customFormat="false" ht="11.25" hidden="false" customHeight="false" outlineLevel="0" collapsed="false">
      <c r="A1079" s="375"/>
      <c r="B1079" s="375"/>
      <c r="C1079" s="375"/>
      <c r="D1079" s="375"/>
      <c r="E1079" s="375"/>
      <c r="F1079" s="375"/>
    </row>
    <row r="1080" customFormat="false" ht="11.25" hidden="false" customHeight="false" outlineLevel="0" collapsed="false">
      <c r="A1080" s="375"/>
      <c r="B1080" s="375"/>
      <c r="C1080" s="375"/>
      <c r="D1080" s="375"/>
      <c r="E1080" s="375"/>
      <c r="F1080" s="375"/>
    </row>
    <row r="1081" customFormat="false" ht="11.25" hidden="false" customHeight="false" outlineLevel="0" collapsed="false">
      <c r="A1081" s="375"/>
      <c r="B1081" s="375"/>
      <c r="C1081" s="375"/>
      <c r="D1081" s="375"/>
      <c r="E1081" s="375"/>
      <c r="F1081" s="375"/>
    </row>
    <row r="1082" customFormat="false" ht="11.25" hidden="false" customHeight="false" outlineLevel="0" collapsed="false">
      <c r="A1082" s="375"/>
      <c r="B1082" s="375"/>
      <c r="C1082" s="375"/>
      <c r="D1082" s="375"/>
      <c r="E1082" s="375"/>
      <c r="F1082" s="375"/>
    </row>
    <row r="1083" customFormat="false" ht="11.25" hidden="false" customHeight="false" outlineLevel="0" collapsed="false">
      <c r="A1083" s="375"/>
      <c r="B1083" s="375"/>
      <c r="C1083" s="375"/>
      <c r="D1083" s="375"/>
      <c r="E1083" s="375"/>
      <c r="F1083" s="375"/>
    </row>
    <row r="1084" customFormat="false" ht="11.25" hidden="false" customHeight="false" outlineLevel="0" collapsed="false">
      <c r="A1084" s="375"/>
      <c r="B1084" s="375"/>
      <c r="C1084" s="375"/>
      <c r="D1084" s="375"/>
      <c r="E1084" s="375"/>
      <c r="F1084" s="375"/>
    </row>
    <row r="1085" customFormat="false" ht="11.25" hidden="false" customHeight="false" outlineLevel="0" collapsed="false">
      <c r="A1085" s="375"/>
      <c r="B1085" s="375"/>
      <c r="C1085" s="375"/>
      <c r="D1085" s="375"/>
      <c r="E1085" s="375"/>
      <c r="F1085" s="375"/>
    </row>
    <row r="1086" customFormat="false" ht="11.25" hidden="false" customHeight="false" outlineLevel="0" collapsed="false">
      <c r="A1086" s="375"/>
      <c r="B1086" s="375"/>
      <c r="C1086" s="375"/>
      <c r="D1086" s="375"/>
      <c r="E1086" s="375"/>
      <c r="F1086" s="375"/>
    </row>
    <row r="1087" customFormat="false" ht="11.25" hidden="false" customHeight="false" outlineLevel="0" collapsed="false">
      <c r="A1087" s="375"/>
      <c r="B1087" s="375"/>
      <c r="C1087" s="375"/>
      <c r="D1087" s="375"/>
      <c r="E1087" s="375"/>
      <c r="F1087" s="375"/>
    </row>
    <row r="1088" customFormat="false" ht="11.25" hidden="false" customHeight="false" outlineLevel="0" collapsed="false">
      <c r="A1088" s="375"/>
      <c r="B1088" s="375"/>
      <c r="C1088" s="375"/>
      <c r="D1088" s="375"/>
      <c r="E1088" s="375"/>
      <c r="F1088" s="375"/>
    </row>
    <row r="1089" customFormat="false" ht="11.25" hidden="false" customHeight="false" outlineLevel="0" collapsed="false">
      <c r="A1089" s="375"/>
      <c r="B1089" s="375"/>
      <c r="C1089" s="375"/>
      <c r="D1089" s="375"/>
      <c r="E1089" s="375"/>
      <c r="F1089" s="375"/>
    </row>
    <row r="1090" customFormat="false" ht="11.25" hidden="false" customHeight="false" outlineLevel="0" collapsed="false">
      <c r="A1090" s="375"/>
      <c r="B1090" s="375"/>
      <c r="C1090" s="375"/>
      <c r="D1090" s="375"/>
      <c r="E1090" s="375"/>
      <c r="F1090" s="375"/>
    </row>
    <row r="1091" customFormat="false" ht="11.25" hidden="false" customHeight="false" outlineLevel="0" collapsed="false">
      <c r="A1091" s="375"/>
      <c r="B1091" s="375"/>
      <c r="C1091" s="375"/>
      <c r="D1091" s="375"/>
      <c r="E1091" s="375"/>
      <c r="F1091" s="375"/>
    </row>
    <row r="1092" customFormat="false" ht="11.25" hidden="false" customHeight="false" outlineLevel="0" collapsed="false">
      <c r="A1092" s="375"/>
      <c r="B1092" s="375"/>
      <c r="C1092" s="375"/>
      <c r="D1092" s="375"/>
      <c r="E1092" s="375"/>
      <c r="F1092" s="375"/>
    </row>
    <row r="1093" customFormat="false" ht="11.25" hidden="false" customHeight="false" outlineLevel="0" collapsed="false">
      <c r="A1093" s="375"/>
      <c r="B1093" s="375"/>
      <c r="C1093" s="375"/>
      <c r="D1093" s="375"/>
      <c r="E1093" s="375"/>
      <c r="F1093" s="375"/>
    </row>
    <row r="1094" customFormat="false" ht="11.25" hidden="false" customHeight="false" outlineLevel="0" collapsed="false">
      <c r="A1094" s="375"/>
      <c r="B1094" s="375"/>
      <c r="C1094" s="375"/>
      <c r="D1094" s="375"/>
      <c r="E1094" s="375"/>
      <c r="F1094" s="375"/>
    </row>
    <row r="1095" customFormat="false" ht="11.25" hidden="false" customHeight="false" outlineLevel="0" collapsed="false">
      <c r="A1095" s="375"/>
      <c r="B1095" s="375"/>
      <c r="C1095" s="375"/>
      <c r="D1095" s="375"/>
      <c r="E1095" s="375"/>
      <c r="F1095" s="375"/>
    </row>
    <row r="1096" customFormat="false" ht="11.25" hidden="false" customHeight="false" outlineLevel="0" collapsed="false">
      <c r="A1096" s="375"/>
      <c r="B1096" s="375"/>
      <c r="C1096" s="375"/>
      <c r="D1096" s="375"/>
      <c r="E1096" s="375"/>
      <c r="F1096" s="375"/>
    </row>
    <row r="1097" customFormat="false" ht="11.25" hidden="false" customHeight="false" outlineLevel="0" collapsed="false">
      <c r="A1097" s="375"/>
      <c r="B1097" s="375"/>
      <c r="C1097" s="375"/>
      <c r="D1097" s="375"/>
      <c r="E1097" s="375"/>
      <c r="F1097" s="375"/>
    </row>
    <row r="1098" customFormat="false" ht="11.25" hidden="false" customHeight="false" outlineLevel="0" collapsed="false">
      <c r="A1098" s="375"/>
      <c r="B1098" s="375"/>
      <c r="C1098" s="375"/>
      <c r="D1098" s="375"/>
      <c r="E1098" s="375"/>
      <c r="F1098" s="375"/>
    </row>
    <row r="1099" customFormat="false" ht="11.25" hidden="false" customHeight="false" outlineLevel="0" collapsed="false">
      <c r="A1099" s="375"/>
      <c r="B1099" s="375"/>
      <c r="C1099" s="375"/>
      <c r="D1099" s="375"/>
      <c r="E1099" s="375"/>
      <c r="F1099" s="375"/>
    </row>
    <row r="1100" customFormat="false" ht="11.25" hidden="false" customHeight="false" outlineLevel="0" collapsed="false">
      <c r="A1100" s="375"/>
      <c r="B1100" s="375"/>
      <c r="C1100" s="375"/>
      <c r="D1100" s="375"/>
      <c r="E1100" s="375"/>
      <c r="F1100" s="375"/>
    </row>
    <row r="1101" customFormat="false" ht="11.25" hidden="false" customHeight="false" outlineLevel="0" collapsed="false">
      <c r="A1101" s="375"/>
      <c r="B1101" s="375"/>
      <c r="C1101" s="375"/>
      <c r="D1101" s="375"/>
      <c r="E1101" s="375"/>
      <c r="F1101" s="375"/>
    </row>
    <row r="1102" customFormat="false" ht="11.25" hidden="false" customHeight="false" outlineLevel="0" collapsed="false">
      <c r="A1102" s="375"/>
      <c r="B1102" s="375"/>
      <c r="C1102" s="375"/>
      <c r="D1102" s="375"/>
      <c r="E1102" s="375"/>
      <c r="F1102" s="375"/>
    </row>
    <row r="1103" customFormat="false" ht="11.25" hidden="false" customHeight="false" outlineLevel="0" collapsed="false">
      <c r="A1103" s="375"/>
      <c r="B1103" s="375"/>
      <c r="C1103" s="375"/>
      <c r="D1103" s="375"/>
      <c r="E1103" s="375"/>
      <c r="F1103" s="375"/>
    </row>
    <row r="1104" customFormat="false" ht="11.25" hidden="false" customHeight="false" outlineLevel="0" collapsed="false">
      <c r="A1104" s="375"/>
      <c r="B1104" s="375"/>
      <c r="C1104" s="375"/>
      <c r="D1104" s="375"/>
      <c r="E1104" s="375"/>
      <c r="F1104" s="375"/>
    </row>
    <row r="1105" customFormat="false" ht="11.25" hidden="false" customHeight="false" outlineLevel="0" collapsed="false">
      <c r="A1105" s="375"/>
      <c r="B1105" s="375"/>
      <c r="C1105" s="375"/>
      <c r="D1105" s="375"/>
      <c r="E1105" s="375"/>
      <c r="F1105" s="375"/>
    </row>
    <row r="1106" customFormat="false" ht="11.25" hidden="false" customHeight="false" outlineLevel="0" collapsed="false">
      <c r="A1106" s="375"/>
      <c r="B1106" s="375"/>
      <c r="C1106" s="375"/>
      <c r="D1106" s="375"/>
      <c r="E1106" s="375"/>
      <c r="F1106" s="375"/>
    </row>
    <row r="1107" customFormat="false" ht="11.25" hidden="false" customHeight="false" outlineLevel="0" collapsed="false">
      <c r="A1107" s="375"/>
      <c r="B1107" s="375"/>
      <c r="C1107" s="375"/>
      <c r="D1107" s="375"/>
      <c r="E1107" s="375"/>
      <c r="F1107" s="375"/>
    </row>
    <row r="1108" customFormat="false" ht="11.25" hidden="false" customHeight="false" outlineLevel="0" collapsed="false">
      <c r="A1108" s="375"/>
      <c r="B1108" s="375"/>
      <c r="C1108" s="375"/>
      <c r="D1108" s="375"/>
      <c r="E1108" s="375"/>
      <c r="F1108" s="375"/>
    </row>
    <row r="1109" customFormat="false" ht="11.25" hidden="false" customHeight="false" outlineLevel="0" collapsed="false">
      <c r="A1109" s="375"/>
      <c r="B1109" s="375"/>
      <c r="C1109" s="375"/>
      <c r="D1109" s="375"/>
      <c r="E1109" s="375"/>
      <c r="F1109" s="375"/>
    </row>
    <row r="1110" customFormat="false" ht="11.25" hidden="false" customHeight="false" outlineLevel="0" collapsed="false">
      <c r="A1110" s="375"/>
      <c r="B1110" s="375"/>
      <c r="C1110" s="375"/>
      <c r="D1110" s="375"/>
      <c r="E1110" s="375"/>
      <c r="F1110" s="375"/>
    </row>
    <row r="1111" customFormat="false" ht="11.25" hidden="false" customHeight="false" outlineLevel="0" collapsed="false">
      <c r="A1111" s="375"/>
      <c r="B1111" s="375"/>
      <c r="C1111" s="375"/>
      <c r="D1111" s="375"/>
      <c r="E1111" s="375"/>
      <c r="F1111" s="375"/>
    </row>
    <row r="1112" customFormat="false" ht="11.25" hidden="false" customHeight="false" outlineLevel="0" collapsed="false">
      <c r="A1112" s="375"/>
      <c r="B1112" s="375"/>
      <c r="C1112" s="375"/>
      <c r="D1112" s="375"/>
      <c r="E1112" s="375"/>
      <c r="F1112" s="375"/>
    </row>
    <row r="1113" customFormat="false" ht="11.25" hidden="false" customHeight="false" outlineLevel="0" collapsed="false">
      <c r="A1113" s="375"/>
      <c r="B1113" s="375"/>
      <c r="C1113" s="375"/>
      <c r="D1113" s="375"/>
      <c r="E1113" s="375"/>
      <c r="F1113" s="375"/>
    </row>
    <row r="1114" customFormat="false" ht="11.25" hidden="false" customHeight="false" outlineLevel="0" collapsed="false">
      <c r="A1114" s="375"/>
      <c r="B1114" s="375"/>
      <c r="C1114" s="375"/>
      <c r="D1114" s="375"/>
      <c r="E1114" s="375"/>
      <c r="F1114" s="375"/>
    </row>
    <row r="1115" customFormat="false" ht="11.25" hidden="false" customHeight="false" outlineLevel="0" collapsed="false">
      <c r="A1115" s="375"/>
      <c r="B1115" s="375"/>
      <c r="C1115" s="375"/>
      <c r="D1115" s="375"/>
      <c r="E1115" s="375"/>
      <c r="F1115" s="375"/>
    </row>
    <row r="1116" customFormat="false" ht="11.25" hidden="false" customHeight="false" outlineLevel="0" collapsed="false">
      <c r="A1116" s="375"/>
      <c r="B1116" s="375"/>
      <c r="C1116" s="375"/>
      <c r="D1116" s="375"/>
      <c r="E1116" s="375"/>
      <c r="F1116" s="375"/>
    </row>
    <row r="1117" customFormat="false" ht="11.25" hidden="false" customHeight="false" outlineLevel="0" collapsed="false">
      <c r="A1117" s="375"/>
      <c r="B1117" s="375"/>
      <c r="C1117" s="375"/>
      <c r="D1117" s="375"/>
      <c r="E1117" s="375"/>
      <c r="F1117" s="375"/>
    </row>
    <row r="1118" customFormat="false" ht="11.25" hidden="false" customHeight="false" outlineLevel="0" collapsed="false">
      <c r="A1118" s="375"/>
      <c r="B1118" s="375"/>
      <c r="C1118" s="375"/>
      <c r="D1118" s="375"/>
      <c r="E1118" s="375"/>
      <c r="F1118" s="375"/>
    </row>
    <row r="1119" customFormat="false" ht="11.25" hidden="false" customHeight="false" outlineLevel="0" collapsed="false">
      <c r="A1119" s="375"/>
      <c r="B1119" s="375"/>
      <c r="C1119" s="375"/>
      <c r="D1119" s="375"/>
      <c r="E1119" s="375"/>
      <c r="F1119" s="375"/>
    </row>
    <row r="1120" customFormat="false" ht="11.25" hidden="false" customHeight="false" outlineLevel="0" collapsed="false">
      <c r="A1120" s="375"/>
      <c r="B1120" s="375"/>
      <c r="C1120" s="375"/>
      <c r="D1120" s="375"/>
      <c r="E1120" s="375"/>
      <c r="F1120" s="375"/>
    </row>
    <row r="1121" customFormat="false" ht="11.25" hidden="false" customHeight="false" outlineLevel="0" collapsed="false">
      <c r="A1121" s="375"/>
      <c r="B1121" s="375"/>
      <c r="C1121" s="375"/>
      <c r="D1121" s="375"/>
      <c r="E1121" s="375"/>
      <c r="F1121" s="375"/>
    </row>
    <row r="1122" customFormat="false" ht="11.25" hidden="false" customHeight="false" outlineLevel="0" collapsed="false">
      <c r="A1122" s="375"/>
      <c r="B1122" s="375"/>
      <c r="C1122" s="375"/>
      <c r="D1122" s="375"/>
      <c r="E1122" s="375"/>
      <c r="F1122" s="375"/>
    </row>
    <row r="1123" customFormat="false" ht="11.25" hidden="false" customHeight="false" outlineLevel="0" collapsed="false">
      <c r="A1123" s="375"/>
      <c r="B1123" s="375"/>
      <c r="C1123" s="375"/>
      <c r="D1123" s="375"/>
      <c r="E1123" s="375"/>
      <c r="F1123" s="375"/>
    </row>
    <row r="1124" customFormat="false" ht="11.25" hidden="false" customHeight="false" outlineLevel="0" collapsed="false">
      <c r="A1124" s="375"/>
      <c r="B1124" s="375"/>
      <c r="C1124" s="375"/>
      <c r="D1124" s="375"/>
      <c r="E1124" s="375"/>
      <c r="F1124" s="375"/>
    </row>
    <row r="1125" customFormat="false" ht="11.25" hidden="false" customHeight="false" outlineLevel="0" collapsed="false">
      <c r="A1125" s="375"/>
      <c r="B1125" s="375"/>
      <c r="C1125" s="375"/>
      <c r="D1125" s="375"/>
      <c r="E1125" s="375"/>
      <c r="F1125" s="375"/>
    </row>
    <row r="1126" customFormat="false" ht="11.25" hidden="false" customHeight="false" outlineLevel="0" collapsed="false">
      <c r="A1126" s="375"/>
      <c r="B1126" s="375"/>
      <c r="C1126" s="375"/>
      <c r="D1126" s="375"/>
      <c r="E1126" s="375"/>
      <c r="F1126" s="375"/>
    </row>
    <row r="1127" customFormat="false" ht="11.25" hidden="false" customHeight="false" outlineLevel="0" collapsed="false">
      <c r="A1127" s="375"/>
      <c r="B1127" s="375"/>
      <c r="C1127" s="375"/>
      <c r="D1127" s="375"/>
      <c r="E1127" s="375"/>
      <c r="F1127" s="375"/>
    </row>
    <row r="1128" customFormat="false" ht="11.25" hidden="false" customHeight="false" outlineLevel="0" collapsed="false">
      <c r="A1128" s="375"/>
      <c r="B1128" s="375"/>
      <c r="C1128" s="375"/>
      <c r="D1128" s="375"/>
      <c r="E1128" s="375"/>
      <c r="F1128" s="375"/>
    </row>
    <row r="1129" customFormat="false" ht="11.25" hidden="false" customHeight="false" outlineLevel="0" collapsed="false">
      <c r="A1129" s="375"/>
      <c r="B1129" s="375"/>
      <c r="C1129" s="375"/>
      <c r="D1129" s="375"/>
      <c r="E1129" s="375"/>
      <c r="F1129" s="375"/>
    </row>
    <row r="1130" customFormat="false" ht="11.25" hidden="false" customHeight="false" outlineLevel="0" collapsed="false">
      <c r="A1130" s="375"/>
      <c r="B1130" s="375"/>
      <c r="C1130" s="375"/>
      <c r="D1130" s="375"/>
      <c r="E1130" s="375"/>
      <c r="F1130" s="375"/>
    </row>
    <row r="1131" customFormat="false" ht="11.25" hidden="false" customHeight="false" outlineLevel="0" collapsed="false">
      <c r="A1131" s="375"/>
      <c r="B1131" s="375"/>
      <c r="C1131" s="375"/>
      <c r="D1131" s="375"/>
      <c r="E1131" s="375"/>
      <c r="F1131" s="375"/>
    </row>
    <row r="1132" customFormat="false" ht="11.25" hidden="false" customHeight="false" outlineLevel="0" collapsed="false">
      <c r="A1132" s="375"/>
      <c r="B1132" s="375"/>
      <c r="C1132" s="375"/>
      <c r="D1132" s="375"/>
      <c r="E1132" s="375"/>
      <c r="F1132" s="375"/>
    </row>
    <row r="1133" customFormat="false" ht="11.25" hidden="false" customHeight="false" outlineLevel="0" collapsed="false">
      <c r="A1133" s="375"/>
      <c r="B1133" s="375"/>
      <c r="C1133" s="375"/>
      <c r="D1133" s="375"/>
      <c r="E1133" s="375"/>
      <c r="F1133" s="375"/>
    </row>
    <row r="1134" customFormat="false" ht="11.25" hidden="false" customHeight="false" outlineLevel="0" collapsed="false">
      <c r="A1134" s="375"/>
      <c r="B1134" s="375"/>
      <c r="C1134" s="375"/>
      <c r="D1134" s="375"/>
      <c r="E1134" s="375"/>
      <c r="F1134" s="375"/>
    </row>
    <row r="1135" customFormat="false" ht="11.25" hidden="false" customHeight="false" outlineLevel="0" collapsed="false">
      <c r="A1135" s="375"/>
      <c r="B1135" s="375"/>
      <c r="C1135" s="375"/>
      <c r="D1135" s="375"/>
      <c r="E1135" s="375"/>
      <c r="F1135" s="375"/>
    </row>
    <row r="1136" customFormat="false" ht="11.25" hidden="false" customHeight="false" outlineLevel="0" collapsed="false">
      <c r="A1136" s="375"/>
      <c r="B1136" s="375"/>
      <c r="C1136" s="375"/>
      <c r="D1136" s="375"/>
      <c r="E1136" s="375"/>
      <c r="F1136" s="375"/>
    </row>
    <row r="1137" customFormat="false" ht="11.25" hidden="false" customHeight="false" outlineLevel="0" collapsed="false">
      <c r="A1137" s="375"/>
      <c r="B1137" s="375"/>
      <c r="C1137" s="375"/>
      <c r="D1137" s="375"/>
      <c r="E1137" s="375"/>
      <c r="F1137" s="375"/>
    </row>
    <row r="1138" customFormat="false" ht="11.25" hidden="false" customHeight="false" outlineLevel="0" collapsed="false">
      <c r="A1138" s="375"/>
      <c r="B1138" s="375"/>
      <c r="C1138" s="375"/>
      <c r="D1138" s="375"/>
      <c r="E1138" s="375"/>
      <c r="F1138" s="375"/>
    </row>
    <row r="1139" customFormat="false" ht="11.25" hidden="false" customHeight="false" outlineLevel="0" collapsed="false">
      <c r="A1139" s="375"/>
      <c r="B1139" s="375"/>
      <c r="C1139" s="375"/>
      <c r="D1139" s="375"/>
      <c r="E1139" s="375"/>
      <c r="F1139" s="375"/>
    </row>
    <row r="1140" customFormat="false" ht="11.25" hidden="false" customHeight="false" outlineLevel="0" collapsed="false">
      <c r="A1140" s="375"/>
      <c r="B1140" s="375"/>
      <c r="C1140" s="375"/>
      <c r="D1140" s="375"/>
      <c r="E1140" s="375"/>
      <c r="F1140" s="375"/>
    </row>
    <row r="1141" customFormat="false" ht="11.25" hidden="false" customHeight="false" outlineLevel="0" collapsed="false">
      <c r="A1141" s="375"/>
      <c r="B1141" s="375"/>
      <c r="C1141" s="375"/>
      <c r="D1141" s="375"/>
      <c r="E1141" s="375"/>
      <c r="F1141" s="375"/>
    </row>
    <row r="1142" customFormat="false" ht="11.25" hidden="false" customHeight="false" outlineLevel="0" collapsed="false">
      <c r="A1142" s="375"/>
      <c r="B1142" s="375"/>
      <c r="C1142" s="375"/>
      <c r="D1142" s="375"/>
      <c r="E1142" s="375"/>
      <c r="F1142" s="375"/>
    </row>
    <row r="1143" customFormat="false" ht="11.25" hidden="false" customHeight="false" outlineLevel="0" collapsed="false">
      <c r="A1143" s="375"/>
      <c r="B1143" s="375"/>
      <c r="C1143" s="375"/>
      <c r="D1143" s="375"/>
      <c r="E1143" s="375"/>
      <c r="F1143" s="375"/>
    </row>
    <row r="1144" customFormat="false" ht="11.25" hidden="false" customHeight="false" outlineLevel="0" collapsed="false">
      <c r="A1144" s="375"/>
      <c r="B1144" s="375"/>
      <c r="C1144" s="375"/>
      <c r="D1144" s="375"/>
      <c r="E1144" s="375"/>
      <c r="F1144" s="375"/>
    </row>
    <row r="1145" customFormat="false" ht="11.25" hidden="false" customHeight="false" outlineLevel="0" collapsed="false">
      <c r="A1145" s="375"/>
      <c r="B1145" s="375"/>
      <c r="C1145" s="375"/>
      <c r="D1145" s="375"/>
      <c r="E1145" s="375"/>
      <c r="F1145" s="375"/>
    </row>
    <row r="1146" customFormat="false" ht="11.25" hidden="false" customHeight="false" outlineLevel="0" collapsed="false">
      <c r="A1146" s="375"/>
      <c r="B1146" s="375"/>
      <c r="C1146" s="375"/>
      <c r="D1146" s="375"/>
      <c r="E1146" s="375"/>
      <c r="F1146" s="375"/>
    </row>
    <row r="1147" customFormat="false" ht="11.25" hidden="false" customHeight="false" outlineLevel="0" collapsed="false">
      <c r="A1147" s="375"/>
      <c r="B1147" s="375"/>
      <c r="C1147" s="375"/>
      <c r="D1147" s="375"/>
      <c r="E1147" s="375"/>
      <c r="F1147" s="375"/>
    </row>
    <row r="1148" customFormat="false" ht="11.25" hidden="false" customHeight="false" outlineLevel="0" collapsed="false">
      <c r="A1148" s="375"/>
      <c r="B1148" s="375"/>
      <c r="C1148" s="375"/>
      <c r="D1148" s="375"/>
      <c r="E1148" s="375"/>
      <c r="F1148" s="375"/>
    </row>
    <row r="1149" customFormat="false" ht="11.25" hidden="false" customHeight="false" outlineLevel="0" collapsed="false">
      <c r="A1149" s="375"/>
      <c r="B1149" s="375"/>
      <c r="C1149" s="375"/>
      <c r="D1149" s="375"/>
      <c r="E1149" s="375"/>
      <c r="F1149" s="375"/>
    </row>
    <row r="1150" customFormat="false" ht="11.25" hidden="false" customHeight="false" outlineLevel="0" collapsed="false">
      <c r="A1150" s="375"/>
      <c r="B1150" s="375"/>
      <c r="C1150" s="375"/>
      <c r="D1150" s="375"/>
      <c r="E1150" s="375"/>
      <c r="F1150" s="375"/>
    </row>
    <row r="1151" customFormat="false" ht="11.25" hidden="false" customHeight="false" outlineLevel="0" collapsed="false">
      <c r="A1151" s="375"/>
      <c r="B1151" s="375"/>
      <c r="C1151" s="375"/>
      <c r="D1151" s="375"/>
      <c r="E1151" s="375"/>
      <c r="F1151" s="375"/>
    </row>
    <row r="1152" customFormat="false" ht="11.25" hidden="false" customHeight="false" outlineLevel="0" collapsed="false">
      <c r="A1152" s="375"/>
      <c r="B1152" s="375"/>
      <c r="C1152" s="375"/>
      <c r="D1152" s="375"/>
      <c r="E1152" s="375"/>
      <c r="F1152" s="375"/>
    </row>
    <row r="1153" customFormat="false" ht="11.25" hidden="false" customHeight="false" outlineLevel="0" collapsed="false">
      <c r="A1153" s="375"/>
      <c r="B1153" s="375"/>
      <c r="C1153" s="375"/>
      <c r="D1153" s="375"/>
      <c r="E1153" s="375"/>
      <c r="F1153" s="375"/>
    </row>
    <row r="1154" customFormat="false" ht="11.25" hidden="false" customHeight="false" outlineLevel="0" collapsed="false">
      <c r="A1154" s="375"/>
      <c r="B1154" s="375"/>
      <c r="C1154" s="375"/>
      <c r="D1154" s="375"/>
      <c r="E1154" s="375"/>
      <c r="F1154" s="375"/>
    </row>
    <row r="1155" customFormat="false" ht="11.25" hidden="false" customHeight="false" outlineLevel="0" collapsed="false">
      <c r="A1155" s="375"/>
      <c r="B1155" s="375"/>
      <c r="C1155" s="375"/>
      <c r="D1155" s="375"/>
      <c r="E1155" s="375"/>
      <c r="F1155" s="375"/>
    </row>
    <row r="1156" customFormat="false" ht="11.25" hidden="false" customHeight="false" outlineLevel="0" collapsed="false">
      <c r="A1156" s="375"/>
      <c r="B1156" s="375"/>
      <c r="C1156" s="375"/>
      <c r="D1156" s="375"/>
      <c r="E1156" s="375"/>
      <c r="F1156" s="375"/>
    </row>
    <row r="1157" customFormat="false" ht="11.25" hidden="false" customHeight="false" outlineLevel="0" collapsed="false">
      <c r="A1157" s="375"/>
      <c r="B1157" s="375"/>
      <c r="C1157" s="375"/>
      <c r="D1157" s="375"/>
      <c r="E1157" s="375"/>
      <c r="F1157" s="375"/>
    </row>
    <row r="1158" customFormat="false" ht="11.25" hidden="false" customHeight="false" outlineLevel="0" collapsed="false">
      <c r="A1158" s="375"/>
      <c r="B1158" s="375"/>
      <c r="C1158" s="375"/>
      <c r="D1158" s="375"/>
      <c r="E1158" s="375"/>
      <c r="F1158" s="375"/>
    </row>
    <row r="1159" customFormat="false" ht="11.25" hidden="false" customHeight="false" outlineLevel="0" collapsed="false">
      <c r="A1159" s="375"/>
      <c r="B1159" s="375"/>
      <c r="C1159" s="375"/>
      <c r="D1159" s="375"/>
      <c r="E1159" s="375"/>
      <c r="F1159" s="375"/>
    </row>
    <row r="1160" customFormat="false" ht="11.25" hidden="false" customHeight="false" outlineLevel="0" collapsed="false">
      <c r="A1160" s="375"/>
      <c r="B1160" s="375"/>
      <c r="C1160" s="375"/>
      <c r="D1160" s="375"/>
      <c r="E1160" s="375"/>
      <c r="F1160" s="375"/>
    </row>
    <row r="1161" customFormat="false" ht="11.25" hidden="false" customHeight="false" outlineLevel="0" collapsed="false">
      <c r="A1161" s="375"/>
      <c r="B1161" s="375"/>
      <c r="C1161" s="375"/>
      <c r="D1161" s="375"/>
      <c r="E1161" s="375"/>
      <c r="F1161" s="375"/>
    </row>
    <row r="1162" customFormat="false" ht="11.25" hidden="false" customHeight="false" outlineLevel="0" collapsed="false">
      <c r="A1162" s="375"/>
      <c r="B1162" s="375"/>
      <c r="C1162" s="375"/>
      <c r="D1162" s="375"/>
      <c r="E1162" s="375"/>
      <c r="F1162" s="375"/>
    </row>
    <row r="1163" customFormat="false" ht="11.25" hidden="false" customHeight="false" outlineLevel="0" collapsed="false">
      <c r="A1163" s="375"/>
      <c r="B1163" s="375"/>
      <c r="C1163" s="375"/>
      <c r="D1163" s="375"/>
      <c r="E1163" s="375"/>
      <c r="F1163" s="375"/>
    </row>
    <row r="1164" customFormat="false" ht="11.25" hidden="false" customHeight="false" outlineLevel="0" collapsed="false">
      <c r="A1164" s="375"/>
      <c r="B1164" s="375"/>
      <c r="C1164" s="375"/>
      <c r="D1164" s="375"/>
      <c r="E1164" s="375"/>
      <c r="F1164" s="375"/>
    </row>
    <row r="1165" customFormat="false" ht="11.25" hidden="false" customHeight="false" outlineLevel="0" collapsed="false">
      <c r="A1165" s="375"/>
      <c r="B1165" s="375"/>
      <c r="C1165" s="375"/>
      <c r="D1165" s="375"/>
      <c r="E1165" s="375"/>
      <c r="F1165" s="375"/>
    </row>
    <row r="1166" customFormat="false" ht="11.25" hidden="false" customHeight="false" outlineLevel="0" collapsed="false">
      <c r="A1166" s="375"/>
      <c r="B1166" s="375"/>
      <c r="C1166" s="375"/>
      <c r="D1166" s="375"/>
      <c r="E1166" s="375"/>
      <c r="F1166" s="375"/>
    </row>
    <row r="1167" customFormat="false" ht="11.25" hidden="false" customHeight="false" outlineLevel="0" collapsed="false">
      <c r="A1167" s="375"/>
      <c r="B1167" s="375"/>
      <c r="C1167" s="375"/>
      <c r="D1167" s="375"/>
      <c r="E1167" s="375"/>
      <c r="F1167" s="375"/>
    </row>
    <row r="1168" customFormat="false" ht="11.25" hidden="false" customHeight="false" outlineLevel="0" collapsed="false">
      <c r="A1168" s="375"/>
      <c r="B1168" s="375"/>
      <c r="C1168" s="375"/>
      <c r="D1168" s="375"/>
      <c r="E1168" s="375"/>
      <c r="F1168" s="375"/>
    </row>
    <row r="1169" customFormat="false" ht="11.25" hidden="false" customHeight="false" outlineLevel="0" collapsed="false">
      <c r="A1169" s="375"/>
      <c r="B1169" s="375"/>
      <c r="C1169" s="375"/>
      <c r="D1169" s="375"/>
      <c r="E1169" s="375"/>
      <c r="F1169" s="375"/>
    </row>
    <row r="1170" customFormat="false" ht="11.25" hidden="false" customHeight="false" outlineLevel="0" collapsed="false">
      <c r="A1170" s="375"/>
      <c r="B1170" s="375"/>
      <c r="C1170" s="375"/>
      <c r="D1170" s="375"/>
      <c r="E1170" s="375"/>
      <c r="F1170" s="375"/>
    </row>
    <row r="1171" customFormat="false" ht="11.25" hidden="false" customHeight="false" outlineLevel="0" collapsed="false">
      <c r="A1171" s="375"/>
      <c r="B1171" s="375"/>
      <c r="C1171" s="375"/>
      <c r="D1171" s="375"/>
      <c r="E1171" s="375"/>
      <c r="F1171" s="375"/>
    </row>
    <row r="1172" customFormat="false" ht="11.25" hidden="false" customHeight="false" outlineLevel="0" collapsed="false">
      <c r="A1172" s="375"/>
      <c r="B1172" s="375"/>
      <c r="C1172" s="375"/>
      <c r="D1172" s="375"/>
      <c r="E1172" s="375"/>
      <c r="F1172" s="375"/>
    </row>
    <row r="1173" customFormat="false" ht="11.25" hidden="false" customHeight="false" outlineLevel="0" collapsed="false">
      <c r="A1173" s="375"/>
      <c r="B1173" s="375"/>
      <c r="C1173" s="375"/>
      <c r="D1173" s="375"/>
      <c r="E1173" s="375"/>
      <c r="F1173" s="375"/>
    </row>
    <row r="1174" customFormat="false" ht="11.25" hidden="false" customHeight="false" outlineLevel="0" collapsed="false">
      <c r="A1174" s="375"/>
      <c r="B1174" s="375"/>
      <c r="C1174" s="375"/>
      <c r="D1174" s="375"/>
      <c r="E1174" s="375"/>
      <c r="F1174" s="375"/>
    </row>
    <row r="1175" customFormat="false" ht="11.25" hidden="false" customHeight="false" outlineLevel="0" collapsed="false">
      <c r="A1175" s="375"/>
      <c r="B1175" s="375"/>
      <c r="C1175" s="375"/>
      <c r="D1175" s="375"/>
      <c r="E1175" s="375"/>
      <c r="F1175" s="375"/>
    </row>
    <row r="1176" customFormat="false" ht="11.25" hidden="false" customHeight="false" outlineLevel="0" collapsed="false">
      <c r="A1176" s="375"/>
      <c r="B1176" s="375"/>
      <c r="C1176" s="375"/>
      <c r="D1176" s="375"/>
      <c r="E1176" s="375"/>
      <c r="F1176" s="375"/>
    </row>
    <row r="1177" customFormat="false" ht="11.25" hidden="false" customHeight="false" outlineLevel="0" collapsed="false">
      <c r="A1177" s="375"/>
      <c r="B1177" s="375"/>
      <c r="C1177" s="375"/>
      <c r="D1177" s="375"/>
      <c r="E1177" s="375"/>
      <c r="F1177" s="375"/>
    </row>
    <row r="1178" customFormat="false" ht="11.25" hidden="false" customHeight="false" outlineLevel="0" collapsed="false">
      <c r="A1178" s="375"/>
      <c r="B1178" s="375"/>
      <c r="C1178" s="375"/>
      <c r="D1178" s="375"/>
      <c r="E1178" s="375"/>
      <c r="F1178" s="375"/>
    </row>
    <row r="1179" customFormat="false" ht="11.25" hidden="false" customHeight="false" outlineLevel="0" collapsed="false">
      <c r="A1179" s="375"/>
      <c r="B1179" s="375"/>
      <c r="C1179" s="375"/>
      <c r="D1179" s="375"/>
      <c r="E1179" s="375"/>
      <c r="F1179" s="375"/>
    </row>
    <row r="1180" customFormat="false" ht="11.25" hidden="false" customHeight="false" outlineLevel="0" collapsed="false">
      <c r="A1180" s="375"/>
      <c r="B1180" s="375"/>
      <c r="C1180" s="375"/>
      <c r="D1180" s="375"/>
      <c r="E1180" s="375"/>
      <c r="F1180" s="375"/>
    </row>
    <row r="1181" customFormat="false" ht="11.25" hidden="false" customHeight="false" outlineLevel="0" collapsed="false">
      <c r="A1181" s="375"/>
      <c r="B1181" s="375"/>
      <c r="C1181" s="375"/>
      <c r="D1181" s="375"/>
      <c r="E1181" s="375"/>
      <c r="F1181" s="375"/>
    </row>
    <row r="1182" customFormat="false" ht="11.25" hidden="false" customHeight="false" outlineLevel="0" collapsed="false">
      <c r="A1182" s="375"/>
      <c r="B1182" s="375"/>
      <c r="C1182" s="375"/>
      <c r="D1182" s="375"/>
      <c r="E1182" s="375"/>
      <c r="F1182" s="375"/>
    </row>
    <row r="1183" customFormat="false" ht="11.25" hidden="false" customHeight="false" outlineLevel="0" collapsed="false">
      <c r="A1183" s="375"/>
      <c r="B1183" s="375"/>
      <c r="C1183" s="375"/>
      <c r="D1183" s="375"/>
      <c r="E1183" s="375"/>
      <c r="F1183" s="375"/>
    </row>
    <row r="1184" customFormat="false" ht="11.25" hidden="false" customHeight="false" outlineLevel="0" collapsed="false">
      <c r="A1184" s="375"/>
      <c r="B1184" s="375"/>
      <c r="C1184" s="375"/>
      <c r="D1184" s="375"/>
      <c r="E1184" s="375"/>
      <c r="F1184" s="375"/>
    </row>
    <row r="1185" customFormat="false" ht="11.25" hidden="false" customHeight="false" outlineLevel="0" collapsed="false">
      <c r="A1185" s="375"/>
      <c r="B1185" s="375"/>
      <c r="C1185" s="375"/>
      <c r="D1185" s="375"/>
      <c r="E1185" s="375"/>
      <c r="F1185" s="375"/>
    </row>
    <row r="1186" customFormat="false" ht="11.25" hidden="false" customHeight="false" outlineLevel="0" collapsed="false">
      <c r="A1186" s="375"/>
      <c r="B1186" s="375"/>
      <c r="C1186" s="375"/>
      <c r="D1186" s="375"/>
      <c r="E1186" s="375"/>
      <c r="F1186" s="375"/>
    </row>
    <row r="1187" customFormat="false" ht="11.25" hidden="false" customHeight="false" outlineLevel="0" collapsed="false">
      <c r="A1187" s="375"/>
      <c r="B1187" s="375"/>
      <c r="C1187" s="375"/>
      <c r="D1187" s="375"/>
      <c r="E1187" s="375"/>
      <c r="F1187" s="375"/>
    </row>
    <row r="1188" customFormat="false" ht="11.25" hidden="false" customHeight="false" outlineLevel="0" collapsed="false">
      <c r="A1188" s="375"/>
      <c r="B1188" s="375"/>
      <c r="C1188" s="375"/>
      <c r="D1188" s="375"/>
      <c r="E1188" s="375"/>
      <c r="F1188" s="375"/>
    </row>
    <row r="1189" customFormat="false" ht="11.25" hidden="false" customHeight="false" outlineLevel="0" collapsed="false">
      <c r="A1189" s="375"/>
      <c r="B1189" s="375"/>
      <c r="C1189" s="375"/>
      <c r="D1189" s="375"/>
      <c r="E1189" s="375"/>
      <c r="F1189" s="375"/>
    </row>
    <row r="1190" customFormat="false" ht="11.25" hidden="false" customHeight="false" outlineLevel="0" collapsed="false">
      <c r="A1190" s="375"/>
      <c r="B1190" s="375"/>
      <c r="C1190" s="375"/>
      <c r="D1190" s="375"/>
      <c r="E1190" s="375"/>
      <c r="F1190" s="375"/>
    </row>
    <row r="1191" customFormat="false" ht="11.25" hidden="false" customHeight="false" outlineLevel="0" collapsed="false">
      <c r="A1191" s="375"/>
      <c r="B1191" s="375"/>
      <c r="C1191" s="375"/>
      <c r="D1191" s="375"/>
      <c r="E1191" s="375"/>
      <c r="F1191" s="375"/>
    </row>
    <row r="1192" customFormat="false" ht="11.25" hidden="false" customHeight="false" outlineLevel="0" collapsed="false">
      <c r="A1192" s="375"/>
      <c r="B1192" s="375"/>
      <c r="C1192" s="375"/>
      <c r="D1192" s="375"/>
      <c r="E1192" s="375"/>
      <c r="F1192" s="375"/>
    </row>
    <row r="1193" customFormat="false" ht="11.25" hidden="false" customHeight="false" outlineLevel="0" collapsed="false">
      <c r="A1193" s="375"/>
      <c r="B1193" s="375"/>
      <c r="C1193" s="375"/>
      <c r="D1193" s="375"/>
      <c r="E1193" s="375"/>
      <c r="F1193" s="375"/>
    </row>
    <row r="1194" customFormat="false" ht="11.25" hidden="false" customHeight="false" outlineLevel="0" collapsed="false">
      <c r="A1194" s="375"/>
      <c r="B1194" s="375"/>
      <c r="C1194" s="375"/>
      <c r="D1194" s="375"/>
      <c r="E1194" s="375"/>
      <c r="F1194" s="375"/>
    </row>
    <row r="1195" customFormat="false" ht="11.25" hidden="false" customHeight="false" outlineLevel="0" collapsed="false">
      <c r="A1195" s="375"/>
      <c r="B1195" s="375"/>
      <c r="C1195" s="375"/>
      <c r="D1195" s="375"/>
      <c r="E1195" s="375"/>
      <c r="F1195" s="375"/>
    </row>
    <row r="1196" customFormat="false" ht="11.25" hidden="false" customHeight="false" outlineLevel="0" collapsed="false">
      <c r="A1196" s="375"/>
      <c r="B1196" s="375"/>
      <c r="C1196" s="375"/>
      <c r="D1196" s="375"/>
      <c r="E1196" s="375"/>
      <c r="F1196" s="375"/>
    </row>
    <row r="1197" customFormat="false" ht="11.25" hidden="false" customHeight="false" outlineLevel="0" collapsed="false">
      <c r="A1197" s="375"/>
      <c r="B1197" s="375"/>
      <c r="C1197" s="375"/>
      <c r="D1197" s="375"/>
      <c r="E1197" s="375"/>
      <c r="F1197" s="375"/>
    </row>
    <row r="1198" customFormat="false" ht="11.25" hidden="false" customHeight="false" outlineLevel="0" collapsed="false">
      <c r="A1198" s="375"/>
      <c r="B1198" s="375"/>
      <c r="C1198" s="375"/>
      <c r="D1198" s="375"/>
      <c r="E1198" s="375"/>
      <c r="F1198" s="375"/>
    </row>
    <row r="1199" customFormat="false" ht="11.25" hidden="false" customHeight="false" outlineLevel="0" collapsed="false">
      <c r="A1199" s="375"/>
      <c r="B1199" s="375"/>
      <c r="C1199" s="375"/>
      <c r="D1199" s="375"/>
      <c r="E1199" s="375"/>
      <c r="F1199" s="375"/>
    </row>
    <row r="1200" customFormat="false" ht="11.25" hidden="false" customHeight="false" outlineLevel="0" collapsed="false">
      <c r="A1200" s="375"/>
      <c r="B1200" s="375"/>
      <c r="C1200" s="375"/>
      <c r="D1200" s="375"/>
      <c r="E1200" s="375"/>
      <c r="F1200" s="375"/>
    </row>
    <row r="1201" customFormat="false" ht="11.25" hidden="false" customHeight="false" outlineLevel="0" collapsed="false">
      <c r="A1201" s="375"/>
      <c r="B1201" s="375"/>
      <c r="C1201" s="375"/>
      <c r="D1201" s="375"/>
      <c r="E1201" s="375"/>
      <c r="F1201" s="375"/>
    </row>
    <row r="1202" customFormat="false" ht="11.25" hidden="false" customHeight="false" outlineLevel="0" collapsed="false">
      <c r="A1202" s="375"/>
      <c r="B1202" s="375"/>
      <c r="C1202" s="375"/>
      <c r="D1202" s="375"/>
      <c r="E1202" s="375"/>
      <c r="F1202" s="375"/>
    </row>
    <row r="1203" customFormat="false" ht="11.25" hidden="false" customHeight="false" outlineLevel="0" collapsed="false">
      <c r="A1203" s="375"/>
      <c r="B1203" s="375"/>
      <c r="C1203" s="375"/>
      <c r="D1203" s="375"/>
      <c r="E1203" s="375"/>
      <c r="F1203" s="375"/>
    </row>
    <row r="1204" customFormat="false" ht="11.25" hidden="false" customHeight="false" outlineLevel="0" collapsed="false">
      <c r="A1204" s="375"/>
      <c r="B1204" s="375"/>
      <c r="C1204" s="375"/>
      <c r="D1204" s="375"/>
      <c r="E1204" s="375"/>
      <c r="F1204" s="375"/>
    </row>
    <row r="1205" customFormat="false" ht="11.25" hidden="false" customHeight="false" outlineLevel="0" collapsed="false">
      <c r="A1205" s="375"/>
      <c r="B1205" s="375"/>
      <c r="C1205" s="375"/>
      <c r="D1205" s="375"/>
      <c r="E1205" s="375"/>
      <c r="F1205" s="375"/>
    </row>
    <row r="1206" customFormat="false" ht="11.25" hidden="false" customHeight="false" outlineLevel="0" collapsed="false">
      <c r="A1206" s="375"/>
      <c r="B1206" s="375"/>
      <c r="C1206" s="375"/>
      <c r="D1206" s="375"/>
      <c r="E1206" s="375"/>
      <c r="F1206" s="375"/>
    </row>
    <row r="1207" customFormat="false" ht="11.25" hidden="false" customHeight="false" outlineLevel="0" collapsed="false">
      <c r="A1207" s="375"/>
      <c r="B1207" s="375"/>
      <c r="C1207" s="375"/>
      <c r="D1207" s="375"/>
      <c r="E1207" s="375"/>
      <c r="F1207" s="375"/>
    </row>
    <row r="1208" customFormat="false" ht="11.25" hidden="false" customHeight="false" outlineLevel="0" collapsed="false">
      <c r="A1208" s="375"/>
      <c r="B1208" s="375"/>
      <c r="C1208" s="375"/>
      <c r="D1208" s="375"/>
      <c r="E1208" s="375"/>
      <c r="F1208" s="375"/>
    </row>
    <row r="1209" customFormat="false" ht="11.25" hidden="false" customHeight="false" outlineLevel="0" collapsed="false">
      <c r="A1209" s="375"/>
      <c r="B1209" s="375"/>
      <c r="C1209" s="375"/>
      <c r="D1209" s="375"/>
      <c r="E1209" s="375"/>
      <c r="F1209" s="375"/>
    </row>
    <row r="1210" customFormat="false" ht="11.25" hidden="false" customHeight="false" outlineLevel="0" collapsed="false">
      <c r="A1210" s="375"/>
      <c r="B1210" s="375"/>
      <c r="C1210" s="375"/>
      <c r="D1210" s="375"/>
      <c r="E1210" s="375"/>
      <c r="F1210" s="375"/>
    </row>
    <row r="1211" customFormat="false" ht="11.25" hidden="false" customHeight="false" outlineLevel="0" collapsed="false">
      <c r="A1211" s="375"/>
      <c r="B1211" s="375"/>
      <c r="C1211" s="375"/>
      <c r="D1211" s="375"/>
      <c r="E1211" s="375"/>
      <c r="F1211" s="375"/>
    </row>
    <row r="1212" customFormat="false" ht="11.25" hidden="false" customHeight="false" outlineLevel="0" collapsed="false">
      <c r="A1212" s="375"/>
      <c r="B1212" s="375"/>
      <c r="C1212" s="375"/>
      <c r="D1212" s="375"/>
      <c r="E1212" s="375"/>
      <c r="F1212" s="375"/>
    </row>
    <row r="1213" customFormat="false" ht="11.25" hidden="false" customHeight="false" outlineLevel="0" collapsed="false">
      <c r="A1213" s="375"/>
      <c r="B1213" s="375"/>
      <c r="C1213" s="375"/>
      <c r="D1213" s="375"/>
      <c r="E1213" s="375"/>
      <c r="F1213" s="375"/>
    </row>
    <row r="1214" customFormat="false" ht="11.25" hidden="false" customHeight="false" outlineLevel="0" collapsed="false">
      <c r="A1214" s="375"/>
      <c r="B1214" s="375"/>
      <c r="C1214" s="375"/>
      <c r="D1214" s="375"/>
      <c r="E1214" s="375"/>
      <c r="F1214" s="375"/>
    </row>
    <row r="1215" customFormat="false" ht="11.25" hidden="false" customHeight="false" outlineLevel="0" collapsed="false">
      <c r="A1215" s="375"/>
      <c r="B1215" s="375"/>
      <c r="C1215" s="375"/>
      <c r="D1215" s="375"/>
      <c r="E1215" s="375"/>
      <c r="F1215" s="375"/>
    </row>
    <row r="1216" customFormat="false" ht="11.25" hidden="false" customHeight="false" outlineLevel="0" collapsed="false">
      <c r="A1216" s="375"/>
      <c r="B1216" s="375"/>
      <c r="C1216" s="375"/>
      <c r="D1216" s="375"/>
      <c r="E1216" s="375"/>
      <c r="F1216" s="375"/>
    </row>
    <row r="1217" customFormat="false" ht="11.25" hidden="false" customHeight="false" outlineLevel="0" collapsed="false">
      <c r="A1217" s="375"/>
      <c r="B1217" s="375"/>
      <c r="C1217" s="375"/>
      <c r="D1217" s="375"/>
      <c r="E1217" s="375"/>
      <c r="F1217" s="375"/>
    </row>
    <row r="1218" customFormat="false" ht="11.25" hidden="false" customHeight="false" outlineLevel="0" collapsed="false">
      <c r="A1218" s="375"/>
      <c r="B1218" s="375"/>
      <c r="C1218" s="375"/>
      <c r="D1218" s="375"/>
      <c r="E1218" s="375"/>
      <c r="F1218" s="375"/>
    </row>
    <row r="1219" customFormat="false" ht="11.25" hidden="false" customHeight="false" outlineLevel="0" collapsed="false">
      <c r="A1219" s="375"/>
      <c r="B1219" s="375"/>
      <c r="C1219" s="375"/>
      <c r="D1219" s="375"/>
      <c r="E1219" s="375"/>
      <c r="F1219" s="375"/>
    </row>
    <row r="1220" customFormat="false" ht="11.25" hidden="false" customHeight="false" outlineLevel="0" collapsed="false">
      <c r="A1220" s="375"/>
      <c r="B1220" s="375"/>
      <c r="C1220" s="375"/>
      <c r="D1220" s="375"/>
      <c r="E1220" s="375"/>
      <c r="F1220" s="375"/>
    </row>
    <row r="1221" customFormat="false" ht="11.25" hidden="false" customHeight="false" outlineLevel="0" collapsed="false">
      <c r="A1221" s="375"/>
      <c r="B1221" s="375"/>
      <c r="C1221" s="375"/>
      <c r="D1221" s="375"/>
      <c r="E1221" s="375"/>
      <c r="F1221" s="375"/>
    </row>
    <row r="1222" customFormat="false" ht="11.25" hidden="false" customHeight="false" outlineLevel="0" collapsed="false">
      <c r="A1222" s="375"/>
      <c r="B1222" s="375"/>
      <c r="C1222" s="375"/>
      <c r="D1222" s="375"/>
      <c r="E1222" s="375"/>
      <c r="F1222" s="375"/>
    </row>
    <row r="1223" customFormat="false" ht="11.25" hidden="false" customHeight="false" outlineLevel="0" collapsed="false">
      <c r="A1223" s="375"/>
      <c r="B1223" s="375"/>
      <c r="C1223" s="375"/>
      <c r="D1223" s="375"/>
      <c r="E1223" s="375"/>
      <c r="F1223" s="375"/>
    </row>
    <row r="1224" customFormat="false" ht="11.25" hidden="false" customHeight="false" outlineLevel="0" collapsed="false">
      <c r="A1224" s="375"/>
      <c r="B1224" s="375"/>
      <c r="C1224" s="375"/>
      <c r="D1224" s="375"/>
      <c r="E1224" s="375"/>
      <c r="F1224" s="375"/>
    </row>
    <row r="1225" customFormat="false" ht="11.25" hidden="false" customHeight="false" outlineLevel="0" collapsed="false">
      <c r="A1225" s="375"/>
      <c r="B1225" s="375"/>
      <c r="C1225" s="375"/>
      <c r="D1225" s="375"/>
      <c r="E1225" s="375"/>
      <c r="F1225" s="375"/>
    </row>
    <row r="1226" customFormat="false" ht="11.25" hidden="false" customHeight="false" outlineLevel="0" collapsed="false">
      <c r="A1226" s="375"/>
      <c r="B1226" s="375"/>
      <c r="C1226" s="375"/>
      <c r="D1226" s="375"/>
      <c r="E1226" s="375"/>
      <c r="F1226" s="375"/>
    </row>
    <row r="1227" customFormat="false" ht="11.25" hidden="false" customHeight="false" outlineLevel="0" collapsed="false">
      <c r="A1227" s="375"/>
      <c r="B1227" s="375"/>
      <c r="C1227" s="375"/>
      <c r="D1227" s="375"/>
      <c r="E1227" s="375"/>
      <c r="F1227" s="375"/>
    </row>
    <row r="1228" customFormat="false" ht="11.25" hidden="false" customHeight="false" outlineLevel="0" collapsed="false">
      <c r="A1228" s="375"/>
      <c r="B1228" s="375"/>
      <c r="C1228" s="375"/>
      <c r="D1228" s="375"/>
      <c r="E1228" s="375"/>
      <c r="F1228" s="375"/>
    </row>
    <row r="1229" customFormat="false" ht="11.25" hidden="false" customHeight="false" outlineLevel="0" collapsed="false">
      <c r="A1229" s="375"/>
      <c r="B1229" s="375"/>
      <c r="C1229" s="375"/>
      <c r="D1229" s="375"/>
      <c r="E1229" s="375"/>
      <c r="F1229" s="375"/>
    </row>
    <row r="1230" customFormat="false" ht="11.25" hidden="false" customHeight="false" outlineLevel="0" collapsed="false">
      <c r="A1230" s="375"/>
      <c r="B1230" s="375"/>
      <c r="C1230" s="375"/>
      <c r="D1230" s="375"/>
      <c r="E1230" s="375"/>
      <c r="F1230" s="375"/>
    </row>
    <row r="1231" customFormat="false" ht="11.25" hidden="false" customHeight="false" outlineLevel="0" collapsed="false">
      <c r="A1231" s="375"/>
      <c r="B1231" s="375"/>
      <c r="C1231" s="375"/>
      <c r="D1231" s="375"/>
      <c r="E1231" s="375"/>
      <c r="F1231" s="375"/>
    </row>
    <row r="1232" customFormat="false" ht="11.25" hidden="false" customHeight="false" outlineLevel="0" collapsed="false">
      <c r="A1232" s="375"/>
      <c r="B1232" s="375"/>
      <c r="C1232" s="375"/>
      <c r="D1232" s="375"/>
      <c r="E1232" s="375"/>
      <c r="F1232" s="375"/>
    </row>
    <row r="1233" customFormat="false" ht="11.25" hidden="false" customHeight="false" outlineLevel="0" collapsed="false">
      <c r="A1233" s="375"/>
      <c r="B1233" s="375"/>
      <c r="C1233" s="375"/>
      <c r="D1233" s="375"/>
      <c r="E1233" s="375"/>
      <c r="F1233" s="375"/>
    </row>
    <row r="1234" customFormat="false" ht="11.25" hidden="false" customHeight="false" outlineLevel="0" collapsed="false">
      <c r="A1234" s="375"/>
      <c r="B1234" s="375"/>
      <c r="C1234" s="375"/>
      <c r="D1234" s="375"/>
      <c r="E1234" s="375"/>
      <c r="F1234" s="375"/>
    </row>
    <row r="1235" customFormat="false" ht="11.25" hidden="false" customHeight="false" outlineLevel="0" collapsed="false">
      <c r="A1235" s="375"/>
      <c r="B1235" s="375"/>
      <c r="C1235" s="375"/>
      <c r="D1235" s="375"/>
      <c r="E1235" s="375"/>
      <c r="F1235" s="375"/>
    </row>
    <row r="1236" customFormat="false" ht="11.25" hidden="false" customHeight="false" outlineLevel="0" collapsed="false">
      <c r="A1236" s="375"/>
      <c r="B1236" s="375"/>
      <c r="C1236" s="375"/>
      <c r="D1236" s="375"/>
      <c r="E1236" s="375"/>
      <c r="F1236" s="375"/>
    </row>
    <row r="1237" customFormat="false" ht="11.25" hidden="false" customHeight="false" outlineLevel="0" collapsed="false">
      <c r="A1237" s="375"/>
      <c r="B1237" s="375"/>
      <c r="C1237" s="375"/>
      <c r="D1237" s="375"/>
      <c r="E1237" s="375"/>
      <c r="F1237" s="375"/>
    </row>
    <row r="1238" customFormat="false" ht="11.25" hidden="false" customHeight="false" outlineLevel="0" collapsed="false">
      <c r="A1238" s="375"/>
      <c r="B1238" s="375"/>
      <c r="C1238" s="375"/>
      <c r="D1238" s="375"/>
      <c r="E1238" s="375"/>
      <c r="F1238" s="375"/>
    </row>
    <row r="1239" customFormat="false" ht="11.25" hidden="false" customHeight="false" outlineLevel="0" collapsed="false">
      <c r="A1239" s="375"/>
      <c r="B1239" s="375"/>
      <c r="C1239" s="375"/>
      <c r="D1239" s="375"/>
      <c r="E1239" s="375"/>
      <c r="F1239" s="375"/>
    </row>
    <row r="1240" customFormat="false" ht="11.25" hidden="false" customHeight="false" outlineLevel="0" collapsed="false">
      <c r="A1240" s="375"/>
      <c r="B1240" s="375"/>
      <c r="C1240" s="375"/>
      <c r="D1240" s="375"/>
      <c r="E1240" s="375"/>
      <c r="F1240" s="375"/>
    </row>
    <row r="1241" customFormat="false" ht="11.25" hidden="false" customHeight="false" outlineLevel="0" collapsed="false">
      <c r="A1241" s="375"/>
      <c r="B1241" s="375"/>
      <c r="C1241" s="375"/>
      <c r="D1241" s="375"/>
      <c r="E1241" s="375"/>
      <c r="F1241" s="375"/>
    </row>
    <row r="1242" customFormat="false" ht="11.25" hidden="false" customHeight="false" outlineLevel="0" collapsed="false">
      <c r="A1242" s="375"/>
      <c r="B1242" s="375"/>
      <c r="C1242" s="375"/>
      <c r="D1242" s="375"/>
      <c r="E1242" s="375"/>
      <c r="F1242" s="375"/>
    </row>
    <row r="1243" customFormat="false" ht="11.25" hidden="false" customHeight="false" outlineLevel="0" collapsed="false">
      <c r="A1243" s="375"/>
      <c r="B1243" s="375"/>
      <c r="C1243" s="375"/>
      <c r="D1243" s="375"/>
      <c r="E1243" s="375"/>
      <c r="F1243" s="375"/>
    </row>
    <row r="1244" customFormat="false" ht="11.25" hidden="false" customHeight="false" outlineLevel="0" collapsed="false">
      <c r="A1244" s="375"/>
      <c r="B1244" s="375"/>
      <c r="C1244" s="375"/>
      <c r="D1244" s="375"/>
      <c r="E1244" s="375"/>
      <c r="F1244" s="375"/>
    </row>
    <row r="1245" customFormat="false" ht="11.25" hidden="false" customHeight="false" outlineLevel="0" collapsed="false">
      <c r="A1245" s="375"/>
      <c r="B1245" s="375"/>
      <c r="C1245" s="375"/>
      <c r="D1245" s="375"/>
      <c r="E1245" s="375"/>
      <c r="F1245" s="375"/>
    </row>
    <row r="1246" customFormat="false" ht="11.25" hidden="false" customHeight="false" outlineLevel="0" collapsed="false">
      <c r="A1246" s="375"/>
      <c r="B1246" s="375"/>
      <c r="C1246" s="375"/>
      <c r="D1246" s="375"/>
      <c r="E1246" s="375"/>
      <c r="F1246" s="375"/>
    </row>
    <row r="1247" customFormat="false" ht="11.25" hidden="false" customHeight="false" outlineLevel="0" collapsed="false">
      <c r="A1247" s="375"/>
      <c r="B1247" s="375"/>
      <c r="C1247" s="375"/>
      <c r="D1247" s="375"/>
      <c r="E1247" s="375"/>
      <c r="F1247" s="375"/>
    </row>
    <row r="1248" customFormat="false" ht="11.25" hidden="false" customHeight="false" outlineLevel="0" collapsed="false">
      <c r="A1248" s="375"/>
      <c r="B1248" s="375"/>
      <c r="C1248" s="375"/>
      <c r="D1248" s="375"/>
      <c r="E1248" s="375"/>
      <c r="F1248" s="375"/>
    </row>
    <row r="1249" customFormat="false" ht="11.25" hidden="false" customHeight="false" outlineLevel="0" collapsed="false">
      <c r="A1249" s="375"/>
      <c r="B1249" s="375"/>
      <c r="C1249" s="375"/>
      <c r="D1249" s="375"/>
      <c r="E1249" s="375"/>
      <c r="F1249" s="375"/>
    </row>
    <row r="1250" customFormat="false" ht="11.25" hidden="false" customHeight="false" outlineLevel="0" collapsed="false">
      <c r="A1250" s="375"/>
      <c r="B1250" s="375"/>
      <c r="C1250" s="375"/>
      <c r="D1250" s="375"/>
      <c r="E1250" s="375"/>
      <c r="F1250" s="375"/>
    </row>
    <row r="1251" customFormat="false" ht="11.25" hidden="false" customHeight="false" outlineLevel="0" collapsed="false">
      <c r="A1251" s="375"/>
      <c r="B1251" s="375"/>
      <c r="C1251" s="375"/>
      <c r="D1251" s="375"/>
      <c r="E1251" s="375"/>
      <c r="F1251" s="375"/>
    </row>
    <row r="1252" customFormat="false" ht="11.25" hidden="false" customHeight="false" outlineLevel="0" collapsed="false">
      <c r="A1252" s="375"/>
      <c r="B1252" s="375"/>
      <c r="C1252" s="375"/>
      <c r="D1252" s="375"/>
      <c r="E1252" s="375"/>
      <c r="F1252" s="375"/>
    </row>
    <row r="1253" customFormat="false" ht="11.25" hidden="false" customHeight="false" outlineLevel="0" collapsed="false">
      <c r="A1253" s="375"/>
      <c r="B1253" s="375"/>
      <c r="C1253" s="375"/>
      <c r="D1253" s="375"/>
      <c r="E1253" s="375"/>
      <c r="F1253" s="375"/>
    </row>
    <row r="1254" customFormat="false" ht="11.25" hidden="false" customHeight="false" outlineLevel="0" collapsed="false">
      <c r="A1254" s="375"/>
      <c r="B1254" s="375"/>
      <c r="C1254" s="375"/>
      <c r="D1254" s="375"/>
      <c r="E1254" s="375"/>
      <c r="F1254" s="375"/>
    </row>
    <row r="1255" customFormat="false" ht="11.25" hidden="false" customHeight="false" outlineLevel="0" collapsed="false">
      <c r="A1255" s="375"/>
      <c r="B1255" s="375"/>
      <c r="C1255" s="375"/>
      <c r="D1255" s="375"/>
      <c r="E1255" s="375"/>
      <c r="F1255" s="375"/>
    </row>
    <row r="1256" customFormat="false" ht="11.25" hidden="false" customHeight="false" outlineLevel="0" collapsed="false">
      <c r="A1256" s="375"/>
      <c r="B1256" s="375"/>
      <c r="C1256" s="375"/>
      <c r="D1256" s="375"/>
      <c r="E1256" s="375"/>
      <c r="F1256" s="375"/>
    </row>
    <row r="1257" customFormat="false" ht="11.25" hidden="false" customHeight="false" outlineLevel="0" collapsed="false">
      <c r="A1257" s="375"/>
      <c r="B1257" s="375"/>
      <c r="C1257" s="375"/>
      <c r="D1257" s="375"/>
      <c r="E1257" s="375"/>
      <c r="F1257" s="375"/>
    </row>
    <row r="1258" customFormat="false" ht="11.25" hidden="false" customHeight="false" outlineLevel="0" collapsed="false">
      <c r="A1258" s="375"/>
      <c r="B1258" s="375"/>
      <c r="C1258" s="375"/>
      <c r="D1258" s="375"/>
      <c r="E1258" s="375"/>
      <c r="F1258" s="375"/>
    </row>
    <row r="1259" customFormat="false" ht="11.25" hidden="false" customHeight="false" outlineLevel="0" collapsed="false">
      <c r="A1259" s="375"/>
      <c r="B1259" s="375"/>
      <c r="C1259" s="375"/>
      <c r="D1259" s="375"/>
      <c r="E1259" s="375"/>
      <c r="F1259" s="375"/>
    </row>
    <row r="1260" customFormat="false" ht="11.25" hidden="false" customHeight="false" outlineLevel="0" collapsed="false">
      <c r="A1260" s="375"/>
      <c r="B1260" s="375"/>
      <c r="C1260" s="375"/>
      <c r="D1260" s="375"/>
      <c r="E1260" s="375"/>
      <c r="F1260" s="375"/>
    </row>
    <row r="1261" customFormat="false" ht="11.25" hidden="false" customHeight="false" outlineLevel="0" collapsed="false">
      <c r="A1261" s="375"/>
      <c r="B1261" s="375"/>
      <c r="C1261" s="375"/>
      <c r="D1261" s="375"/>
      <c r="E1261" s="375"/>
      <c r="F1261" s="375"/>
    </row>
    <row r="1262" customFormat="false" ht="11.25" hidden="false" customHeight="false" outlineLevel="0" collapsed="false">
      <c r="A1262" s="375"/>
      <c r="B1262" s="375"/>
      <c r="C1262" s="375"/>
      <c r="D1262" s="375"/>
      <c r="E1262" s="375"/>
      <c r="F1262" s="375"/>
    </row>
    <row r="1263" customFormat="false" ht="11.25" hidden="false" customHeight="false" outlineLevel="0" collapsed="false">
      <c r="A1263" s="375"/>
      <c r="B1263" s="375"/>
      <c r="C1263" s="375"/>
      <c r="D1263" s="375"/>
      <c r="E1263" s="375"/>
      <c r="F1263" s="375"/>
    </row>
    <row r="1264" customFormat="false" ht="11.25" hidden="false" customHeight="false" outlineLevel="0" collapsed="false">
      <c r="A1264" s="375"/>
      <c r="B1264" s="375"/>
      <c r="C1264" s="375"/>
      <c r="D1264" s="375"/>
      <c r="E1264" s="375"/>
      <c r="F1264" s="375"/>
    </row>
    <row r="1265" customFormat="false" ht="11.25" hidden="false" customHeight="false" outlineLevel="0" collapsed="false">
      <c r="A1265" s="375"/>
      <c r="B1265" s="375"/>
      <c r="C1265" s="375"/>
      <c r="D1265" s="375"/>
      <c r="E1265" s="375"/>
      <c r="F1265" s="375"/>
    </row>
    <row r="1266" customFormat="false" ht="11.25" hidden="false" customHeight="false" outlineLevel="0" collapsed="false">
      <c r="A1266" s="375"/>
      <c r="B1266" s="375"/>
      <c r="C1266" s="375"/>
      <c r="D1266" s="375"/>
      <c r="E1266" s="375"/>
      <c r="F1266" s="375"/>
    </row>
    <row r="1267" customFormat="false" ht="11.25" hidden="false" customHeight="false" outlineLevel="0" collapsed="false">
      <c r="A1267" s="375"/>
      <c r="B1267" s="375"/>
      <c r="C1267" s="375"/>
      <c r="D1267" s="375"/>
      <c r="E1267" s="375"/>
      <c r="F1267" s="375"/>
    </row>
    <row r="1268" customFormat="false" ht="11.25" hidden="false" customHeight="false" outlineLevel="0" collapsed="false">
      <c r="A1268" s="375"/>
      <c r="B1268" s="375"/>
      <c r="C1268" s="375"/>
      <c r="D1268" s="375"/>
      <c r="E1268" s="375"/>
      <c r="F1268" s="375"/>
    </row>
    <row r="1269" customFormat="false" ht="11.25" hidden="false" customHeight="false" outlineLevel="0" collapsed="false">
      <c r="A1269" s="375"/>
      <c r="B1269" s="375"/>
      <c r="C1269" s="375"/>
      <c r="D1269" s="375"/>
      <c r="E1269" s="375"/>
      <c r="F1269" s="375"/>
    </row>
    <row r="1270" customFormat="false" ht="11.25" hidden="false" customHeight="false" outlineLevel="0" collapsed="false">
      <c r="A1270" s="375"/>
      <c r="B1270" s="375"/>
      <c r="C1270" s="375"/>
      <c r="D1270" s="375"/>
      <c r="E1270" s="375"/>
      <c r="F1270" s="375"/>
    </row>
    <row r="1271" customFormat="false" ht="11.25" hidden="false" customHeight="false" outlineLevel="0" collapsed="false">
      <c r="A1271" s="375"/>
      <c r="B1271" s="375"/>
      <c r="C1271" s="375"/>
      <c r="D1271" s="375"/>
      <c r="E1271" s="375"/>
      <c r="F1271" s="375"/>
    </row>
    <row r="1272" customFormat="false" ht="11.25" hidden="false" customHeight="false" outlineLevel="0" collapsed="false">
      <c r="A1272" s="375"/>
      <c r="B1272" s="375"/>
      <c r="C1272" s="375"/>
      <c r="D1272" s="375"/>
      <c r="E1272" s="375"/>
      <c r="F1272" s="375"/>
    </row>
    <row r="1273" customFormat="false" ht="11.25" hidden="false" customHeight="false" outlineLevel="0" collapsed="false">
      <c r="A1273" s="375"/>
      <c r="B1273" s="375"/>
      <c r="C1273" s="375"/>
      <c r="D1273" s="375"/>
      <c r="E1273" s="375"/>
      <c r="F1273" s="375"/>
    </row>
    <row r="1274" customFormat="false" ht="11.25" hidden="false" customHeight="false" outlineLevel="0" collapsed="false">
      <c r="A1274" s="375"/>
      <c r="B1274" s="375"/>
      <c r="C1274" s="375"/>
      <c r="D1274" s="375"/>
      <c r="E1274" s="375"/>
      <c r="F1274" s="375"/>
    </row>
    <row r="1275" customFormat="false" ht="11.25" hidden="false" customHeight="false" outlineLevel="0" collapsed="false">
      <c r="A1275" s="375"/>
      <c r="B1275" s="375"/>
      <c r="C1275" s="375"/>
      <c r="D1275" s="375"/>
      <c r="E1275" s="375"/>
      <c r="F1275" s="375"/>
    </row>
    <row r="1276" customFormat="false" ht="11.25" hidden="false" customHeight="false" outlineLevel="0" collapsed="false">
      <c r="A1276" s="375"/>
      <c r="B1276" s="375"/>
      <c r="C1276" s="375"/>
      <c r="D1276" s="375"/>
      <c r="E1276" s="375"/>
      <c r="F1276" s="375"/>
    </row>
    <row r="1277" customFormat="false" ht="11.25" hidden="false" customHeight="false" outlineLevel="0" collapsed="false">
      <c r="A1277" s="375"/>
      <c r="B1277" s="375"/>
      <c r="C1277" s="375"/>
      <c r="D1277" s="375"/>
      <c r="E1277" s="375"/>
      <c r="F1277" s="375"/>
    </row>
    <row r="1278" customFormat="false" ht="11.25" hidden="false" customHeight="false" outlineLevel="0" collapsed="false">
      <c r="A1278" s="375"/>
      <c r="B1278" s="375"/>
      <c r="C1278" s="375"/>
      <c r="D1278" s="375"/>
      <c r="E1278" s="375"/>
      <c r="F1278" s="375"/>
    </row>
    <row r="1279" customFormat="false" ht="11.25" hidden="false" customHeight="false" outlineLevel="0" collapsed="false">
      <c r="A1279" s="375"/>
      <c r="B1279" s="375"/>
      <c r="C1279" s="375"/>
      <c r="D1279" s="375"/>
      <c r="E1279" s="375"/>
      <c r="F1279" s="375"/>
    </row>
    <row r="1280" customFormat="false" ht="11.25" hidden="false" customHeight="false" outlineLevel="0" collapsed="false">
      <c r="A1280" s="375"/>
      <c r="B1280" s="375"/>
      <c r="C1280" s="375"/>
      <c r="D1280" s="375"/>
      <c r="E1280" s="375"/>
      <c r="F1280" s="375"/>
    </row>
    <row r="1281" customFormat="false" ht="11.25" hidden="false" customHeight="false" outlineLevel="0" collapsed="false">
      <c r="A1281" s="375"/>
      <c r="B1281" s="375"/>
      <c r="C1281" s="375"/>
      <c r="D1281" s="375"/>
      <c r="E1281" s="375"/>
      <c r="F1281" s="375"/>
    </row>
    <row r="1282" customFormat="false" ht="11.25" hidden="false" customHeight="false" outlineLevel="0" collapsed="false">
      <c r="A1282" s="375"/>
      <c r="B1282" s="375"/>
      <c r="C1282" s="375"/>
      <c r="D1282" s="375"/>
      <c r="E1282" s="375"/>
      <c r="F1282" s="375"/>
    </row>
    <row r="1283" customFormat="false" ht="11.25" hidden="false" customHeight="false" outlineLevel="0" collapsed="false">
      <c r="A1283" s="375"/>
      <c r="B1283" s="375"/>
      <c r="C1283" s="375"/>
      <c r="D1283" s="375"/>
      <c r="E1283" s="375"/>
      <c r="F1283" s="375"/>
    </row>
    <row r="1284" customFormat="false" ht="11.25" hidden="false" customHeight="false" outlineLevel="0" collapsed="false">
      <c r="A1284" s="375"/>
      <c r="B1284" s="375"/>
      <c r="C1284" s="375"/>
      <c r="D1284" s="375"/>
      <c r="E1284" s="375"/>
      <c r="F1284" s="375"/>
    </row>
    <row r="1285" customFormat="false" ht="11.25" hidden="false" customHeight="false" outlineLevel="0" collapsed="false">
      <c r="A1285" s="375"/>
      <c r="B1285" s="375"/>
      <c r="C1285" s="375"/>
      <c r="D1285" s="375"/>
      <c r="E1285" s="375"/>
      <c r="F1285" s="375"/>
    </row>
    <row r="1286" customFormat="false" ht="11.25" hidden="false" customHeight="false" outlineLevel="0" collapsed="false">
      <c r="A1286" s="375"/>
      <c r="B1286" s="375"/>
      <c r="C1286" s="375"/>
      <c r="D1286" s="375"/>
      <c r="E1286" s="375"/>
      <c r="F1286" s="375"/>
    </row>
    <row r="1287" customFormat="false" ht="11.25" hidden="false" customHeight="false" outlineLevel="0" collapsed="false">
      <c r="A1287" s="375"/>
      <c r="B1287" s="375"/>
      <c r="C1287" s="375"/>
      <c r="D1287" s="375"/>
      <c r="E1287" s="375"/>
      <c r="F1287" s="375"/>
    </row>
    <row r="1288" customFormat="false" ht="11.25" hidden="false" customHeight="false" outlineLevel="0" collapsed="false">
      <c r="A1288" s="375"/>
      <c r="B1288" s="375"/>
      <c r="C1288" s="375"/>
      <c r="D1288" s="375"/>
      <c r="E1288" s="375"/>
      <c r="F1288" s="375"/>
    </row>
    <row r="1289" customFormat="false" ht="11.25" hidden="false" customHeight="false" outlineLevel="0" collapsed="false">
      <c r="A1289" s="375"/>
      <c r="B1289" s="375"/>
      <c r="C1289" s="375"/>
      <c r="D1289" s="375"/>
      <c r="E1289" s="375"/>
      <c r="F1289" s="375"/>
    </row>
    <row r="1290" customFormat="false" ht="11.25" hidden="false" customHeight="false" outlineLevel="0" collapsed="false">
      <c r="A1290" s="375"/>
      <c r="B1290" s="375"/>
      <c r="C1290" s="375"/>
      <c r="D1290" s="375"/>
      <c r="E1290" s="375"/>
      <c r="F1290" s="375"/>
    </row>
    <row r="1291" customFormat="false" ht="11.25" hidden="false" customHeight="false" outlineLevel="0" collapsed="false">
      <c r="A1291" s="375"/>
      <c r="B1291" s="375"/>
      <c r="C1291" s="375"/>
      <c r="D1291" s="375"/>
      <c r="E1291" s="375"/>
      <c r="F1291" s="375"/>
    </row>
    <row r="1292" customFormat="false" ht="11.25" hidden="false" customHeight="false" outlineLevel="0" collapsed="false">
      <c r="A1292" s="375"/>
      <c r="B1292" s="375"/>
      <c r="C1292" s="375"/>
      <c r="D1292" s="375"/>
      <c r="E1292" s="375"/>
      <c r="F1292" s="375"/>
    </row>
    <row r="1293" customFormat="false" ht="11.25" hidden="false" customHeight="false" outlineLevel="0" collapsed="false">
      <c r="A1293" s="375"/>
      <c r="B1293" s="375"/>
      <c r="C1293" s="375"/>
      <c r="D1293" s="375"/>
      <c r="E1293" s="375"/>
      <c r="F1293" s="375"/>
    </row>
    <row r="1294" customFormat="false" ht="11.25" hidden="false" customHeight="false" outlineLevel="0" collapsed="false">
      <c r="A1294" s="375"/>
      <c r="B1294" s="375"/>
      <c r="C1294" s="375"/>
      <c r="D1294" s="375"/>
      <c r="E1294" s="375"/>
      <c r="F1294" s="375"/>
    </row>
    <row r="1295" customFormat="false" ht="11.25" hidden="false" customHeight="false" outlineLevel="0" collapsed="false">
      <c r="A1295" s="375"/>
      <c r="B1295" s="375"/>
      <c r="C1295" s="375"/>
      <c r="D1295" s="375"/>
      <c r="E1295" s="375"/>
      <c r="F1295" s="375"/>
    </row>
    <row r="1296" customFormat="false" ht="11.25" hidden="false" customHeight="false" outlineLevel="0" collapsed="false">
      <c r="A1296" s="375"/>
      <c r="B1296" s="375"/>
      <c r="C1296" s="375"/>
      <c r="D1296" s="375"/>
      <c r="E1296" s="375"/>
      <c r="F1296" s="375"/>
    </row>
    <row r="1297" customFormat="false" ht="11.25" hidden="false" customHeight="false" outlineLevel="0" collapsed="false">
      <c r="A1297" s="375"/>
      <c r="B1297" s="375"/>
      <c r="C1297" s="375"/>
      <c r="D1297" s="375"/>
      <c r="E1297" s="375"/>
      <c r="F1297" s="375"/>
    </row>
    <row r="1298" customFormat="false" ht="11.25" hidden="false" customHeight="false" outlineLevel="0" collapsed="false">
      <c r="A1298" s="375"/>
      <c r="B1298" s="375"/>
      <c r="C1298" s="375"/>
      <c r="D1298" s="375"/>
      <c r="E1298" s="375"/>
      <c r="F1298" s="375"/>
    </row>
    <row r="1299" customFormat="false" ht="11.25" hidden="false" customHeight="false" outlineLevel="0" collapsed="false">
      <c r="A1299" s="375"/>
      <c r="B1299" s="375"/>
      <c r="C1299" s="375"/>
      <c r="D1299" s="375"/>
      <c r="E1299" s="375"/>
      <c r="F1299" s="375"/>
    </row>
    <row r="1300" customFormat="false" ht="11.25" hidden="false" customHeight="false" outlineLevel="0" collapsed="false">
      <c r="A1300" s="375"/>
      <c r="B1300" s="375"/>
      <c r="C1300" s="375"/>
      <c r="D1300" s="375"/>
      <c r="E1300" s="375"/>
      <c r="F1300" s="375"/>
    </row>
    <row r="1301" customFormat="false" ht="11.25" hidden="false" customHeight="false" outlineLevel="0" collapsed="false">
      <c r="A1301" s="375"/>
      <c r="B1301" s="375"/>
      <c r="C1301" s="375"/>
      <c r="D1301" s="375"/>
      <c r="E1301" s="375"/>
      <c r="F1301" s="375"/>
    </row>
    <row r="1302" customFormat="false" ht="11.25" hidden="false" customHeight="false" outlineLevel="0" collapsed="false">
      <c r="A1302" s="375"/>
      <c r="B1302" s="375"/>
      <c r="C1302" s="375"/>
      <c r="D1302" s="375"/>
      <c r="E1302" s="375"/>
      <c r="F1302" s="375"/>
    </row>
    <row r="1303" customFormat="false" ht="11.25" hidden="false" customHeight="false" outlineLevel="0" collapsed="false">
      <c r="A1303" s="375"/>
      <c r="B1303" s="375"/>
      <c r="C1303" s="375"/>
      <c r="D1303" s="375"/>
      <c r="E1303" s="375"/>
      <c r="F1303" s="375"/>
    </row>
    <row r="1304" customFormat="false" ht="11.25" hidden="false" customHeight="false" outlineLevel="0" collapsed="false">
      <c r="A1304" s="375"/>
      <c r="B1304" s="375"/>
      <c r="C1304" s="375"/>
      <c r="D1304" s="375"/>
      <c r="E1304" s="375"/>
      <c r="F1304" s="375"/>
    </row>
    <row r="1305" customFormat="false" ht="11.25" hidden="false" customHeight="false" outlineLevel="0" collapsed="false">
      <c r="A1305" s="375"/>
      <c r="B1305" s="375"/>
      <c r="C1305" s="375"/>
      <c r="D1305" s="375"/>
      <c r="E1305" s="375"/>
      <c r="F1305" s="375"/>
    </row>
    <row r="1306" customFormat="false" ht="11.25" hidden="false" customHeight="false" outlineLevel="0" collapsed="false">
      <c r="A1306" s="375"/>
      <c r="B1306" s="375"/>
      <c r="C1306" s="375"/>
      <c r="D1306" s="375"/>
      <c r="E1306" s="375"/>
      <c r="F1306" s="375"/>
    </row>
  </sheetData>
  <mergeCells count="2">
    <mergeCell ref="G2:I2"/>
    <mergeCell ref="G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E17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6" activeCellId="0" sqref="S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.28"/>
    <col collapsed="false" customWidth="true" hidden="false" outlineLevel="0" max="4" min="4" style="0" width="10.99"/>
    <col collapsed="false" customWidth="true" hidden="false" outlineLevel="0" max="5" min="5" style="0" width="2.13"/>
    <col collapsed="false" customWidth="true" hidden="false" outlineLevel="0" max="6" min="6" style="0" width="2.28"/>
    <col collapsed="false" customWidth="true" hidden="false" outlineLevel="0" max="7" min="7" style="0" width="8.7"/>
    <col collapsed="false" customWidth="true" hidden="false" outlineLevel="0" max="8" min="8" style="0" width="10.28"/>
    <col collapsed="false" customWidth="true" hidden="false" outlineLevel="0" max="12" min="9" style="0" width="7.56"/>
    <col collapsed="false" customWidth="true" hidden="false" outlineLevel="0" max="13" min="13" style="0" width="8.28"/>
    <col collapsed="false" customWidth="true" hidden="false" outlineLevel="0" max="17" min="14" style="0" width="7.28"/>
    <col collapsed="false" customWidth="true" hidden="false" outlineLevel="0" max="18" min="18" style="0" width="9.7"/>
    <col collapsed="false" customWidth="true" hidden="false" outlineLevel="0" max="19" min="19" style="0" width="7.56"/>
    <col collapsed="false" customWidth="true" hidden="false" outlineLevel="0" max="20" min="20" style="0" width="7.14"/>
    <col collapsed="false" customWidth="true" hidden="false" outlineLevel="0" max="21" min="21" style="0" width="7.7"/>
    <col collapsed="false" customWidth="true" hidden="false" outlineLevel="0" max="22" min="22" style="0" width="10.71"/>
    <col collapsed="false" customWidth="true" hidden="false" outlineLevel="0" max="23" min="23" style="0" width="10.28"/>
    <col collapsed="false" customWidth="true" hidden="false" outlineLevel="0" max="24" min="24" style="0" width="8.7"/>
    <col collapsed="false" customWidth="true" hidden="false" outlineLevel="0" max="26" min="26" style="0" width="5.13"/>
    <col collapsed="false" customWidth="true" hidden="false" outlineLevel="0" max="27" min="27" style="0" width="6.28"/>
    <col collapsed="false" customWidth="true" hidden="false" outlineLevel="0" max="28" min="28" style="0" width="7.14"/>
    <col collapsed="false" customWidth="true" hidden="false" outlineLevel="0" max="29" min="29" style="0" width="7.7"/>
    <col collapsed="false" customWidth="true" hidden="false" outlineLevel="0" max="30" min="30" style="0" width="8.14"/>
    <col collapsed="false" customWidth="true" hidden="false" outlineLevel="0" max="31" min="31" style="0" width="7.14"/>
    <col collapsed="false" customWidth="true" hidden="false" outlineLevel="0" max="32" min="32" style="0" width="7.7"/>
    <col collapsed="false" customWidth="true" hidden="false" outlineLevel="0" max="33" min="33" style="0" width="6.7"/>
    <col collapsed="false" customWidth="true" hidden="false" outlineLevel="0" max="34" min="34" style="0" width="7.7"/>
    <col collapsed="false" customWidth="true" hidden="false" outlineLevel="0" max="35" min="35" style="0" width="7.14"/>
    <col collapsed="false" customWidth="true" hidden="false" outlineLevel="0" max="36" min="36" style="0" width="10.71"/>
    <col collapsed="false" customWidth="true" hidden="false" outlineLevel="0" max="37" min="37" style="0" width="8.56"/>
    <col collapsed="false" customWidth="true" hidden="false" outlineLevel="0" max="38" min="38" style="0" width="7.14"/>
    <col collapsed="false" customWidth="true" hidden="false" outlineLevel="0" max="39" min="39" style="0" width="6.56"/>
    <col collapsed="false" customWidth="true" hidden="false" outlineLevel="0" max="41" min="40" style="0" width="7.56"/>
    <col collapsed="false" customWidth="true" hidden="false" outlineLevel="0" max="43" min="42" style="0" width="2.99"/>
    <col collapsed="false" customWidth="true" hidden="false" outlineLevel="0" max="44" min="44" style="0" width="8.56"/>
    <col collapsed="false" customWidth="true" hidden="false" outlineLevel="0" max="46" min="46" style="0" width="2.56"/>
    <col collapsed="false" customWidth="true" hidden="false" outlineLevel="0" max="48" min="47" style="0" width="2.99"/>
    <col collapsed="false" customWidth="true" hidden="false" outlineLevel="0" max="50" min="49" style="0" width="7.56"/>
    <col collapsed="false" customWidth="true" hidden="false" outlineLevel="0" max="51" min="51" style="0" width="8.28"/>
    <col collapsed="false" customWidth="true" hidden="false" outlineLevel="0" max="52" min="52" style="0" width="6.99"/>
    <col collapsed="false" customWidth="true" hidden="false" outlineLevel="0" max="53" min="53" style="0" width="5.99"/>
    <col collapsed="false" customWidth="true" hidden="false" outlineLevel="0" max="54" min="54" style="0" width="9.28"/>
    <col collapsed="false" customWidth="true" hidden="false" outlineLevel="0" max="55" min="55" style="0" width="8.28"/>
    <col collapsed="false" customWidth="true" hidden="false" outlineLevel="0" max="56" min="56" style="0" width="9.28"/>
    <col collapsed="false" customWidth="true" hidden="false" outlineLevel="0" max="57" min="57" style="0" width="10.71"/>
    <col collapsed="false" customWidth="true" hidden="false" outlineLevel="0" max="59" min="58" style="0" width="3.99"/>
    <col collapsed="false" customWidth="true" hidden="false" outlineLevel="0" max="60" min="60" style="0" width="7.56"/>
    <col collapsed="false" customWidth="true" hidden="false" outlineLevel="0" max="62" min="61" style="0" width="7.28"/>
    <col collapsed="false" customWidth="true" hidden="false" outlineLevel="0" max="63" min="63" style="0" width="16.13"/>
    <col collapsed="false" customWidth="true" hidden="false" outlineLevel="0" max="64" min="64" style="0" width="15.13"/>
  </cols>
  <sheetData>
    <row r="4" customFormat="false" ht="14.25" hidden="true" customHeight="true" outlineLevel="0" collapsed="false"/>
    <row r="5" customFormat="false" ht="216.75" hidden="false" customHeight="false" outlineLevel="0" collapsed="false">
      <c r="A5" s="61" t="s">
        <v>25</v>
      </c>
      <c r="B5" s="62" t="s">
        <v>26</v>
      </c>
      <c r="C5" s="63" t="s">
        <v>27</v>
      </c>
      <c r="D5" s="63" t="s">
        <v>28</v>
      </c>
      <c r="E5" s="64" t="s">
        <v>29</v>
      </c>
      <c r="F5" s="64" t="s">
        <v>30</v>
      </c>
      <c r="G5" s="65" t="s">
        <v>31</v>
      </c>
      <c r="H5" s="66" t="s">
        <v>32</v>
      </c>
      <c r="I5" s="67" t="s">
        <v>33</v>
      </c>
      <c r="J5" s="68" t="s">
        <v>34</v>
      </c>
      <c r="K5" s="69" t="s">
        <v>35</v>
      </c>
      <c r="L5" s="69" t="s">
        <v>36</v>
      </c>
      <c r="M5" s="70" t="s">
        <v>37</v>
      </c>
      <c r="N5" s="71" t="s">
        <v>38</v>
      </c>
      <c r="O5" s="71" t="s">
        <v>39</v>
      </c>
      <c r="P5" s="71" t="s">
        <v>40</v>
      </c>
      <c r="Q5" s="71" t="s">
        <v>41</v>
      </c>
      <c r="R5" s="72" t="s">
        <v>42</v>
      </c>
      <c r="S5" s="73" t="s">
        <v>43</v>
      </c>
      <c r="T5" s="74" t="s">
        <v>44</v>
      </c>
      <c r="U5" s="75" t="s">
        <v>45</v>
      </c>
      <c r="V5" s="76" t="s">
        <v>46</v>
      </c>
      <c r="W5" s="77" t="s">
        <v>47</v>
      </c>
      <c r="X5" s="78" t="s">
        <v>48</v>
      </c>
      <c r="Y5" s="79" t="s">
        <v>49</v>
      </c>
      <c r="Z5" s="79" t="s">
        <v>50</v>
      </c>
      <c r="AA5" s="79" t="s">
        <v>51</v>
      </c>
      <c r="AB5" s="80" t="s">
        <v>52</v>
      </c>
      <c r="AC5" s="80" t="s">
        <v>53</v>
      </c>
      <c r="AD5" s="81" t="s">
        <v>54</v>
      </c>
      <c r="AE5" s="81" t="s">
        <v>55</v>
      </c>
      <c r="AF5" s="81" t="s">
        <v>56</v>
      </c>
      <c r="AG5" s="81" t="s">
        <v>57</v>
      </c>
      <c r="AH5" s="81" t="s">
        <v>38</v>
      </c>
      <c r="AI5" s="80" t="s">
        <v>58</v>
      </c>
      <c r="AJ5" s="82" t="s">
        <v>59</v>
      </c>
      <c r="AK5" s="82" t="s">
        <v>60</v>
      </c>
      <c r="AL5" s="82" t="s">
        <v>61</v>
      </c>
      <c r="AM5" s="82" t="s">
        <v>62</v>
      </c>
      <c r="AN5" s="82" t="s">
        <v>63</v>
      </c>
      <c r="AO5" s="82" t="s">
        <v>55</v>
      </c>
      <c r="AP5" s="82" t="s">
        <v>41</v>
      </c>
      <c r="AQ5" s="82" t="s">
        <v>64</v>
      </c>
      <c r="AR5" s="82" t="s">
        <v>65</v>
      </c>
      <c r="AS5" s="83"/>
      <c r="AT5" s="84"/>
      <c r="AU5" s="85" t="s">
        <v>66</v>
      </c>
      <c r="AV5" s="85" t="s">
        <v>67</v>
      </c>
      <c r="AW5" s="86" t="s">
        <v>68</v>
      </c>
      <c r="AX5" s="86" t="s">
        <v>69</v>
      </c>
      <c r="AY5" s="87" t="s">
        <v>70</v>
      </c>
      <c r="AZ5" s="85" t="s">
        <v>71</v>
      </c>
      <c r="BA5" s="85" t="s">
        <v>72</v>
      </c>
      <c r="BB5" s="87" t="s">
        <v>73</v>
      </c>
      <c r="BC5" s="87" t="s">
        <v>74</v>
      </c>
      <c r="BD5" s="87" t="s">
        <v>75</v>
      </c>
      <c r="BE5" s="88" t="s">
        <v>76</v>
      </c>
      <c r="BF5" s="85" t="s">
        <v>77</v>
      </c>
      <c r="BG5" s="85" t="s">
        <v>78</v>
      </c>
      <c r="BH5" s="86" t="s">
        <v>79</v>
      </c>
      <c r="BI5" s="89" t="s">
        <v>80</v>
      </c>
      <c r="BJ5" s="89" t="s">
        <v>81</v>
      </c>
      <c r="BK5" s="90" t="s">
        <v>82</v>
      </c>
      <c r="BL5" s="91" t="s">
        <v>83</v>
      </c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</row>
    <row r="6" customFormat="false" ht="12.75" hidden="false" customHeight="false" outlineLevel="0" collapsed="false">
      <c r="A6" s="92" t="s">
        <v>84</v>
      </c>
      <c r="B6" s="93" t="s">
        <v>85</v>
      </c>
      <c r="C6" s="92" t="s">
        <v>86</v>
      </c>
      <c r="D6" s="92" t="s">
        <v>87</v>
      </c>
      <c r="E6" s="93" t="s">
        <v>88</v>
      </c>
      <c r="F6" s="93" t="s">
        <v>89</v>
      </c>
      <c r="G6" s="94" t="n">
        <v>37257</v>
      </c>
      <c r="H6" s="95" t="n">
        <v>-8250000</v>
      </c>
      <c r="I6" s="96" t="n">
        <v>0.25</v>
      </c>
      <c r="J6" s="97" t="n">
        <v>3.25</v>
      </c>
      <c r="K6" s="97" t="n">
        <v>0.06</v>
      </c>
      <c r="L6" s="97" t="n">
        <v>3.31</v>
      </c>
      <c r="M6" s="98" t="n">
        <v>0.0237649798974653</v>
      </c>
      <c r="N6" s="99" t="n">
        <v>0.785</v>
      </c>
      <c r="O6" s="99" t="n">
        <v>0.848</v>
      </c>
      <c r="P6" s="99" t="n">
        <v>0.848</v>
      </c>
      <c r="Q6" s="99" t="n">
        <v>0.93</v>
      </c>
      <c r="R6" s="100" t="n">
        <v>37253</v>
      </c>
      <c r="S6" s="97" t="n">
        <v>0.10059046419212</v>
      </c>
      <c r="T6" s="101" t="n">
        <v>0.360662297051967</v>
      </c>
      <c r="U6" s="101" t="n">
        <v>-0.313891430254159</v>
      </c>
      <c r="V6" s="102" t="n">
        <v>-829871.329584986</v>
      </c>
      <c r="W6" s="95" t="n">
        <v>-2975463.95067873</v>
      </c>
      <c r="X6" s="95" t="n">
        <v>-385859.651081918</v>
      </c>
      <c r="Y6" s="95"/>
      <c r="Z6" s="103" t="n">
        <v>-825</v>
      </c>
      <c r="AA6" s="104" t="n">
        <v>0</v>
      </c>
      <c r="AB6" s="105" t="n">
        <v>0.849391931567222</v>
      </c>
      <c r="AC6" s="105" t="n">
        <v>-7.00748343542958</v>
      </c>
      <c r="AD6" s="106" t="n">
        <v>83360.3334679212</v>
      </c>
      <c r="AE6" s="106" t="n">
        <v>10543.8994951283</v>
      </c>
      <c r="AF6" s="106" t="n">
        <v>-22657.2474059439</v>
      </c>
      <c r="AG6" s="106" t="n">
        <v>7206.72337778904</v>
      </c>
      <c r="AH6" s="106" t="n">
        <v>-17268.8763677402</v>
      </c>
      <c r="AI6" s="105" t="n">
        <v>0.706069809596274</v>
      </c>
      <c r="AJ6" s="107" t="n">
        <v>-993311.005932139</v>
      </c>
      <c r="AK6" s="107" t="n">
        <v>140111.321286917</v>
      </c>
      <c r="AL6" s="107" t="n">
        <v>-23.7436518565519</v>
      </c>
      <c r="AM6" s="107" t="n">
        <v>89.553502980154</v>
      </c>
      <c r="AN6" s="107" t="n">
        <v>13619.1594364004</v>
      </c>
      <c r="AO6" s="107" t="n">
        <v>11248.5386749672</v>
      </c>
      <c r="AP6" s="107" t="n">
        <v>0</v>
      </c>
      <c r="AQ6" s="107" t="n">
        <v>0</v>
      </c>
      <c r="AR6" s="107" t="n">
        <v>163439.676347152</v>
      </c>
      <c r="AS6" s="108"/>
      <c r="AT6" s="109" t="n">
        <v>1</v>
      </c>
      <c r="AU6" s="110" t="n">
        <v>12</v>
      </c>
      <c r="AV6" s="110" t="n">
        <v>19</v>
      </c>
      <c r="AW6" s="111" t="n">
        <v>3.326</v>
      </c>
      <c r="AX6" s="111" t="n">
        <v>3.421</v>
      </c>
      <c r="AY6" s="112" t="n">
        <v>0.0238992978137045</v>
      </c>
      <c r="AZ6" s="113" t="n">
        <v>0.7925</v>
      </c>
      <c r="BA6" s="113" t="n">
        <v>0.856</v>
      </c>
      <c r="BB6" s="112" t="n">
        <v>0.93</v>
      </c>
      <c r="BC6" s="112" t="n">
        <v>0</v>
      </c>
      <c r="BD6" s="112" t="n">
        <v>0.856</v>
      </c>
      <c r="BE6" s="114" t="n">
        <v>-993311.005932139</v>
      </c>
      <c r="BF6" s="110" t="n">
        <v>64</v>
      </c>
      <c r="BG6" s="110" t="n">
        <v>65</v>
      </c>
      <c r="BH6" s="111" t="n">
        <v>0.25</v>
      </c>
      <c r="BI6" s="115" t="n">
        <v>0.995611320790969</v>
      </c>
      <c r="BJ6" s="115" t="n">
        <v>0.995521961852211</v>
      </c>
      <c r="BK6" s="113" t="s">
        <v>90</v>
      </c>
      <c r="BL6" s="116" t="s">
        <v>91</v>
      </c>
      <c r="BM6" s="108"/>
      <c r="BN6" s="117"/>
      <c r="BO6" s="117"/>
      <c r="BP6" s="117"/>
      <c r="BQ6" s="117"/>
      <c r="BR6" s="117"/>
      <c r="BS6" s="117"/>
      <c r="BT6" s="117"/>
      <c r="BU6" s="117"/>
      <c r="BV6" s="117"/>
    </row>
    <row r="7" customFormat="false" ht="12.75" hidden="false" customHeight="false" outlineLevel="0" collapsed="false">
      <c r="A7" s="92" t="s">
        <v>84</v>
      </c>
      <c r="B7" s="93" t="s">
        <v>85</v>
      </c>
      <c r="C7" s="92" t="s">
        <v>86</v>
      </c>
      <c r="D7" s="92" t="s">
        <v>87</v>
      </c>
      <c r="E7" s="93" t="s">
        <v>88</v>
      </c>
      <c r="F7" s="93" t="s">
        <v>89</v>
      </c>
      <c r="G7" s="94" t="n">
        <v>37288</v>
      </c>
      <c r="H7" s="95" t="n">
        <v>-8250000</v>
      </c>
      <c r="I7" s="96" t="n">
        <v>0.25</v>
      </c>
      <c r="J7" s="97" t="n">
        <v>3.248</v>
      </c>
      <c r="K7" s="97" t="n">
        <v>0.05</v>
      </c>
      <c r="L7" s="97" t="n">
        <v>3.298</v>
      </c>
      <c r="M7" s="98" t="n">
        <v>0.0235525724311665</v>
      </c>
      <c r="N7" s="99" t="n">
        <v>0.725</v>
      </c>
      <c r="O7" s="99" t="n">
        <v>0.783</v>
      </c>
      <c r="P7" s="99" t="n">
        <v>0.783</v>
      </c>
      <c r="Q7" s="99" t="n">
        <v>0.93</v>
      </c>
      <c r="R7" s="100" t="n">
        <v>37286</v>
      </c>
      <c r="S7" s="97" t="n">
        <v>0.119128305331759</v>
      </c>
      <c r="T7" s="101" t="n">
        <v>0.374735770918971</v>
      </c>
      <c r="U7" s="101" t="n">
        <v>-0.321034628609075</v>
      </c>
      <c r="V7" s="102" t="n">
        <v>-982808.518987012</v>
      </c>
      <c r="W7" s="95" t="n">
        <v>-3091570.11008151</v>
      </c>
      <c r="X7" s="95" t="n">
        <v>-443034.424056645</v>
      </c>
      <c r="Y7" s="95"/>
      <c r="Z7" s="103" t="n">
        <v>-825</v>
      </c>
      <c r="AA7" s="104" t="n">
        <v>0</v>
      </c>
      <c r="AB7" s="105" t="n">
        <v>0.758305221048704</v>
      </c>
      <c r="AC7" s="105" t="n">
        <v>-6.25601807365181</v>
      </c>
      <c r="AD7" s="106" t="n">
        <v>95515.8557539202</v>
      </c>
      <c r="AE7" s="106" t="n">
        <v>7947.55079757222</v>
      </c>
      <c r="AF7" s="106" t="n">
        <v>-28047.3625955101</v>
      </c>
      <c r="AG7" s="106" t="n">
        <v>8869.57574764017</v>
      </c>
      <c r="AH7" s="106" t="n">
        <v>-21421.5758555108</v>
      </c>
      <c r="AI7" s="105" t="n">
        <v>0.660576498888323</v>
      </c>
      <c r="AJ7" s="107" t="n">
        <v>-1039551.38246779</v>
      </c>
      <c r="AK7" s="107" t="n">
        <v>32967.6016879198</v>
      </c>
      <c r="AL7" s="107" t="n">
        <v>-40.2532377743628</v>
      </c>
      <c r="AM7" s="107" t="n">
        <v>107.924940406694</v>
      </c>
      <c r="AN7" s="107" t="n">
        <v>16269.8964235181</v>
      </c>
      <c r="AO7" s="107" t="n">
        <v>8206.30862232787</v>
      </c>
      <c r="AP7" s="107" t="n">
        <v>0</v>
      </c>
      <c r="AQ7" s="107" t="n">
        <v>0</v>
      </c>
      <c r="AR7" s="107" t="n">
        <v>56742.8634807821</v>
      </c>
      <c r="AS7" s="108"/>
      <c r="AT7" s="109" t="n">
        <v>1</v>
      </c>
      <c r="AU7" s="110" t="n">
        <v>13</v>
      </c>
      <c r="AV7" s="110" t="n">
        <v>20</v>
      </c>
      <c r="AW7" s="111" t="n">
        <v>3.321</v>
      </c>
      <c r="AX7" s="111" t="n">
        <v>3.371</v>
      </c>
      <c r="AY7" s="112" t="n">
        <v>0.0236968871405265</v>
      </c>
      <c r="AZ7" s="113" t="n">
        <v>0.7325</v>
      </c>
      <c r="BA7" s="113" t="n">
        <v>0.791</v>
      </c>
      <c r="BB7" s="112" t="n">
        <v>0.93</v>
      </c>
      <c r="BC7" s="112" t="n">
        <v>0</v>
      </c>
      <c r="BD7" s="112" t="n">
        <v>0.791</v>
      </c>
      <c r="BE7" s="114" t="n">
        <v>-1039551.38246779</v>
      </c>
      <c r="BF7" s="110" t="n">
        <v>97</v>
      </c>
      <c r="BG7" s="110" t="n">
        <v>98</v>
      </c>
      <c r="BH7" s="111" t="n">
        <v>0.25</v>
      </c>
      <c r="BI7" s="115" t="n">
        <v>0.993673533978302</v>
      </c>
      <c r="BJ7" s="115" t="n">
        <v>0.993571035244052</v>
      </c>
      <c r="BK7" s="113" t="s">
        <v>92</v>
      </c>
      <c r="BL7" s="116" t="s">
        <v>93</v>
      </c>
      <c r="BM7" s="108"/>
      <c r="BN7" s="117"/>
      <c r="BO7" s="117"/>
      <c r="BP7" s="117"/>
      <c r="BQ7" s="117"/>
      <c r="BR7" s="117"/>
      <c r="BS7" s="117"/>
      <c r="BT7" s="117"/>
      <c r="BU7" s="117"/>
      <c r="BV7" s="117"/>
    </row>
    <row r="8" customFormat="false" ht="12.75" hidden="false" customHeight="false" outlineLevel="0" collapsed="false">
      <c r="A8" s="92" t="s">
        <v>84</v>
      </c>
      <c r="B8" s="93" t="s">
        <v>85</v>
      </c>
      <c r="C8" s="92" t="s">
        <v>86</v>
      </c>
      <c r="D8" s="92" t="s">
        <v>87</v>
      </c>
      <c r="E8" s="93" t="s">
        <v>88</v>
      </c>
      <c r="F8" s="93" t="s">
        <v>89</v>
      </c>
      <c r="G8" s="94" t="n">
        <v>37316</v>
      </c>
      <c r="H8" s="95" t="n">
        <v>-8250000</v>
      </c>
      <c r="I8" s="96" t="n">
        <v>0.25</v>
      </c>
      <c r="J8" s="97" t="n">
        <v>3.195</v>
      </c>
      <c r="K8" s="97" t="n">
        <v>0.03</v>
      </c>
      <c r="L8" s="97" t="n">
        <v>3.225</v>
      </c>
      <c r="M8" s="98" t="n">
        <v>0.0230272616332954</v>
      </c>
      <c r="N8" s="99" t="n">
        <v>0.65</v>
      </c>
      <c r="O8" s="99" t="n">
        <v>0.702</v>
      </c>
      <c r="P8" s="99" t="n">
        <v>0.702</v>
      </c>
      <c r="Q8" s="99" t="n">
        <v>0.93</v>
      </c>
      <c r="R8" s="100" t="n">
        <v>37314</v>
      </c>
      <c r="S8" s="97" t="n">
        <v>0.112031365876606</v>
      </c>
      <c r="T8" s="101" t="n">
        <v>0.359953625820694</v>
      </c>
      <c r="U8" s="101" t="n">
        <v>-0.306265991553044</v>
      </c>
      <c r="V8" s="102" t="n">
        <v>-924258.768481998</v>
      </c>
      <c r="W8" s="95" t="n">
        <v>-2969617.41302072</v>
      </c>
      <c r="X8" s="95" t="n">
        <v>-442922.982708114</v>
      </c>
      <c r="Y8" s="95"/>
      <c r="Z8" s="103" t="n">
        <v>-825</v>
      </c>
      <c r="AA8" s="104" t="n">
        <v>0</v>
      </c>
      <c r="AB8" s="105" t="n">
        <v>0.750907060847601</v>
      </c>
      <c r="AC8" s="105" t="n">
        <v>-6.19498325199271</v>
      </c>
      <c r="AD8" s="106" t="n">
        <v>93605.1569699313</v>
      </c>
      <c r="AE8" s="106" t="n">
        <v>6044.37921337623</v>
      </c>
      <c r="AF8" s="106" t="n">
        <v>-30787.8744661499</v>
      </c>
      <c r="AG8" s="106" t="n">
        <v>9795.08859288589</v>
      </c>
      <c r="AH8" s="106" t="n">
        <v>-23455.815830556</v>
      </c>
      <c r="AI8" s="105" t="n">
        <v>0.728490148196939</v>
      </c>
      <c r="AJ8" s="107" t="n">
        <v>-977401.57562773</v>
      </c>
      <c r="AK8" s="107" t="n">
        <v>29816.9841643878</v>
      </c>
      <c r="AL8" s="107" t="n">
        <v>-89.1204847217305</v>
      </c>
      <c r="AM8" s="107" t="n">
        <v>151.979828569922</v>
      </c>
      <c r="AN8" s="107" t="n">
        <v>17774.3902600233</v>
      </c>
      <c r="AO8" s="107" t="n">
        <v>6246.37524253293</v>
      </c>
      <c r="AP8" s="107" t="n">
        <v>0</v>
      </c>
      <c r="AQ8" s="107" t="n">
        <v>0</v>
      </c>
      <c r="AR8" s="107" t="n">
        <v>53142.8071457318</v>
      </c>
      <c r="AS8" s="108"/>
      <c r="AT8" s="109" t="n">
        <v>1</v>
      </c>
      <c r="AU8" s="110" t="n">
        <v>14</v>
      </c>
      <c r="AV8" s="110" t="n">
        <v>21</v>
      </c>
      <c r="AW8" s="111" t="n">
        <v>3.261</v>
      </c>
      <c r="AX8" s="111" t="n">
        <v>3.291</v>
      </c>
      <c r="AY8" s="112" t="n">
        <v>0.0232915660287771</v>
      </c>
      <c r="AZ8" s="113" t="n">
        <v>0.6575</v>
      </c>
      <c r="BA8" s="113" t="n">
        <v>0.71</v>
      </c>
      <c r="BB8" s="112" t="n">
        <v>0.93</v>
      </c>
      <c r="BC8" s="112" t="n">
        <v>0</v>
      </c>
      <c r="BD8" s="112" t="n">
        <v>0.71</v>
      </c>
      <c r="BE8" s="114" t="n">
        <v>-977401.57562773</v>
      </c>
      <c r="BF8" s="110" t="n">
        <v>125</v>
      </c>
      <c r="BG8" s="110" t="n">
        <v>126</v>
      </c>
      <c r="BH8" s="111" t="n">
        <v>0.25</v>
      </c>
      <c r="BI8" s="115" t="n">
        <v>0.992070606171601</v>
      </c>
      <c r="BJ8" s="115" t="n">
        <v>0.991917592199037</v>
      </c>
      <c r="BK8" s="113" t="s">
        <v>94</v>
      </c>
      <c r="BL8" s="116" t="s">
        <v>95</v>
      </c>
      <c r="BM8" s="108"/>
      <c r="BN8" s="117"/>
      <c r="BO8" s="117"/>
      <c r="BP8" s="117"/>
      <c r="BQ8" s="117"/>
      <c r="BR8" s="117"/>
      <c r="BS8" s="117"/>
      <c r="BT8" s="117"/>
      <c r="BU8" s="117"/>
      <c r="BV8" s="117"/>
    </row>
    <row r="9" customFormat="false" ht="12.75" hidden="false" customHeight="false" outlineLevel="0" collapsed="false">
      <c r="A9" s="92" t="s">
        <v>84</v>
      </c>
      <c r="B9" s="93" t="s">
        <v>85</v>
      </c>
      <c r="C9" s="92" t="s">
        <v>86</v>
      </c>
      <c r="D9" s="92" t="s">
        <v>87</v>
      </c>
      <c r="E9" s="93" t="s">
        <v>88</v>
      </c>
      <c r="F9" s="93" t="s">
        <v>89</v>
      </c>
      <c r="G9" s="94" t="n">
        <v>37347</v>
      </c>
      <c r="H9" s="95" t="n">
        <v>-8250000</v>
      </c>
      <c r="I9" s="96" t="n">
        <v>0.25</v>
      </c>
      <c r="J9" s="97" t="n">
        <v>3.095</v>
      </c>
      <c r="K9" s="97" t="n">
        <v>0.035</v>
      </c>
      <c r="L9" s="97" t="n">
        <v>3.13</v>
      </c>
      <c r="M9" s="98" t="n">
        <v>0.0226849174085424</v>
      </c>
      <c r="N9" s="99" t="n">
        <v>0.5225</v>
      </c>
      <c r="O9" s="99" t="n">
        <v>0.523</v>
      </c>
      <c r="P9" s="99" t="n">
        <v>0.523</v>
      </c>
      <c r="Q9" s="99" t="n">
        <v>0.93</v>
      </c>
      <c r="R9" s="100" t="n">
        <v>37343</v>
      </c>
      <c r="S9" s="97" t="n">
        <v>0.0753014224099896</v>
      </c>
      <c r="T9" s="101" t="n">
        <v>0.316461384472904</v>
      </c>
      <c r="U9" s="101" t="n">
        <v>-0.2738031867544</v>
      </c>
      <c r="V9" s="102" t="n">
        <v>-621236.734882414</v>
      </c>
      <c r="W9" s="95" t="n">
        <v>-2610806.42190145</v>
      </c>
      <c r="X9" s="95" t="n">
        <v>-351930.131177657</v>
      </c>
      <c r="Y9" s="95"/>
      <c r="Z9" s="103" t="n">
        <v>-825</v>
      </c>
      <c r="AA9" s="104" t="n">
        <v>0</v>
      </c>
      <c r="AB9" s="105" t="n">
        <v>0.905046940006728</v>
      </c>
      <c r="AC9" s="105" t="n">
        <v>-7.46663725505551</v>
      </c>
      <c r="AD9" s="106" t="n">
        <v>78013.8336640635</v>
      </c>
      <c r="AE9" s="106" t="n">
        <v>3679.82819523458</v>
      </c>
      <c r="AF9" s="106" t="n">
        <v>-22580.3309113486</v>
      </c>
      <c r="AG9" s="106" t="n">
        <v>697.726455388464</v>
      </c>
      <c r="AH9" s="106" t="n">
        <v>-21904.2124281241</v>
      </c>
      <c r="AI9" s="105" t="n">
        <v>0.91965692895065</v>
      </c>
      <c r="AJ9" s="107" t="n">
        <v>-652073.493301705</v>
      </c>
      <c r="AK9" s="107" t="n">
        <v>5232.57794197358</v>
      </c>
      <c r="AL9" s="107" t="n">
        <v>-100.362129035988</v>
      </c>
      <c r="AM9" s="107" t="n">
        <v>143.460022233892</v>
      </c>
      <c r="AN9" s="107" t="n">
        <v>22304.0612117145</v>
      </c>
      <c r="AO9" s="107" t="n">
        <v>3808.71428124141</v>
      </c>
      <c r="AP9" s="107" t="n">
        <v>0</v>
      </c>
      <c r="AQ9" s="107" t="n">
        <v>0</v>
      </c>
      <c r="AR9" s="107" t="n">
        <v>30836.758419291</v>
      </c>
      <c r="AS9" s="108"/>
      <c r="AT9" s="109" t="n">
        <v>1</v>
      </c>
      <c r="AU9" s="110" t="n">
        <v>15</v>
      </c>
      <c r="AV9" s="110" t="n">
        <v>22</v>
      </c>
      <c r="AW9" s="111" t="n">
        <v>3.146</v>
      </c>
      <c r="AX9" s="111" t="n">
        <v>3.176</v>
      </c>
      <c r="AY9" s="112" t="n">
        <v>0.0230475763804585</v>
      </c>
      <c r="AZ9" s="113" t="n">
        <v>0.5325</v>
      </c>
      <c r="BA9" s="113" t="n">
        <v>0.533</v>
      </c>
      <c r="BB9" s="112" t="n">
        <v>0.93</v>
      </c>
      <c r="BC9" s="112" t="n">
        <v>0</v>
      </c>
      <c r="BD9" s="112" t="n">
        <v>0.533</v>
      </c>
      <c r="BE9" s="114" t="n">
        <v>-652073.493301705</v>
      </c>
      <c r="BF9" s="110" t="n">
        <v>154</v>
      </c>
      <c r="BG9" s="110" t="n">
        <v>155</v>
      </c>
      <c r="BH9" s="111" t="n">
        <v>0.25</v>
      </c>
      <c r="BI9" s="115" t="n">
        <v>0.99028963661069</v>
      </c>
      <c r="BJ9" s="115" t="n">
        <v>0.990073929626804</v>
      </c>
      <c r="BK9" s="113" t="s">
        <v>96</v>
      </c>
      <c r="BL9" s="116" t="s">
        <v>97</v>
      </c>
      <c r="BM9" s="108"/>
      <c r="BN9" s="117"/>
      <c r="BO9" s="117"/>
      <c r="BP9" s="117"/>
      <c r="BQ9" s="117"/>
      <c r="BR9" s="117"/>
      <c r="BS9" s="117"/>
      <c r="BT9" s="117"/>
      <c r="BU9" s="117"/>
      <c r="BV9" s="117"/>
    </row>
    <row r="10" customFormat="false" ht="12.75" hidden="false" customHeight="false" outlineLevel="0" collapsed="false">
      <c r="A10" s="92" t="s">
        <v>84</v>
      </c>
      <c r="B10" s="93" t="s">
        <v>85</v>
      </c>
      <c r="C10" s="92" t="s">
        <v>86</v>
      </c>
      <c r="D10" s="92" t="s">
        <v>87</v>
      </c>
      <c r="E10" s="93" t="s">
        <v>88</v>
      </c>
      <c r="F10" s="93" t="s">
        <v>89</v>
      </c>
      <c r="G10" s="94" t="n">
        <v>37377</v>
      </c>
      <c r="H10" s="95" t="n">
        <v>-8250000</v>
      </c>
      <c r="I10" s="96" t="n">
        <v>0.25</v>
      </c>
      <c r="J10" s="97" t="n">
        <v>3.125</v>
      </c>
      <c r="K10" s="97" t="n">
        <v>0.065</v>
      </c>
      <c r="L10" s="97" t="n">
        <v>3.19</v>
      </c>
      <c r="M10" s="98" t="n">
        <v>0.0226737414033105</v>
      </c>
      <c r="N10" s="99" t="n">
        <v>0.47</v>
      </c>
      <c r="O10" s="99" t="n">
        <v>0.47</v>
      </c>
      <c r="P10" s="99" t="n">
        <v>0.47</v>
      </c>
      <c r="Q10" s="99" t="n">
        <v>0.93</v>
      </c>
      <c r="R10" s="100" t="n">
        <v>37375</v>
      </c>
      <c r="S10" s="97" t="n">
        <v>0.0845563603600523</v>
      </c>
      <c r="T10" s="101" t="n">
        <v>0.342419829571812</v>
      </c>
      <c r="U10" s="101" t="n">
        <v>-0.298759162504437</v>
      </c>
      <c r="V10" s="102" t="n">
        <v>-697589.972970431</v>
      </c>
      <c r="W10" s="95" t="n">
        <v>-2824963.59396745</v>
      </c>
      <c r="X10" s="95" t="n">
        <v>-360200.503305844</v>
      </c>
      <c r="Y10" s="95"/>
      <c r="Z10" s="103" t="n">
        <v>-825</v>
      </c>
      <c r="AA10" s="104" t="n">
        <v>0</v>
      </c>
      <c r="AB10" s="105" t="n">
        <v>0.926604112686614</v>
      </c>
      <c r="AC10" s="105" t="n">
        <v>-7.64448392966457</v>
      </c>
      <c r="AD10" s="106" t="n">
        <v>81049.2888245283</v>
      </c>
      <c r="AE10" s="106" t="n">
        <v>3149.4953724648</v>
      </c>
      <c r="AF10" s="106" t="n">
        <v>-25813.1458216573</v>
      </c>
      <c r="AG10" s="106" t="n">
        <v>559.53687175473</v>
      </c>
      <c r="AH10" s="106" t="n">
        <v>-25253.6089499025</v>
      </c>
      <c r="AI10" s="105" t="n">
        <v>0.807009272073012</v>
      </c>
      <c r="AJ10" s="107" t="n">
        <v>-717725.633554541</v>
      </c>
      <c r="AK10" s="107" t="n">
        <v>4460.29126000498</v>
      </c>
      <c r="AL10" s="107" t="n">
        <v>-150.418144380208</v>
      </c>
      <c r="AM10" s="107" t="n">
        <v>196.893675419735</v>
      </c>
      <c r="AN10" s="107" t="n">
        <v>12832.1031340685</v>
      </c>
      <c r="AO10" s="107" t="n">
        <v>3221.4404170959</v>
      </c>
      <c r="AP10" s="107" t="n">
        <v>0</v>
      </c>
      <c r="AQ10" s="107" t="n">
        <v>0</v>
      </c>
      <c r="AR10" s="107" t="n">
        <v>20135.660584109</v>
      </c>
      <c r="AS10" s="108"/>
      <c r="AT10" s="109" t="n">
        <v>1</v>
      </c>
      <c r="AU10" s="110" t="n">
        <v>16</v>
      </c>
      <c r="AV10" s="110" t="n">
        <v>23</v>
      </c>
      <c r="AW10" s="111" t="n">
        <v>3.176</v>
      </c>
      <c r="AX10" s="111" t="n">
        <v>3.236</v>
      </c>
      <c r="AY10" s="112" t="n">
        <v>0.0230830443606651</v>
      </c>
      <c r="AZ10" s="113" t="n">
        <v>0.475</v>
      </c>
      <c r="BA10" s="113" t="n">
        <v>0.475</v>
      </c>
      <c r="BB10" s="112" t="n">
        <v>0.93</v>
      </c>
      <c r="BC10" s="112" t="n">
        <v>0</v>
      </c>
      <c r="BD10" s="112" t="n">
        <v>0.475</v>
      </c>
      <c r="BE10" s="114" t="n">
        <v>-717725.633554541</v>
      </c>
      <c r="BF10" s="110" t="n">
        <v>186</v>
      </c>
      <c r="BG10" s="110" t="n">
        <v>187</v>
      </c>
      <c r="BH10" s="111" t="n">
        <v>0.25</v>
      </c>
      <c r="BI10" s="115" t="n">
        <v>0.988462198486529</v>
      </c>
      <c r="BJ10" s="115" t="n">
        <v>0.988194234956726</v>
      </c>
      <c r="BK10" s="113" t="s">
        <v>98</v>
      </c>
      <c r="BL10" s="116" t="s">
        <v>99</v>
      </c>
      <c r="BM10" s="108"/>
      <c r="BN10" s="117"/>
      <c r="BO10" s="117"/>
      <c r="BP10" s="117"/>
      <c r="BQ10" s="117"/>
      <c r="BR10" s="117"/>
      <c r="BS10" s="117"/>
      <c r="BT10" s="117"/>
      <c r="BU10" s="117"/>
      <c r="BV10" s="117"/>
    </row>
    <row r="11" customFormat="false" ht="12.75" hidden="false" customHeight="false" outlineLevel="0" collapsed="false">
      <c r="A11" s="92" t="s">
        <v>84</v>
      </c>
      <c r="B11" s="93" t="s">
        <v>85</v>
      </c>
      <c r="C11" s="92" t="s">
        <v>86</v>
      </c>
      <c r="D11" s="92" t="s">
        <v>87</v>
      </c>
      <c r="E11" s="93" t="s">
        <v>88</v>
      </c>
      <c r="F11" s="93" t="s">
        <v>89</v>
      </c>
      <c r="G11" s="94" t="n">
        <v>37408</v>
      </c>
      <c r="H11" s="95" t="n">
        <v>-8250000</v>
      </c>
      <c r="I11" s="96" t="n">
        <v>0.25</v>
      </c>
      <c r="J11" s="97" t="n">
        <v>3.165</v>
      </c>
      <c r="K11" s="97" t="n">
        <v>0.12</v>
      </c>
      <c r="L11" s="97" t="n">
        <v>3.285</v>
      </c>
      <c r="M11" s="98" t="n">
        <v>0.0226621928646145</v>
      </c>
      <c r="N11" s="99" t="n">
        <v>0.4575</v>
      </c>
      <c r="O11" s="99" t="n">
        <v>0.458</v>
      </c>
      <c r="P11" s="99" t="n">
        <v>0.458</v>
      </c>
      <c r="Q11" s="99" t="n">
        <v>0.93</v>
      </c>
      <c r="R11" s="100" t="n">
        <v>37406</v>
      </c>
      <c r="S11" s="97" t="n">
        <v>0.114606105328925</v>
      </c>
      <c r="T11" s="101" t="n">
        <v>0.402135088901849</v>
      </c>
      <c r="U11" s="101" t="n">
        <v>-0.353461516398741</v>
      </c>
      <c r="V11" s="102" t="n">
        <v>-945500.368963633</v>
      </c>
      <c r="W11" s="95" t="n">
        <v>-3317614.48344025</v>
      </c>
      <c r="X11" s="95" t="n">
        <v>-401556.973150638</v>
      </c>
      <c r="Y11" s="95"/>
      <c r="Z11" s="103" t="n">
        <v>-825</v>
      </c>
      <c r="AA11" s="104" t="n">
        <v>0</v>
      </c>
      <c r="AB11" s="105" t="n">
        <v>0.897555234339837</v>
      </c>
      <c r="AC11" s="105" t="n">
        <v>-7.40483068330365</v>
      </c>
      <c r="AD11" s="106" t="n">
        <v>92214.3600565013</v>
      </c>
      <c r="AE11" s="106" t="n">
        <v>3056.77813989148</v>
      </c>
      <c r="AF11" s="106" t="n">
        <v>-30182.1395814649</v>
      </c>
      <c r="AG11" s="106" t="n">
        <v>680.831845292353</v>
      </c>
      <c r="AH11" s="106" t="n">
        <v>-29534.2936810703</v>
      </c>
      <c r="AI11" s="105" t="n">
        <v>0.545147756244243</v>
      </c>
      <c r="AJ11" s="107" t="n">
        <v>-969264.935274019</v>
      </c>
      <c r="AK11" s="107" t="n">
        <v>6182.24557857402</v>
      </c>
      <c r="AL11" s="107" t="n">
        <v>-264.704192032106</v>
      </c>
      <c r="AM11" s="107" t="n">
        <v>328.334921156638</v>
      </c>
      <c r="AN11" s="107" t="n">
        <v>14994.8282039751</v>
      </c>
      <c r="AO11" s="107" t="n">
        <v>3128.52121033776</v>
      </c>
      <c r="AP11" s="107" t="n">
        <v>0</v>
      </c>
      <c r="AQ11" s="107" t="n">
        <v>0</v>
      </c>
      <c r="AR11" s="107" t="n">
        <v>23764.5663103856</v>
      </c>
      <c r="AS11" s="108"/>
      <c r="AT11" s="109" t="n">
        <v>1</v>
      </c>
      <c r="AU11" s="110" t="n">
        <v>17</v>
      </c>
      <c r="AV11" s="110" t="n">
        <v>24</v>
      </c>
      <c r="AW11" s="111" t="n">
        <v>3.221</v>
      </c>
      <c r="AX11" s="111" t="n">
        <v>3.336</v>
      </c>
      <c r="AY11" s="112" t="n">
        <v>0.0231196946073253</v>
      </c>
      <c r="AZ11" s="113" t="n">
        <v>0.4625</v>
      </c>
      <c r="BA11" s="113" t="n">
        <v>0.463</v>
      </c>
      <c r="BB11" s="112" t="n">
        <v>0.93</v>
      </c>
      <c r="BC11" s="112" t="n">
        <v>0</v>
      </c>
      <c r="BD11" s="112" t="n">
        <v>0.463</v>
      </c>
      <c r="BE11" s="114" t="n">
        <v>-969264.935274019</v>
      </c>
      <c r="BF11" s="110" t="n">
        <v>217</v>
      </c>
      <c r="BG11" s="110" t="n">
        <v>218</v>
      </c>
      <c r="BH11" s="111" t="n">
        <v>0.25</v>
      </c>
      <c r="BI11" s="115" t="n">
        <v>0.986579269973698</v>
      </c>
      <c r="BJ11" s="115" t="n">
        <v>0.986249665248621</v>
      </c>
      <c r="BK11" s="113" t="s">
        <v>100</v>
      </c>
      <c r="BL11" s="116" t="s">
        <v>101</v>
      </c>
      <c r="BM11" s="108"/>
      <c r="BN11" s="117"/>
      <c r="BO11" s="117"/>
      <c r="BP11" s="117"/>
      <c r="BQ11" s="117"/>
      <c r="BR11" s="117"/>
      <c r="BS11" s="117"/>
      <c r="BT11" s="117"/>
      <c r="BU11" s="117"/>
      <c r="BV11" s="117"/>
    </row>
    <row r="12" customFormat="false" ht="12.75" hidden="false" customHeight="false" outlineLevel="0" collapsed="false">
      <c r="A12" s="92" t="s">
        <v>84</v>
      </c>
      <c r="B12" s="93" t="s">
        <v>85</v>
      </c>
      <c r="C12" s="92" t="s">
        <v>86</v>
      </c>
      <c r="D12" s="92" t="s">
        <v>87</v>
      </c>
      <c r="E12" s="93" t="s">
        <v>88</v>
      </c>
      <c r="F12" s="93" t="s">
        <v>89</v>
      </c>
      <c r="G12" s="94" t="n">
        <v>37438</v>
      </c>
      <c r="H12" s="95" t="n">
        <v>-8250000</v>
      </c>
      <c r="I12" s="96" t="n">
        <v>0.25</v>
      </c>
      <c r="J12" s="97" t="n">
        <v>3.2</v>
      </c>
      <c r="K12" s="97" t="n">
        <v>0.22</v>
      </c>
      <c r="L12" s="97" t="n">
        <v>3.42</v>
      </c>
      <c r="M12" s="98" t="n">
        <v>0.0227587145342478</v>
      </c>
      <c r="N12" s="99" t="n">
        <v>0.4575</v>
      </c>
      <c r="O12" s="99" t="n">
        <v>0.458</v>
      </c>
      <c r="P12" s="99" t="n">
        <v>0.458</v>
      </c>
      <c r="Q12" s="99" t="n">
        <v>0.93</v>
      </c>
      <c r="R12" s="100" t="n">
        <v>37434</v>
      </c>
      <c r="S12" s="97" t="n">
        <v>0.171755705514426</v>
      </c>
      <c r="T12" s="101" t="n">
        <v>0.494714047865869</v>
      </c>
      <c r="U12" s="101" t="n">
        <v>-0.440839868525956</v>
      </c>
      <c r="V12" s="102" t="n">
        <v>-1416984.57049401</v>
      </c>
      <c r="W12" s="95" t="n">
        <v>-4081390.89489342</v>
      </c>
      <c r="X12" s="95" t="n">
        <v>-444461.979554283</v>
      </c>
      <c r="Y12" s="95"/>
      <c r="Z12" s="103" t="n">
        <v>-825</v>
      </c>
      <c r="AA12" s="104" t="n">
        <v>0</v>
      </c>
      <c r="AB12" s="105" t="n">
        <v>0.832223316973929</v>
      </c>
      <c r="AC12" s="105" t="n">
        <v>-6.86584236503491</v>
      </c>
      <c r="AD12" s="106" t="n">
        <v>104704.975442659</v>
      </c>
      <c r="AE12" s="106" t="n">
        <v>3044.3218596012</v>
      </c>
      <c r="AF12" s="106" t="n">
        <v>-34100.3848659455</v>
      </c>
      <c r="AG12" s="106" t="n">
        <v>608.475541698946</v>
      </c>
      <c r="AH12" s="106" t="n">
        <v>-33529.177504428</v>
      </c>
      <c r="AI12" s="105" t="n">
        <v>0.112037229650618</v>
      </c>
      <c r="AJ12" s="107" t="n">
        <v>-1505007.36263984</v>
      </c>
      <c r="AK12" s="107" t="n">
        <v>68685.2076552124</v>
      </c>
      <c r="AL12" s="107" t="n">
        <v>-504.178350650938</v>
      </c>
      <c r="AM12" s="107" t="n">
        <v>609.156964119291</v>
      </c>
      <c r="AN12" s="107" t="n">
        <v>17113.837029865</v>
      </c>
      <c r="AO12" s="107" t="n">
        <v>3128.76726030465</v>
      </c>
      <c r="AP12" s="107" t="n">
        <v>0</v>
      </c>
      <c r="AQ12" s="107" t="n">
        <v>0</v>
      </c>
      <c r="AR12" s="107" t="n">
        <v>88022.7921458299</v>
      </c>
      <c r="AS12" s="108"/>
      <c r="AT12" s="109" t="n">
        <v>1</v>
      </c>
      <c r="AU12" s="110" t="n">
        <v>18</v>
      </c>
      <c r="AV12" s="110" t="n">
        <v>25</v>
      </c>
      <c r="AW12" s="111" t="n">
        <v>3.261</v>
      </c>
      <c r="AX12" s="111" t="n">
        <v>3.491</v>
      </c>
      <c r="AY12" s="112" t="n">
        <v>0.0232560254041334</v>
      </c>
      <c r="AZ12" s="113" t="n">
        <v>0.4625</v>
      </c>
      <c r="BA12" s="113" t="n">
        <v>0.463</v>
      </c>
      <c r="BB12" s="112" t="n">
        <v>0.93</v>
      </c>
      <c r="BC12" s="112" t="n">
        <v>0</v>
      </c>
      <c r="BD12" s="112" t="n">
        <v>0.463</v>
      </c>
      <c r="BE12" s="114" t="n">
        <v>-1505007.36263984</v>
      </c>
      <c r="BF12" s="110" t="n">
        <v>245</v>
      </c>
      <c r="BG12" s="110" t="n">
        <v>246</v>
      </c>
      <c r="BH12" s="111" t="n">
        <v>0.25</v>
      </c>
      <c r="BI12" s="115" t="n">
        <v>0.984690826518794</v>
      </c>
      <c r="BJ12" s="115" t="n">
        <v>0.984298527414601</v>
      </c>
      <c r="BK12" s="113" t="s">
        <v>102</v>
      </c>
      <c r="BL12" s="116" t="s">
        <v>103</v>
      </c>
      <c r="BM12" s="108"/>
      <c r="BN12" s="117"/>
      <c r="BO12" s="117"/>
      <c r="BP12" s="117"/>
      <c r="BQ12" s="117"/>
      <c r="BR12" s="117"/>
      <c r="BS12" s="117"/>
      <c r="BT12" s="117"/>
      <c r="BU12" s="117"/>
      <c r="BV12" s="117"/>
    </row>
    <row r="13" customFormat="false" ht="12.75" hidden="false" customHeight="false" outlineLevel="0" collapsed="false">
      <c r="A13" s="92" t="s">
        <v>84</v>
      </c>
      <c r="B13" s="93" t="s">
        <v>85</v>
      </c>
      <c r="C13" s="92" t="s">
        <v>86</v>
      </c>
      <c r="D13" s="92" t="s">
        <v>87</v>
      </c>
      <c r="E13" s="93" t="s">
        <v>88</v>
      </c>
      <c r="F13" s="93" t="s">
        <v>89</v>
      </c>
      <c r="G13" s="94" t="n">
        <v>37469</v>
      </c>
      <c r="H13" s="95" t="n">
        <v>-8250000</v>
      </c>
      <c r="I13" s="96" t="n">
        <v>0.25</v>
      </c>
      <c r="J13" s="97" t="n">
        <v>3.235</v>
      </c>
      <c r="K13" s="97" t="n">
        <v>0.235</v>
      </c>
      <c r="L13" s="97" t="n">
        <v>3.47</v>
      </c>
      <c r="M13" s="98" t="n">
        <v>0.0230326290286551</v>
      </c>
      <c r="N13" s="99" t="n">
        <v>0.4575</v>
      </c>
      <c r="O13" s="99" t="n">
        <v>0.458</v>
      </c>
      <c r="P13" s="99" t="n">
        <v>0.458</v>
      </c>
      <c r="Q13" s="99" t="n">
        <v>0.93</v>
      </c>
      <c r="R13" s="100" t="n">
        <v>37467</v>
      </c>
      <c r="S13" s="97" t="n">
        <v>0.193017029639394</v>
      </c>
      <c r="T13" s="101" t="n">
        <v>0.508665765090545</v>
      </c>
      <c r="U13" s="101" t="n">
        <v>-0.451308999095999</v>
      </c>
      <c r="V13" s="102" t="n">
        <v>-1592390.494525</v>
      </c>
      <c r="W13" s="95" t="n">
        <v>-4196492.56199699</v>
      </c>
      <c r="X13" s="95" t="n">
        <v>-473193.319455005</v>
      </c>
      <c r="Y13" s="95"/>
      <c r="Z13" s="103" t="n">
        <v>-825</v>
      </c>
      <c r="AA13" s="104" t="n">
        <v>0</v>
      </c>
      <c r="AB13" s="105" t="n">
        <v>0.767435300489609</v>
      </c>
      <c r="AC13" s="105" t="n">
        <v>-6.33134122903928</v>
      </c>
      <c r="AD13" s="106" t="n">
        <v>112873.518624393</v>
      </c>
      <c r="AE13" s="106" t="n">
        <v>2874.99901796689</v>
      </c>
      <c r="AF13" s="106" t="n">
        <v>-36553.6907165504</v>
      </c>
      <c r="AG13" s="106" t="n">
        <v>457.320848908155</v>
      </c>
      <c r="AH13" s="106" t="n">
        <v>-36136.3192564035</v>
      </c>
      <c r="AI13" s="105" t="n">
        <v>0.0475222869738845</v>
      </c>
      <c r="AJ13" s="107" t="n">
        <v>-1686626.30120221</v>
      </c>
      <c r="AK13" s="107" t="n">
        <v>73935.4791137655</v>
      </c>
      <c r="AL13" s="107" t="n">
        <v>-679.61250875704</v>
      </c>
      <c r="AM13" s="107" t="n">
        <v>796.255938300863</v>
      </c>
      <c r="AN13" s="107" t="n">
        <v>18446.1779101815</v>
      </c>
      <c r="AO13" s="107" t="n">
        <v>2955.33823808958</v>
      </c>
      <c r="AP13" s="107" t="n">
        <v>0</v>
      </c>
      <c r="AQ13" s="107" t="n">
        <v>0</v>
      </c>
      <c r="AR13" s="107" t="n">
        <v>94235.8066772146</v>
      </c>
      <c r="AS13" s="108"/>
      <c r="AT13" s="109" t="n">
        <v>1</v>
      </c>
      <c r="AU13" s="110" t="n">
        <v>19</v>
      </c>
      <c r="AV13" s="110" t="n">
        <v>26</v>
      </c>
      <c r="AW13" s="111" t="n">
        <v>3.301</v>
      </c>
      <c r="AX13" s="111" t="n">
        <v>3.546</v>
      </c>
      <c r="AY13" s="112" t="n">
        <v>0.0235600301315353</v>
      </c>
      <c r="AZ13" s="113" t="n">
        <v>0.4625</v>
      </c>
      <c r="BA13" s="113" t="n">
        <v>0.463</v>
      </c>
      <c r="BB13" s="112" t="n">
        <v>0.93</v>
      </c>
      <c r="BC13" s="112" t="n">
        <v>0</v>
      </c>
      <c r="BD13" s="112" t="n">
        <v>0.463</v>
      </c>
      <c r="BE13" s="114" t="n">
        <v>-1686626.30120221</v>
      </c>
      <c r="BF13" s="110" t="n">
        <v>278</v>
      </c>
      <c r="BG13" s="110" t="n">
        <v>279</v>
      </c>
      <c r="BH13" s="111" t="n">
        <v>0.25</v>
      </c>
      <c r="BI13" s="115" t="n">
        <v>0.982597330669059</v>
      </c>
      <c r="BJ13" s="115" t="n">
        <v>0.982141730831833</v>
      </c>
      <c r="BK13" s="113" t="s">
        <v>104</v>
      </c>
      <c r="BL13" s="116" t="s">
        <v>105</v>
      </c>
      <c r="BM13" s="108"/>
      <c r="BN13" s="117"/>
      <c r="BO13" s="117"/>
      <c r="BP13" s="117"/>
      <c r="BQ13" s="117"/>
      <c r="BR13" s="117"/>
      <c r="BS13" s="117"/>
      <c r="BT13" s="117"/>
      <c r="BU13" s="117"/>
      <c r="BV13" s="117"/>
    </row>
    <row r="14" customFormat="false" ht="12.75" hidden="false" customHeight="false" outlineLevel="0" collapsed="false">
      <c r="A14" s="92" t="s">
        <v>84</v>
      </c>
      <c r="B14" s="93" t="s">
        <v>85</v>
      </c>
      <c r="C14" s="92" t="s">
        <v>86</v>
      </c>
      <c r="D14" s="92" t="s">
        <v>87</v>
      </c>
      <c r="E14" s="93" t="s">
        <v>88</v>
      </c>
      <c r="F14" s="93" t="s">
        <v>89</v>
      </c>
      <c r="G14" s="94" t="n">
        <v>37500</v>
      </c>
      <c r="H14" s="95" t="n">
        <v>-8250000</v>
      </c>
      <c r="I14" s="96" t="n">
        <v>0.25</v>
      </c>
      <c r="J14" s="97" t="n">
        <v>3.235</v>
      </c>
      <c r="K14" s="97" t="n">
        <v>0.22</v>
      </c>
      <c r="L14" s="97" t="n">
        <v>3.455</v>
      </c>
      <c r="M14" s="98" t="n">
        <v>0.0233065435484479</v>
      </c>
      <c r="N14" s="99" t="n">
        <v>0.4575</v>
      </c>
      <c r="O14" s="99" t="n">
        <v>0.458</v>
      </c>
      <c r="P14" s="99" t="n">
        <v>0.458</v>
      </c>
      <c r="Q14" s="99" t="n">
        <v>0.93</v>
      </c>
      <c r="R14" s="100" t="n">
        <v>37497</v>
      </c>
      <c r="S14" s="97" t="n">
        <v>0.195558630249419</v>
      </c>
      <c r="T14" s="101" t="n">
        <v>0.498743063722712</v>
      </c>
      <c r="U14" s="101" t="n">
        <v>-0.438577146895577</v>
      </c>
      <c r="V14" s="102" t="n">
        <v>-1613358.69955771</v>
      </c>
      <c r="W14" s="95" t="n">
        <v>-4114630.27571237</v>
      </c>
      <c r="X14" s="95" t="n">
        <v>-496368.813823863</v>
      </c>
      <c r="Y14" s="95"/>
      <c r="Z14" s="103" t="n">
        <v>-825</v>
      </c>
      <c r="AA14" s="104" t="n">
        <v>0</v>
      </c>
      <c r="AB14" s="105" t="n">
        <v>0.731161954942897</v>
      </c>
      <c r="AC14" s="105" t="n">
        <v>-6.0320861282789</v>
      </c>
      <c r="AD14" s="106" t="n">
        <v>118120.189616915</v>
      </c>
      <c r="AE14" s="106" t="n">
        <v>2708.97392151123</v>
      </c>
      <c r="AF14" s="106" t="n">
        <v>-38241.9947688803</v>
      </c>
      <c r="AG14" s="106" t="n">
        <v>447.684509679828</v>
      </c>
      <c r="AH14" s="106" t="n">
        <v>-37836.1047890025</v>
      </c>
      <c r="AI14" s="105" t="n">
        <v>0.095927199259358</v>
      </c>
      <c r="AJ14" s="107" t="n">
        <v>-1708889.68185259</v>
      </c>
      <c r="AK14" s="107" t="n">
        <v>74669.80417127</v>
      </c>
      <c r="AL14" s="107" t="n">
        <v>-806.162936637411</v>
      </c>
      <c r="AM14" s="107" t="n">
        <v>931.16203638399</v>
      </c>
      <c r="AN14" s="107" t="n">
        <v>19319.8504579987</v>
      </c>
      <c r="AO14" s="107" t="n">
        <v>2785.7964933319</v>
      </c>
      <c r="AP14" s="107" t="n">
        <v>0</v>
      </c>
      <c r="AQ14" s="107" t="n">
        <v>0</v>
      </c>
      <c r="AR14" s="107" t="n">
        <v>95530.9822948789</v>
      </c>
      <c r="AS14" s="108"/>
      <c r="AT14" s="109" t="n">
        <v>1</v>
      </c>
      <c r="AU14" s="110" t="n">
        <v>20</v>
      </c>
      <c r="AV14" s="110" t="n">
        <v>27</v>
      </c>
      <c r="AW14" s="111" t="n">
        <v>3.301</v>
      </c>
      <c r="AX14" s="111" t="n">
        <v>3.531</v>
      </c>
      <c r="AY14" s="112" t="n">
        <v>0.0238640348901975</v>
      </c>
      <c r="AZ14" s="113" t="n">
        <v>0.4625</v>
      </c>
      <c r="BA14" s="113" t="n">
        <v>0.463</v>
      </c>
      <c r="BB14" s="112" t="n">
        <v>0.93</v>
      </c>
      <c r="BC14" s="112" t="n">
        <v>0</v>
      </c>
      <c r="BD14" s="112" t="n">
        <v>0.463</v>
      </c>
      <c r="BE14" s="114" t="n">
        <v>-1708889.68185259</v>
      </c>
      <c r="BF14" s="110" t="n">
        <v>308</v>
      </c>
      <c r="BG14" s="110" t="n">
        <v>309</v>
      </c>
      <c r="BH14" s="111" t="n">
        <v>0.25</v>
      </c>
      <c r="BI14" s="115" t="n">
        <v>0.980463243498981</v>
      </c>
      <c r="BJ14" s="115" t="n">
        <v>0.979939713093968</v>
      </c>
      <c r="BK14" s="113" t="s">
        <v>106</v>
      </c>
      <c r="BL14" s="116" t="s">
        <v>107</v>
      </c>
      <c r="BM14" s="108"/>
      <c r="BN14" s="117"/>
      <c r="BO14" s="117"/>
      <c r="BP14" s="117"/>
      <c r="BQ14" s="117"/>
      <c r="BR14" s="117"/>
      <c r="BS14" s="117"/>
      <c r="BT14" s="117"/>
      <c r="BU14" s="117"/>
      <c r="BV14" s="117"/>
    </row>
    <row r="15" customFormat="false" ht="12.75" hidden="false" customHeight="false" outlineLevel="0" collapsed="false">
      <c r="A15" s="92" t="s">
        <v>84</v>
      </c>
      <c r="B15" s="93" t="s">
        <v>85</v>
      </c>
      <c r="C15" s="92" t="s">
        <v>86</v>
      </c>
      <c r="D15" s="92" t="s">
        <v>87</v>
      </c>
      <c r="E15" s="93" t="s">
        <v>88</v>
      </c>
      <c r="F15" s="93" t="s">
        <v>89</v>
      </c>
      <c r="G15" s="94" t="n">
        <v>37530</v>
      </c>
      <c r="H15" s="95" t="n">
        <v>-8250000</v>
      </c>
      <c r="I15" s="96" t="n">
        <v>0.25</v>
      </c>
      <c r="J15" s="97" t="n">
        <v>3.265</v>
      </c>
      <c r="K15" s="97" t="n">
        <v>0.105</v>
      </c>
      <c r="L15" s="97" t="n">
        <v>3.37</v>
      </c>
      <c r="M15" s="98" t="n">
        <v>0.0236432483818145</v>
      </c>
      <c r="N15" s="99" t="n">
        <v>0.4575</v>
      </c>
      <c r="O15" s="99" t="n">
        <v>0.458</v>
      </c>
      <c r="P15" s="99" t="n">
        <v>0.458</v>
      </c>
      <c r="Q15" s="99" t="n">
        <v>0.93</v>
      </c>
      <c r="R15" s="100" t="n">
        <v>37526</v>
      </c>
      <c r="S15" s="97" t="n">
        <v>0.153747912022632</v>
      </c>
      <c r="T15" s="101" t="n">
        <v>0.419701689701631</v>
      </c>
      <c r="U15" s="101" t="n">
        <v>-0.358873582066799</v>
      </c>
      <c r="V15" s="102" t="n">
        <v>-1268420.27418671</v>
      </c>
      <c r="W15" s="95" t="n">
        <v>-3462538.94003845</v>
      </c>
      <c r="X15" s="95" t="n">
        <v>-501831.887987359</v>
      </c>
      <c r="Y15" s="95"/>
      <c r="Z15" s="103" t="n">
        <v>-825</v>
      </c>
      <c r="AA15" s="104" t="n">
        <v>0</v>
      </c>
      <c r="AB15" s="105" t="n">
        <v>0.703832809928101</v>
      </c>
      <c r="AC15" s="105" t="n">
        <v>-5.80662068190683</v>
      </c>
      <c r="AD15" s="106" t="n">
        <v>118457.808448218</v>
      </c>
      <c r="AE15" s="106" t="n">
        <v>2493.97136433051</v>
      </c>
      <c r="AF15" s="106" t="n">
        <v>-38131.0460227172</v>
      </c>
      <c r="AG15" s="106" t="n">
        <v>246.462587792147</v>
      </c>
      <c r="AH15" s="106" t="n">
        <v>-37926.2567092668</v>
      </c>
      <c r="AI15" s="105" t="n">
        <v>0.460787594970088</v>
      </c>
      <c r="AJ15" s="107" t="n">
        <v>-1340265.51342254</v>
      </c>
      <c r="AK15" s="107" t="n">
        <v>51084.7746624595</v>
      </c>
      <c r="AL15" s="107" t="n">
        <v>-736.333583167754</v>
      </c>
      <c r="AM15" s="107" t="n">
        <v>840.783056439366</v>
      </c>
      <c r="AN15" s="107" t="n">
        <v>19410.0650721591</v>
      </c>
      <c r="AO15" s="107" t="n">
        <v>2572.81752597285</v>
      </c>
      <c r="AP15" s="107" t="n">
        <v>0</v>
      </c>
      <c r="AQ15" s="107" t="n">
        <v>0</v>
      </c>
      <c r="AR15" s="107" t="n">
        <v>71845.2392358289</v>
      </c>
      <c r="AS15" s="108"/>
      <c r="AT15" s="109" t="n">
        <v>1</v>
      </c>
      <c r="AU15" s="110" t="n">
        <v>21</v>
      </c>
      <c r="AV15" s="110" t="n">
        <v>28</v>
      </c>
      <c r="AW15" s="111" t="n">
        <v>3.331</v>
      </c>
      <c r="AX15" s="111" t="n">
        <v>3.441</v>
      </c>
      <c r="AY15" s="112" t="n">
        <v>0.024236772016891</v>
      </c>
      <c r="AZ15" s="113" t="n">
        <v>0.4625</v>
      </c>
      <c r="BA15" s="113" t="n">
        <v>0.463</v>
      </c>
      <c r="BB15" s="112" t="n">
        <v>0.93</v>
      </c>
      <c r="BC15" s="112" t="n">
        <v>0</v>
      </c>
      <c r="BD15" s="112" t="n">
        <v>0.463</v>
      </c>
      <c r="BE15" s="114" t="n">
        <v>-1340265.51342254</v>
      </c>
      <c r="BF15" s="110" t="n">
        <v>337</v>
      </c>
      <c r="BG15" s="110" t="n">
        <v>338</v>
      </c>
      <c r="BH15" s="111" t="n">
        <v>0.25</v>
      </c>
      <c r="BI15" s="115" t="n">
        <v>0.978294967281167</v>
      </c>
      <c r="BJ15" s="115" t="n">
        <v>0.97769494649164</v>
      </c>
      <c r="BK15" s="113" t="s">
        <v>108</v>
      </c>
      <c r="BL15" s="116" t="s">
        <v>109</v>
      </c>
      <c r="BM15" s="108"/>
      <c r="BN15" s="117"/>
      <c r="BO15" s="117"/>
      <c r="BP15" s="117"/>
      <c r="BQ15" s="117"/>
      <c r="BR15" s="117"/>
      <c r="BS15" s="117"/>
      <c r="BT15" s="117"/>
      <c r="BU15" s="117"/>
      <c r="BV15" s="117"/>
    </row>
    <row r="16" customFormat="false" ht="12.75" hidden="false" customHeight="false" outlineLevel="0" collapsed="false">
      <c r="A16" s="92" t="s">
        <v>84</v>
      </c>
      <c r="B16" s="93" t="s">
        <v>85</v>
      </c>
      <c r="C16" s="92" t="s">
        <v>86</v>
      </c>
      <c r="D16" s="92" t="s">
        <v>87</v>
      </c>
      <c r="E16" s="93" t="s">
        <v>88</v>
      </c>
      <c r="F16" s="93" t="s">
        <v>89</v>
      </c>
      <c r="G16" s="94" t="n">
        <v>37561</v>
      </c>
      <c r="H16" s="95" t="n">
        <v>-8250000</v>
      </c>
      <c r="I16" s="96" t="n">
        <v>0.25</v>
      </c>
      <c r="J16" s="97" t="n">
        <v>3.433</v>
      </c>
      <c r="K16" s="97" t="n">
        <v>0.14</v>
      </c>
      <c r="L16" s="97" t="n">
        <v>3.573</v>
      </c>
      <c r="M16" s="98" t="n">
        <v>0.0240928657319892</v>
      </c>
      <c r="N16" s="99" t="n">
        <v>0.455</v>
      </c>
      <c r="O16" s="99" t="n">
        <v>0.455</v>
      </c>
      <c r="P16" s="99" t="n">
        <v>0.455</v>
      </c>
      <c r="Q16" s="99" t="n">
        <v>0.93</v>
      </c>
      <c r="R16" s="100" t="n">
        <v>37559</v>
      </c>
      <c r="S16" s="97" t="n">
        <v>0.188002853065613</v>
      </c>
      <c r="T16" s="101" t="n">
        <v>0.450835378990203</v>
      </c>
      <c r="U16" s="101" t="n">
        <v>-0.386433641809788</v>
      </c>
      <c r="V16" s="102" t="n">
        <v>-1551023.53779131</v>
      </c>
      <c r="W16" s="95" t="n">
        <v>-3719391.87666917</v>
      </c>
      <c r="X16" s="95" t="n">
        <v>-531314.33173842</v>
      </c>
      <c r="Y16" s="95"/>
      <c r="Z16" s="103" t="n">
        <v>-825</v>
      </c>
      <c r="AA16" s="104" t="n">
        <v>0</v>
      </c>
      <c r="AB16" s="105" t="n">
        <v>0.643394270088782</v>
      </c>
      <c r="AC16" s="105" t="n">
        <v>-5.30800272823245</v>
      </c>
      <c r="AD16" s="106" t="n">
        <v>132484.175146002</v>
      </c>
      <c r="AE16" s="106" t="n">
        <v>2510.51750205696</v>
      </c>
      <c r="AF16" s="106" t="n">
        <v>-41542.4818046702</v>
      </c>
      <c r="AG16" s="106" t="n">
        <v>-923.902509982986</v>
      </c>
      <c r="AH16" s="106" t="n">
        <v>-42466.3843146531</v>
      </c>
      <c r="AI16" s="105" t="n">
        <v>0.306001452453914</v>
      </c>
      <c r="AJ16" s="107" t="n">
        <v>-1631802.85147545</v>
      </c>
      <c r="AK16" s="107" t="n">
        <v>58031.1679353321</v>
      </c>
      <c r="AL16" s="107" t="n">
        <v>-1062.09850364621</v>
      </c>
      <c r="AM16" s="107" t="n">
        <v>1190.70380163658</v>
      </c>
      <c r="AN16" s="107" t="n">
        <v>21734.979034726</v>
      </c>
      <c r="AO16" s="107" t="n">
        <v>2586.79306413094</v>
      </c>
      <c r="AP16" s="107" t="n">
        <v>0</v>
      </c>
      <c r="AQ16" s="107" t="n">
        <v>0</v>
      </c>
      <c r="AR16" s="107" t="n">
        <v>80779.3136841406</v>
      </c>
      <c r="AS16" s="108"/>
      <c r="AT16" s="109" t="n">
        <v>1</v>
      </c>
      <c r="AU16" s="110" t="n">
        <v>22</v>
      </c>
      <c r="AV16" s="110" t="n">
        <v>29</v>
      </c>
      <c r="AW16" s="111" t="n">
        <v>3.506</v>
      </c>
      <c r="AX16" s="111" t="n">
        <v>3.651</v>
      </c>
      <c r="AY16" s="112" t="n">
        <v>0.0247334438910678</v>
      </c>
      <c r="AZ16" s="113" t="n">
        <v>0.46</v>
      </c>
      <c r="BA16" s="113" t="n">
        <v>0.46</v>
      </c>
      <c r="BB16" s="112" t="n">
        <v>0.93</v>
      </c>
      <c r="BC16" s="112" t="n">
        <v>0</v>
      </c>
      <c r="BD16" s="112" t="n">
        <v>0.46</v>
      </c>
      <c r="BE16" s="114" t="n">
        <v>-1631802.85147545</v>
      </c>
      <c r="BF16" s="110" t="n">
        <v>370</v>
      </c>
      <c r="BG16" s="110" t="n">
        <v>371</v>
      </c>
      <c r="BH16" s="111" t="n">
        <v>0.25</v>
      </c>
      <c r="BI16" s="115" t="n">
        <v>0.975903576777996</v>
      </c>
      <c r="BJ16" s="115" t="n">
        <v>0.97520912719805</v>
      </c>
      <c r="BK16" s="113" t="s">
        <v>110</v>
      </c>
      <c r="BL16" s="116" t="s">
        <v>111</v>
      </c>
      <c r="BM16" s="108"/>
      <c r="BN16" s="117"/>
      <c r="BO16" s="117"/>
      <c r="BP16" s="117"/>
      <c r="BQ16" s="117"/>
      <c r="BR16" s="117"/>
      <c r="BS16" s="117"/>
      <c r="BT16" s="117"/>
      <c r="BU16" s="117"/>
      <c r="BV16" s="117"/>
    </row>
    <row r="17" customFormat="false" ht="12.75" hidden="false" customHeight="false" outlineLevel="0" collapsed="false">
      <c r="A17" s="92" t="s">
        <v>84</v>
      </c>
      <c r="B17" s="93" t="s">
        <v>85</v>
      </c>
      <c r="C17" s="92" t="s">
        <v>86</v>
      </c>
      <c r="D17" s="92" t="s">
        <v>87</v>
      </c>
      <c r="E17" s="93" t="s">
        <v>88</v>
      </c>
      <c r="F17" s="93" t="s">
        <v>89</v>
      </c>
      <c r="G17" s="94" t="n">
        <v>37591</v>
      </c>
      <c r="H17" s="95" t="n">
        <v>-8250000</v>
      </c>
      <c r="I17" s="96" t="n">
        <v>0.25</v>
      </c>
      <c r="J17" s="97" t="n">
        <v>3.622</v>
      </c>
      <c r="K17" s="97" t="n">
        <v>0.14</v>
      </c>
      <c r="L17" s="97" t="n">
        <v>3.762</v>
      </c>
      <c r="M17" s="98" t="n">
        <v>0.0245279793617628</v>
      </c>
      <c r="N17" s="99" t="n">
        <v>0.4525</v>
      </c>
      <c r="O17" s="99" t="n">
        <v>0.453</v>
      </c>
      <c r="P17" s="99" t="n">
        <v>0.453</v>
      </c>
      <c r="Q17" s="99" t="n">
        <v>0.93</v>
      </c>
      <c r="R17" s="100" t="n">
        <v>37588</v>
      </c>
      <c r="S17" s="97" t="n">
        <v>0.208050420083167</v>
      </c>
      <c r="T17" s="101" t="n">
        <v>0.456478954975803</v>
      </c>
      <c r="U17" s="101" t="n">
        <v>-0.389822487856612</v>
      </c>
      <c r="V17" s="102" t="n">
        <v>-1716415.96568613</v>
      </c>
      <c r="W17" s="95" t="n">
        <v>-3765951.37855038</v>
      </c>
      <c r="X17" s="95" t="n">
        <v>-549915.853733326</v>
      </c>
      <c r="Y17" s="95"/>
      <c r="Z17" s="103" t="n">
        <v>-825</v>
      </c>
      <c r="AA17" s="104" t="n">
        <v>0</v>
      </c>
      <c r="AB17" s="105" t="n">
        <v>0.590510510956624</v>
      </c>
      <c r="AC17" s="105" t="n">
        <v>-4.87171171539215</v>
      </c>
      <c r="AD17" s="106" t="n">
        <v>144432.943009301</v>
      </c>
      <c r="AE17" s="106" t="n">
        <v>2519.81523273084</v>
      </c>
      <c r="AF17" s="106" t="n">
        <v>-44675.0763886908</v>
      </c>
      <c r="AG17" s="106" t="n">
        <v>-1715.71263574261</v>
      </c>
      <c r="AH17" s="106" t="n">
        <v>-46440.1537497248</v>
      </c>
      <c r="AI17" s="105" t="n">
        <v>0.267727720840067</v>
      </c>
      <c r="AJ17" s="107" t="n">
        <v>-1806595.04038529</v>
      </c>
      <c r="AK17" s="107" t="n">
        <v>65743.8149883417</v>
      </c>
      <c r="AL17" s="107" t="n">
        <v>-1357.97116028774</v>
      </c>
      <c r="AM17" s="107" t="n">
        <v>1512.05660915026</v>
      </c>
      <c r="AN17" s="107" t="n">
        <v>23775.0215371379</v>
      </c>
      <c r="AO17" s="107" t="n">
        <v>2599.61205930635</v>
      </c>
      <c r="AP17" s="107" t="n">
        <v>0</v>
      </c>
      <c r="AQ17" s="107" t="n">
        <v>0</v>
      </c>
      <c r="AR17" s="107" t="n">
        <v>90179.0746991648</v>
      </c>
      <c r="AS17" s="108"/>
      <c r="AT17" s="109" t="n">
        <v>1</v>
      </c>
      <c r="AU17" s="110" t="n">
        <v>23</v>
      </c>
      <c r="AV17" s="110" t="n">
        <v>30</v>
      </c>
      <c r="AW17" s="111" t="n">
        <v>3.706</v>
      </c>
      <c r="AX17" s="111" t="n">
        <v>3.851</v>
      </c>
      <c r="AY17" s="112" t="n">
        <v>0.0252140941712842</v>
      </c>
      <c r="AZ17" s="113" t="n">
        <v>0.4575</v>
      </c>
      <c r="BA17" s="113" t="n">
        <v>0.458</v>
      </c>
      <c r="BB17" s="112" t="n">
        <v>0.93</v>
      </c>
      <c r="BC17" s="112" t="n">
        <v>0</v>
      </c>
      <c r="BD17" s="112" t="n">
        <v>0.458</v>
      </c>
      <c r="BE17" s="114" t="n">
        <v>-1806595.04038529</v>
      </c>
      <c r="BF17" s="110" t="n">
        <v>399</v>
      </c>
      <c r="BG17" s="110" t="n">
        <v>400</v>
      </c>
      <c r="BH17" s="111" t="n">
        <v>0.25</v>
      </c>
      <c r="BI17" s="115" t="n">
        <v>0.973525082315435</v>
      </c>
      <c r="BJ17" s="115" t="n">
        <v>0.972732493743546</v>
      </c>
      <c r="BK17" s="113" t="s">
        <v>112</v>
      </c>
      <c r="BL17" s="116" t="s">
        <v>113</v>
      </c>
      <c r="BM17" s="108"/>
      <c r="BN17" s="117"/>
      <c r="BO17" s="117"/>
      <c r="BP17" s="117"/>
      <c r="BQ17" s="117"/>
      <c r="BR17" s="117"/>
      <c r="BS17" s="117"/>
      <c r="BT17" s="117"/>
      <c r="BU17" s="117"/>
      <c r="BV17" s="1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F5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7"/>
    <col collapsed="false" customWidth="true" hidden="false" outlineLevel="0" max="3" min="2" style="2" width="10.71"/>
    <col collapsed="false" customWidth="true" hidden="false" outlineLevel="0" max="4" min="4" style="2" width="12.7"/>
    <col collapsed="false" customWidth="true" hidden="false" outlineLevel="0" max="5" min="5" style="2" width="15.7"/>
    <col collapsed="false" customWidth="true" hidden="false" outlineLevel="0" max="7" min="6" style="2" width="14.99"/>
    <col collapsed="false" customWidth="true" hidden="false" outlineLevel="0" max="8" min="8" style="2" width="15.7"/>
    <col collapsed="false" customWidth="true" hidden="false" outlineLevel="0" max="9" min="9" style="2" width="12.99"/>
    <col collapsed="false" customWidth="true" hidden="false" outlineLevel="0" max="41" min="10" style="2" width="9.7"/>
    <col collapsed="false" customWidth="true" hidden="false" outlineLevel="0" max="50" min="42" style="2" width="12.7"/>
    <col collapsed="false" customWidth="true" hidden="false" outlineLevel="0" max="51" min="51" style="2" width="8.7"/>
    <col collapsed="false" customWidth="true" hidden="false" outlineLevel="0" max="53" min="52" style="2" width="10.71"/>
    <col collapsed="false" customWidth="true" hidden="false" outlineLevel="0" max="54" min="54" style="2" width="8.7"/>
    <col collapsed="false" customWidth="true" hidden="false" outlineLevel="0" max="55" min="55" style="2" width="11.99"/>
    <col collapsed="false" customWidth="true" hidden="false" outlineLevel="0" max="82" min="56" style="2" width="9.14"/>
  </cols>
  <sheetData>
    <row r="1" customFormat="false" ht="20.25" hidden="false" customHeight="false" outlineLevel="0" collapsed="false">
      <c r="A1" s="2" t="s">
        <v>114</v>
      </c>
      <c r="B1" s="118" t="s">
        <v>115</v>
      </c>
      <c r="D1" s="2" t="s">
        <v>116</v>
      </c>
      <c r="E1" s="119" t="n">
        <f aca="false">'opt calc'!AD31</f>
        <v>-8642</v>
      </c>
      <c r="F1" s="0"/>
      <c r="G1" s="120"/>
      <c r="H1" s="0"/>
      <c r="I1" s="0"/>
      <c r="K1" s="121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122"/>
      <c r="AZ1" s="123"/>
      <c r="BA1" s="118" t="s">
        <v>117</v>
      </c>
      <c r="BB1" s="124"/>
      <c r="BC1" s="124"/>
      <c r="BD1" s="124"/>
    </row>
    <row r="2" customFormat="false" ht="20.25" hidden="false" customHeight="false" outlineLevel="0" collapsed="false">
      <c r="A2" s="118" t="s">
        <v>118</v>
      </c>
      <c r="B2" s="2" t="s">
        <v>119</v>
      </c>
      <c r="D2" s="119" t="s">
        <v>120</v>
      </c>
      <c r="E2" s="120"/>
      <c r="F2" s="0"/>
      <c r="G2" s="0"/>
      <c r="I2" s="125"/>
      <c r="K2" s="121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122"/>
      <c r="AZ2" s="118"/>
      <c r="BA2" s="118"/>
      <c r="BB2" s="126"/>
      <c r="BC2" s="126"/>
      <c r="BD2" s="126"/>
    </row>
    <row r="3" customFormat="false" ht="20.25" hidden="false" customHeight="false" outlineLevel="0" collapsed="false">
      <c r="A3" s="118"/>
      <c r="D3" s="119"/>
      <c r="E3" s="120"/>
      <c r="F3" s="0"/>
      <c r="G3" s="0"/>
      <c r="I3" s="125"/>
      <c r="K3" s="121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122"/>
      <c r="AZ3" s="118"/>
      <c r="BA3" s="118"/>
      <c r="BB3" s="126"/>
      <c r="BC3" s="126"/>
      <c r="BD3" s="126"/>
    </row>
    <row r="4" customFormat="false" ht="12.75" hidden="false" customHeight="false" outlineLevel="0" collapsed="false">
      <c r="A4" s="118" t="s">
        <v>121</v>
      </c>
      <c r="B4" s="16" t="n">
        <f aca="false">B8+B9</f>
        <v>2.48836448598131</v>
      </c>
      <c r="C4" s="16" t="n">
        <f aca="false">C8+C9</f>
        <v>2.48836448598131</v>
      </c>
      <c r="D4" s="16" t="n">
        <f aca="false">D8+D9</f>
        <v>2.48836448598131</v>
      </c>
      <c r="E4" s="16" t="n">
        <f aca="false">E8+E9</f>
        <v>2.48836448598131</v>
      </c>
      <c r="F4" s="0"/>
      <c r="G4" s="0"/>
      <c r="H4" s="0"/>
      <c r="I4" s="0" t="s">
        <v>122</v>
      </c>
      <c r="J4" s="0" t="s">
        <v>123</v>
      </c>
      <c r="K4" s="0" t="s">
        <v>124</v>
      </c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Y4" s="127" t="n">
        <v>1.5</v>
      </c>
      <c r="BB4" s="126"/>
      <c r="BC4" s="126"/>
      <c r="BD4" s="126"/>
    </row>
    <row r="5" customFormat="false" ht="12.75" hidden="false" customHeight="false" outlineLevel="0" collapsed="false">
      <c r="A5" s="126" t="s">
        <v>125</v>
      </c>
      <c r="B5" s="122" t="s">
        <v>126</v>
      </c>
      <c r="C5" s="122" t="s">
        <v>126</v>
      </c>
      <c r="D5" s="122" t="s">
        <v>126</v>
      </c>
      <c r="E5" s="122" t="s">
        <v>126</v>
      </c>
      <c r="F5" s="0"/>
      <c r="G5" s="0"/>
      <c r="H5" s="2" t="s">
        <v>127</v>
      </c>
      <c r="I5" s="128" t="n">
        <v>2.23</v>
      </c>
      <c r="J5" s="2" t="n">
        <f aca="false">D23</f>
        <v>2.275</v>
      </c>
      <c r="K5" s="129" t="n">
        <f aca="false">I5-J5</f>
        <v>-0.0449999999999999</v>
      </c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122"/>
      <c r="AY5" s="127"/>
      <c r="BB5" s="126"/>
      <c r="BC5" s="126" t="n">
        <f aca="false">AVERAGE(BC8:BC11)</f>
        <v>0.52625</v>
      </c>
      <c r="BD5" s="126"/>
    </row>
    <row r="6" customFormat="false" ht="15.75" hidden="false" customHeight="false" outlineLevel="0" collapsed="false">
      <c r="A6" s="130" t="s">
        <v>128</v>
      </c>
      <c r="B6" s="131" t="n">
        <v>37347</v>
      </c>
      <c r="C6" s="131" t="n">
        <v>37347</v>
      </c>
      <c r="D6" s="131" t="n">
        <v>37347</v>
      </c>
      <c r="E6" s="131" t="n">
        <v>37347</v>
      </c>
      <c r="F6" s="0"/>
      <c r="G6" s="0"/>
      <c r="H6" s="118" t="s">
        <v>129</v>
      </c>
      <c r="I6" s="128" t="n">
        <v>2.23</v>
      </c>
      <c r="J6" s="2" t="n">
        <f aca="false">D24</f>
        <v>2.265</v>
      </c>
      <c r="K6" s="129" t="n">
        <f aca="false">I6-J6</f>
        <v>-0.0350000000000001</v>
      </c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132"/>
      <c r="AV6" s="133"/>
      <c r="AW6" s="133"/>
      <c r="AX6" s="133"/>
      <c r="AY6" s="133" t="n">
        <v>180</v>
      </c>
      <c r="BB6" s="126"/>
      <c r="BC6" s="126"/>
      <c r="BD6" s="126"/>
    </row>
    <row r="7" customFormat="false" ht="16.5" hidden="false" customHeight="false" outlineLevel="0" collapsed="false">
      <c r="A7" s="130" t="s">
        <v>130</v>
      </c>
      <c r="B7" s="131" t="n">
        <v>37530</v>
      </c>
      <c r="C7" s="131" t="n">
        <v>37530</v>
      </c>
      <c r="D7" s="131" t="n">
        <v>37530</v>
      </c>
      <c r="E7" s="131" t="n">
        <v>37530</v>
      </c>
      <c r="F7" s="0"/>
      <c r="G7" s="0"/>
      <c r="H7" s="2" t="s">
        <v>131</v>
      </c>
      <c r="I7" s="2" t="n">
        <v>2.4</v>
      </c>
      <c r="J7" s="2" t="n">
        <f aca="false">AVERAGE(D25:D31)</f>
        <v>2.45985714285714</v>
      </c>
      <c r="K7" s="129" t="n">
        <f aca="false">I7-J7</f>
        <v>-0.0598571428571431</v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132"/>
      <c r="AV7" s="134" t="s">
        <v>132</v>
      </c>
      <c r="AW7" s="1"/>
      <c r="AX7" s="1"/>
      <c r="AY7" s="135" t="n">
        <v>120</v>
      </c>
      <c r="BB7" s="126"/>
      <c r="BC7" s="126"/>
      <c r="BD7" s="126"/>
      <c r="BF7" s="136" t="n">
        <v>3.19</v>
      </c>
      <c r="BG7" s="2" t="n">
        <v>0.25</v>
      </c>
      <c r="BH7" s="2" t="n">
        <f aca="false">BF7+BG7</f>
        <v>3.44</v>
      </c>
    </row>
    <row r="8" customFormat="false" ht="19.5" hidden="false" customHeight="false" outlineLevel="0" collapsed="false">
      <c r="A8" s="130" t="s">
        <v>133</v>
      </c>
      <c r="B8" s="137" t="n">
        <f aca="false">'opt calc'!$B9</f>
        <v>2.48836448598131</v>
      </c>
      <c r="C8" s="137" t="n">
        <f aca="false">'opt calc'!D9</f>
        <v>2.48836448598131</v>
      </c>
      <c r="D8" s="137" t="n">
        <f aca="false">'opt calc'!$F9</f>
        <v>2.48836448598131</v>
      </c>
      <c r="E8" s="137" t="n">
        <f aca="false">'opt calc'!$H9</f>
        <v>2.48836448598131</v>
      </c>
      <c r="F8" s="0"/>
      <c r="G8" s="0"/>
      <c r="H8" s="138" t="s">
        <v>134</v>
      </c>
      <c r="I8" s="0" t="n">
        <v>2.5</v>
      </c>
      <c r="J8" s="0" t="n">
        <f aca="false">D32</f>
        <v>2.818</v>
      </c>
      <c r="K8" s="129" t="n">
        <f aca="false">I8-J8</f>
        <v>-0.318</v>
      </c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132"/>
      <c r="AV8" s="133" t="s">
        <v>135</v>
      </c>
      <c r="AW8" s="1"/>
      <c r="AX8" s="1"/>
      <c r="AY8" s="139" t="n">
        <v>10</v>
      </c>
      <c r="BB8" s="126"/>
      <c r="BC8" s="126" t="n">
        <v>0.51</v>
      </c>
      <c r="BD8" s="126"/>
      <c r="BF8" s="136" t="n">
        <v>3.33</v>
      </c>
      <c r="BG8" s="2" t="n">
        <v>0.2</v>
      </c>
      <c r="BH8" s="2" t="n">
        <f aca="false">BF8+BG8</f>
        <v>3.53</v>
      </c>
      <c r="BO8" s="140" t="s">
        <v>136</v>
      </c>
      <c r="BQ8" s="140" t="n">
        <v>0</v>
      </c>
      <c r="BR8" s="140" t="s">
        <v>137</v>
      </c>
      <c r="BS8" s="141" t="s">
        <v>126</v>
      </c>
    </row>
    <row r="9" customFormat="false" ht="13.5" hidden="false" customHeight="false" outlineLevel="0" collapsed="false">
      <c r="A9" s="126" t="s">
        <v>138</v>
      </c>
      <c r="B9" s="142" t="n">
        <f aca="false">'opt calc'!$B11</f>
        <v>0</v>
      </c>
      <c r="C9" s="142" t="n">
        <f aca="false">'opt calc'!$D11</f>
        <v>0</v>
      </c>
      <c r="D9" s="142" t="n">
        <f aca="false">'opt calc'!$F11</f>
        <v>0</v>
      </c>
      <c r="E9" s="142" t="n">
        <f aca="false">'opt calc'!H11</f>
        <v>0</v>
      </c>
      <c r="F9" s="0"/>
      <c r="G9" s="0"/>
      <c r="H9" s="138" t="s">
        <v>139</v>
      </c>
      <c r="I9" s="0" t="n">
        <v>2.5</v>
      </c>
      <c r="J9" s="0" t="n">
        <f aca="false">D33</f>
        <v>3.048</v>
      </c>
      <c r="K9" s="129" t="n">
        <f aca="false">I9-J9</f>
        <v>-0.548</v>
      </c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132"/>
      <c r="AV9" s="134" t="s">
        <v>140</v>
      </c>
      <c r="AW9" s="1"/>
      <c r="AX9" s="1"/>
      <c r="AY9" s="143" t="n">
        <v>0.25</v>
      </c>
      <c r="BB9" s="126"/>
      <c r="BC9" s="126" t="n">
        <v>0.565</v>
      </c>
      <c r="BD9" s="126"/>
      <c r="BF9" s="136" t="n">
        <v>3.315</v>
      </c>
      <c r="BG9" s="2" t="n">
        <v>0.21</v>
      </c>
      <c r="BH9" s="2" t="n">
        <f aca="false">BF9+BG9</f>
        <v>3.525</v>
      </c>
    </row>
    <row r="10" customFormat="false" ht="13.5" hidden="false" customHeight="false" outlineLevel="0" collapsed="false">
      <c r="A10" s="16" t="s">
        <v>141</v>
      </c>
      <c r="B10" s="144" t="n">
        <v>0</v>
      </c>
      <c r="C10" s="144" t="n">
        <v>0</v>
      </c>
      <c r="D10" s="144" t="n">
        <v>0</v>
      </c>
      <c r="E10" s="144" t="n">
        <v>0</v>
      </c>
      <c r="F10" s="0"/>
      <c r="G10" s="0"/>
      <c r="H10" s="118" t="s">
        <v>142</v>
      </c>
      <c r="I10" s="128" t="n">
        <v>3.06</v>
      </c>
      <c r="J10" s="2" t="n">
        <f aca="false">AVERAGE(D34:D45)</f>
        <v>3.07575</v>
      </c>
      <c r="K10" s="129" t="n">
        <f aca="false">I10-J10</f>
        <v>-0.0157499999999997</v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132"/>
      <c r="AV10" s="133" t="s">
        <v>143</v>
      </c>
      <c r="AW10" s="1"/>
      <c r="AX10" s="1"/>
      <c r="AY10" s="145" t="n">
        <f aca="false">AY9*AY7</f>
        <v>30</v>
      </c>
      <c r="BB10" s="126"/>
      <c r="BC10" s="126" t="n">
        <v>0.565</v>
      </c>
      <c r="BD10" s="126"/>
      <c r="BF10" s="136" t="n">
        <v>3.25</v>
      </c>
      <c r="BG10" s="2" t="n">
        <v>0.21</v>
      </c>
      <c r="BH10" s="2" t="n">
        <f aca="false">BF10+BG10</f>
        <v>3.46</v>
      </c>
    </row>
    <row r="11" customFormat="false" ht="13.5" hidden="false" customHeight="false" outlineLevel="0" collapsed="false">
      <c r="A11" s="2" t="s">
        <v>11</v>
      </c>
      <c r="B11" s="146" t="n">
        <v>0</v>
      </c>
      <c r="C11" s="146" t="n">
        <v>0</v>
      </c>
      <c r="D11" s="146" t="n">
        <v>0</v>
      </c>
      <c r="E11" s="146" t="n">
        <v>0</v>
      </c>
      <c r="F11" s="0"/>
      <c r="G11" s="0"/>
      <c r="H11" s="118" t="s">
        <v>144</v>
      </c>
      <c r="I11" s="128" t="n">
        <v>3.18</v>
      </c>
      <c r="J11" s="2" t="n">
        <f aca="false">AVERAGE(D46:D57)</f>
        <v>3.2045</v>
      </c>
      <c r="K11" s="129" t="n">
        <f aca="false">I11-J11</f>
        <v>-0.0244999999999997</v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132"/>
      <c r="AV11" s="133" t="s">
        <v>145</v>
      </c>
      <c r="AW11" s="1"/>
      <c r="AX11" s="1"/>
      <c r="AY11" s="147" t="n">
        <f aca="false">AY8/AY7</f>
        <v>0.0833333333333333</v>
      </c>
      <c r="BB11" s="126"/>
      <c r="BC11" s="126" t="n">
        <v>0.465</v>
      </c>
      <c r="BD11" s="126"/>
    </row>
    <row r="12" customFormat="false" ht="14.25" hidden="false" customHeight="false" outlineLevel="0" collapsed="false">
      <c r="A12" s="2" t="s">
        <v>146</v>
      </c>
      <c r="B12" s="148" t="n">
        <v>1</v>
      </c>
      <c r="C12" s="148" t="n">
        <v>1</v>
      </c>
      <c r="D12" s="148" t="n">
        <v>1</v>
      </c>
      <c r="E12" s="148" t="n">
        <v>1</v>
      </c>
      <c r="F12" s="0"/>
      <c r="G12" s="0"/>
      <c r="H12" s="118" t="s">
        <v>147</v>
      </c>
      <c r="I12" s="128" t="n">
        <v>3.25</v>
      </c>
      <c r="J12" s="2" t="n">
        <f aca="false">AVERAGE(D58:D69)</f>
        <v>3.25691666666667</v>
      </c>
      <c r="K12" s="129" t="n">
        <f aca="false">I12-J12</f>
        <v>-0.00691666666666668</v>
      </c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132"/>
      <c r="AV12" s="133" t="s">
        <v>148</v>
      </c>
      <c r="AW12" s="1"/>
      <c r="AX12" s="1" t="n">
        <v>3</v>
      </c>
      <c r="AY12" s="149" t="n">
        <f aca="false">AY11*AX12</f>
        <v>0.25</v>
      </c>
      <c r="BB12" s="126"/>
      <c r="BC12" s="126"/>
      <c r="BD12" s="126"/>
    </row>
    <row r="13" customFormat="false" ht="13.5" hidden="false" customHeight="false" outlineLevel="0" collapsed="false">
      <c r="A13" s="2" t="s">
        <v>10</v>
      </c>
      <c r="B13" s="148" t="n">
        <v>3</v>
      </c>
      <c r="C13" s="148" t="n">
        <v>3</v>
      </c>
      <c r="D13" s="148" t="n">
        <v>3</v>
      </c>
      <c r="E13" s="148" t="n">
        <v>3</v>
      </c>
      <c r="F13" s="0"/>
      <c r="G13" s="0"/>
      <c r="H13" s="138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122"/>
      <c r="AT13" s="122"/>
      <c r="AV13" s="133" t="s">
        <v>149</v>
      </c>
      <c r="AW13" s="1"/>
      <c r="AX13" s="1"/>
      <c r="AY13" s="150" t="n">
        <f aca="false">(AY10*AY12)/AY8</f>
        <v>0.75</v>
      </c>
      <c r="BB13" s="126"/>
      <c r="BC13" s="126"/>
      <c r="BD13" s="126"/>
    </row>
    <row r="14" customFormat="false" ht="13.5" hidden="false" customHeight="false" outlineLevel="0" collapsed="false">
      <c r="A14" s="2" t="s">
        <v>9</v>
      </c>
      <c r="B14" s="151" t="n">
        <v>2.44</v>
      </c>
      <c r="C14" s="151" t="n">
        <v>2.44</v>
      </c>
      <c r="D14" s="151" t="n">
        <v>2.44</v>
      </c>
      <c r="E14" s="151" t="n">
        <v>2.44</v>
      </c>
      <c r="F14" s="0"/>
      <c r="G14" s="0"/>
      <c r="AR14" s="0"/>
      <c r="AS14" s="122"/>
      <c r="AT14" s="129"/>
      <c r="AV14" s="133"/>
      <c r="AW14" s="133"/>
      <c r="AX14" s="133"/>
      <c r="AY14" s="133"/>
      <c r="BB14" s="126"/>
      <c r="BC14" s="126"/>
      <c r="BD14" s="126"/>
    </row>
    <row r="15" customFormat="false" ht="13.5" hidden="false" customHeight="false" outlineLevel="0" collapsed="false">
      <c r="A15" s="2" t="s">
        <v>1</v>
      </c>
      <c r="B15" s="16" t="e">
        <f aca="false">'opt calc'!$B21</f>
        <v>#VALUE!</v>
      </c>
      <c r="C15" s="16" t="e">
        <f aca="false">'opt calc'!$D21</f>
        <v>#VALUE!</v>
      </c>
      <c r="D15" s="16" t="e">
        <f aca="false">'opt calc'!F21</f>
        <v>#VALUE!</v>
      </c>
      <c r="E15" s="152" t="e">
        <f aca="false">'opt calc'!$H21</f>
        <v>#VALUE!</v>
      </c>
      <c r="F15" s="0"/>
      <c r="G15" s="0"/>
      <c r="AR15" s="0"/>
      <c r="AS15" s="122"/>
      <c r="AT15" s="129"/>
      <c r="AV15" s="133"/>
      <c r="AW15" s="133"/>
      <c r="AX15" s="133"/>
      <c r="AY15" s="133" t="n">
        <f aca="false">(AY13*AY8)/AY7</f>
        <v>0.0625</v>
      </c>
      <c r="BB15" s="126"/>
      <c r="BC15" s="126"/>
      <c r="BD15" s="126"/>
    </row>
    <row r="16" customFormat="false" ht="12.75" hidden="false" customHeight="false" outlineLevel="0" collapsed="false">
      <c r="A16" s="2" t="s">
        <v>2</v>
      </c>
      <c r="B16" s="153" t="e">
        <f aca="false">'opt calc'!$B22</f>
        <v>#VALUE!</v>
      </c>
      <c r="C16" s="153" t="e">
        <f aca="false">'opt calc'!$D22</f>
        <v>#VALUE!</v>
      </c>
      <c r="D16" s="153" t="e">
        <f aca="false">'opt calc'!$F22</f>
        <v>#VALUE!</v>
      </c>
      <c r="E16" s="153" t="e">
        <f aca="false">'opt calc'!$H22</f>
        <v>#VALUE!</v>
      </c>
      <c r="F16" s="0"/>
      <c r="G16" s="0"/>
      <c r="AR16" s="0"/>
      <c r="AS16" s="2" t="n">
        <v>7</v>
      </c>
      <c r="AV16" s="1"/>
      <c r="AW16" s="134"/>
      <c r="AX16" s="1"/>
      <c r="AY16" s="1" t="n">
        <f aca="false">(((0.19*(30.5*0.15))+(0.05*(30.5*0.85))))/31</f>
        <v>0.0698548387096774</v>
      </c>
      <c r="BB16" s="126"/>
      <c r="BC16" s="126"/>
      <c r="BD16" s="126"/>
      <c r="BI16" s="2" t="n">
        <f aca="false">AVERAGE(BK32:BK35)*1.12</f>
        <v>0</v>
      </c>
    </row>
    <row r="17" customFormat="false" ht="12.75" hidden="false" customHeight="false" outlineLevel="0" collapsed="false">
      <c r="A17" s="2" t="s">
        <v>4</v>
      </c>
      <c r="B17" s="16" t="e">
        <f aca="false">'opt calc'!$B23</f>
        <v>#VALUE!</v>
      </c>
      <c r="C17" s="16" t="e">
        <f aca="false">'opt calc'!$D23</f>
        <v>#VALUE!</v>
      </c>
      <c r="D17" s="16" t="e">
        <f aca="false">'opt calc'!$F23</f>
        <v>#VALUE!</v>
      </c>
      <c r="E17" s="16" t="e">
        <f aca="false">'opt calc'!$H23</f>
        <v>#VALUE!</v>
      </c>
      <c r="F17" s="0"/>
      <c r="G17" s="0"/>
      <c r="AR17" s="0"/>
      <c r="AS17" s="122"/>
      <c r="AT17" s="129"/>
      <c r="AV17" s="1"/>
      <c r="AW17" s="145"/>
      <c r="AX17" s="1"/>
      <c r="AY17" s="1" t="n">
        <f aca="false">AY7*AY9</f>
        <v>30</v>
      </c>
      <c r="BB17" s="126"/>
      <c r="BC17" s="126"/>
      <c r="BD17" s="126"/>
    </row>
    <row r="18" customFormat="false" ht="12.75" hidden="false" customHeight="false" outlineLevel="0" collapsed="false">
      <c r="B18" s="16"/>
      <c r="C18" s="154"/>
      <c r="D18" s="16"/>
      <c r="E18" s="155"/>
      <c r="F18" s="0"/>
      <c r="G18" s="0"/>
      <c r="AR18" s="0"/>
      <c r="AS18" s="122" t="n">
        <v>0.3</v>
      </c>
      <c r="AT18" s="129"/>
      <c r="AV18" s="1"/>
      <c r="AW18" s="133" t="n">
        <f aca="false">(20*0.85)/30</f>
        <v>0.566666666666667</v>
      </c>
      <c r="AX18" s="1"/>
      <c r="AY18" s="1"/>
      <c r="BB18" s="126"/>
      <c r="BC18" s="126"/>
      <c r="BD18" s="126"/>
    </row>
    <row r="19" customFormat="false" ht="12.75" hidden="false" customHeight="false" outlineLevel="0" collapsed="false">
      <c r="A19" s="118" t="s">
        <v>150</v>
      </c>
      <c r="B19" s="16"/>
      <c r="D19" s="16"/>
      <c r="E19" s="16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122" t="n">
        <v>0.28</v>
      </c>
      <c r="AT19" s="129"/>
      <c r="AY19" s="127"/>
      <c r="BB19" s="126"/>
      <c r="BC19" s="126"/>
      <c r="BD19" s="126"/>
    </row>
    <row r="20" customFormat="false" ht="12.75" hidden="false" customHeight="false" outlineLevel="0" collapsed="false">
      <c r="A20" s="156"/>
      <c r="B20" s="157"/>
      <c r="C20" s="16"/>
      <c r="D20" s="16"/>
      <c r="E20" s="16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122"/>
      <c r="AT20" s="129" t="n">
        <f aca="false">0.47*2</f>
        <v>0.94</v>
      </c>
      <c r="AY20" s="127"/>
      <c r="BB20" s="126"/>
      <c r="BC20" s="126"/>
      <c r="BD20" s="126"/>
    </row>
    <row r="21" customFormat="false" ht="12.75" hidden="false" customHeight="false" outlineLevel="0" collapsed="false">
      <c r="A21" s="136"/>
      <c r="B21" s="136"/>
      <c r="E21" s="158"/>
      <c r="G21" s="2" t="s">
        <v>151</v>
      </c>
      <c r="H21" s="159" t="s">
        <v>123</v>
      </c>
      <c r="I21" s="160"/>
      <c r="J21" s="122" t="s">
        <v>152</v>
      </c>
      <c r="L21" s="118" t="s">
        <v>152</v>
      </c>
      <c r="BA21" s="161"/>
      <c r="BD21" s="126"/>
      <c r="BE21" s="126"/>
      <c r="BF21" s="126"/>
      <c r="CE21" s="2"/>
      <c r="CF21" s="2"/>
    </row>
    <row r="22" customFormat="false" ht="13.5" hidden="false" customHeight="false" outlineLevel="0" collapsed="false">
      <c r="A22" s="162"/>
      <c r="B22" s="163" t="s">
        <v>0</v>
      </c>
      <c r="C22" s="163" t="s">
        <v>122</v>
      </c>
      <c r="D22" s="163" t="s">
        <v>123</v>
      </c>
      <c r="E22" s="163" t="s">
        <v>153</v>
      </c>
      <c r="F22" s="163" t="s">
        <v>154</v>
      </c>
      <c r="G22" s="163" t="s">
        <v>118</v>
      </c>
      <c r="H22" s="163" t="s">
        <v>118</v>
      </c>
      <c r="I22" s="164" t="s">
        <v>155</v>
      </c>
      <c r="J22" s="2" t="s">
        <v>114</v>
      </c>
      <c r="K22" s="2" t="s">
        <v>118</v>
      </c>
      <c r="L22" s="2" t="s">
        <v>156</v>
      </c>
      <c r="O22" s="163" t="s">
        <v>157</v>
      </c>
      <c r="P22" s="118" t="s">
        <v>158</v>
      </c>
      <c r="AS22" s="2" t="s">
        <v>159</v>
      </c>
      <c r="BD22" s="126"/>
      <c r="BE22" s="126"/>
      <c r="CE22" s="2"/>
      <c r="CF22" s="2"/>
    </row>
    <row r="23" customFormat="false" ht="12.75" hidden="false" customHeight="false" outlineLevel="0" collapsed="false">
      <c r="A23" s="136" t="n">
        <v>1</v>
      </c>
      <c r="B23" s="165" t="n">
        <v>37288</v>
      </c>
      <c r="C23" s="136" t="n">
        <f aca="false">DDE("REUTER","IDN","NGG2,PRIM ACT 1,1")</f>
        <v>2.32</v>
      </c>
      <c r="D23" s="136" t="n">
        <f aca="false">VLOOKUP($B23,curvesettle,2,FALSE())</f>
        <v>2.275</v>
      </c>
      <c r="E23" s="166" t="n">
        <f aca="false">K5</f>
        <v>-0.0449999999999999</v>
      </c>
      <c r="F23" s="167" t="n">
        <f aca="false">IF(D$1="settle",D23,IF(D$1="EOL",D23+E23,IF(ISNUMBER(C23),C23,D23)))</f>
        <v>2.32</v>
      </c>
      <c r="G23" s="168" t="e">
        <f aca="false">IF($D$2="settle",H23,IF($D$2="straddles",K23,IF($D$2="custom",H23+I23,0)))</f>
        <v>#VALUE!</v>
      </c>
      <c r="H23" s="168" t="n">
        <f aca="false">VLOOKUP($B23,curvesettle,3,FALSE())</f>
        <v>0.98</v>
      </c>
      <c r="I23" s="168" t="n">
        <v>-0.2</v>
      </c>
      <c r="J23" s="166" t="n">
        <v>0.28</v>
      </c>
      <c r="K23" s="168" t="e">
        <f aca="true">bsd(6,1,$F23,$F23,$O23-TODAY(),$H23,$P23,J23/2)</f>
        <v>#VALUE!</v>
      </c>
      <c r="L23" s="167" t="e">
        <f aca="true">bsd(1,3,$F23,$F23,$O23-TODAY(),$G23,$P23,J23/2)</f>
        <v>#VALUE!</v>
      </c>
      <c r="N23" s="2" t="n">
        <f aca="false">A23</f>
        <v>1</v>
      </c>
      <c r="O23" s="169" t="n">
        <f aca="false">VLOOKUP(B23,expiration,3,FALSE())</f>
        <v>37284</v>
      </c>
      <c r="P23" s="123" t="n">
        <f aca="false">VLOOKUP($B23,curvesettle,4,FALSE())</f>
        <v>0.0217808492956433</v>
      </c>
      <c r="Q23" s="170" t="n">
        <f aca="false">IF(Q$22="nymex",expiry!H63+1,B23)</f>
        <v>37288</v>
      </c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S23" s="171" t="e">
        <f aca="true">OSTRIP(F23,F23,Q23-TODAY(),B23-Q23,B24-Q23-1,1,P23,G23,K23,1,0,1,0)</f>
        <v>#NAME?</v>
      </c>
      <c r="AT23" s="16" t="e">
        <f aca="false">AS23-#REF!</f>
        <v>#REF!</v>
      </c>
      <c r="AU23" s="16"/>
      <c r="AV23" s="168" t="n">
        <v>0.05</v>
      </c>
      <c r="AW23" s="168" t="n">
        <v>0</v>
      </c>
      <c r="AX23" s="167"/>
      <c r="AY23" s="167" t="e">
        <f aca="true">bsd(1,3,$AU23,$AV23,$O23-TODAY()+1,$G23,$P23,BI23/2)</f>
        <v>#VALUE!</v>
      </c>
      <c r="AZ23" s="167" t="e">
        <f aca="true">bsd(2,3,$AU23,$AU23,$O23-TODAY()+1,$G23,$P23,BJ23/2)</f>
        <v>#VALUE!</v>
      </c>
      <c r="BC23" s="168" t="n">
        <v>0.05</v>
      </c>
      <c r="BD23" s="136" t="n">
        <v>2.275</v>
      </c>
      <c r="BE23" s="136" t="e">
        <f aca="false">DDE("TWINDDE","RSFRecord","NGc1 LAST")</f>
        <v>#N/A</v>
      </c>
      <c r="BI23" s="2" t="n">
        <f aca="false">(H23/SQRT(252))*F23</f>
        <v>0.143223337638963</v>
      </c>
      <c r="BK23" s="136" t="n">
        <f aca="false">DDE("TWINDDE","RSFRecord","CLc1 LAST")</f>
        <v>27.58</v>
      </c>
      <c r="CC23" s="2" t="n">
        <v>-25</v>
      </c>
      <c r="CD23" s="2" t="n">
        <f aca="false">CC23/1000</f>
        <v>-0.025</v>
      </c>
      <c r="CE23" s="2"/>
      <c r="CF23" s="2"/>
    </row>
    <row r="24" customFormat="false" ht="12.75" hidden="false" customHeight="false" outlineLevel="0" collapsed="false">
      <c r="A24" s="136" t="n">
        <f aca="false">A23+1</f>
        <v>2</v>
      </c>
      <c r="B24" s="165" t="n">
        <v>37316</v>
      </c>
      <c r="C24" s="136" t="n">
        <f aca="false">DDE("REUTER","IDN","NGH2,PRIM ACT 1,1")</f>
        <v>2.3</v>
      </c>
      <c r="D24" s="136" t="n">
        <f aca="false">VLOOKUP($B24,curvesettle,2,FALSE())</f>
        <v>2.265</v>
      </c>
      <c r="E24" s="166" t="n">
        <f aca="false">K6</f>
        <v>-0.0350000000000001</v>
      </c>
      <c r="F24" s="167" t="n">
        <f aca="false">IF(D$1="settle",D24,IF(D$1="EOL",D24+E24,IF(ISNUMBER(C24),C24,D24)))</f>
        <v>2.3</v>
      </c>
      <c r="G24" s="168" t="e">
        <f aca="false">IF($D$2="settle",H24,IF($D$2="straddles",K24,IF($D$2="custom",H24+I24,0)))</f>
        <v>#VALUE!</v>
      </c>
      <c r="H24" s="168" t="n">
        <f aca="false">VLOOKUP($B24,curvesettle,3,FALSE())</f>
        <v>0.92</v>
      </c>
      <c r="I24" s="168" t="n">
        <v>0</v>
      </c>
      <c r="J24" s="166" t="n">
        <v>0.4</v>
      </c>
      <c r="K24" s="168" t="e">
        <f aca="true">bsd(6,1,$F24,$F24,$O24-TODAY(),$H24,$P24,J24/2)</f>
        <v>#VALUE!</v>
      </c>
      <c r="L24" s="167" t="e">
        <f aca="true">bsd(1,3,$F24,$F24,$O24-TODAY(),$G24,$P24,J24/2)</f>
        <v>#VALUE!</v>
      </c>
      <c r="N24" s="2" t="n">
        <f aca="false">A24</f>
        <v>2</v>
      </c>
      <c r="O24" s="169" t="n">
        <f aca="false">VLOOKUP(B24,expiration,3,FALSE())</f>
        <v>37312</v>
      </c>
      <c r="P24" s="123" t="n">
        <f aca="false">VLOOKUP($B24,curvesettle,4,FALSE())</f>
        <v>0.0211456580710117</v>
      </c>
      <c r="Q24" s="170" t="n">
        <f aca="false">IF(Q$22="nymex",expiry!H64+1,B24)</f>
        <v>37316</v>
      </c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S24" s="171" t="e">
        <f aca="true">OSTRIP(F24,F24,Q24-TODAY(),B24-Q24,B25-Q24-1,1,P24,G24,R24,1,0,1,0)</f>
        <v>#NAME?</v>
      </c>
      <c r="AT24" s="16" t="e">
        <f aca="false">AS24-#REF!</f>
        <v>#REF!</v>
      </c>
      <c r="AU24" s="16"/>
      <c r="AV24" s="168" t="n">
        <v>0.08</v>
      </c>
      <c r="AW24" s="168" t="n">
        <v>0</v>
      </c>
      <c r="AX24" s="167"/>
      <c r="AY24" s="167" t="e">
        <f aca="true">bsd(1,3,$AU24,$AV24,$O24-TODAY()+1,$G24,$P24,BI24/2)</f>
        <v>#VALUE!</v>
      </c>
      <c r="BC24" s="168" t="n">
        <v>0.15</v>
      </c>
      <c r="BD24" s="136" t="n">
        <f aca="false">DDE("TWINDDE","RSFRecord","NGc2 cls")</f>
        <v>2.74</v>
      </c>
      <c r="BE24" s="136" t="e">
        <f aca="false">DDE("TWINDDE","RSFRecord","NGc2 LAST")</f>
        <v>#N/A</v>
      </c>
      <c r="BK24" s="136" t="n">
        <f aca="false">DDE("TWINDDE","RSFRecord","CLc2 LAST")</f>
        <v>27.66</v>
      </c>
      <c r="CC24" s="2" t="n">
        <v>-36</v>
      </c>
      <c r="CD24" s="2" t="n">
        <f aca="false">CC24/1000</f>
        <v>-0.036</v>
      </c>
      <c r="CE24" s="2"/>
      <c r="CF24" s="2"/>
    </row>
    <row r="25" customFormat="false" ht="12.75" hidden="false" customHeight="false" outlineLevel="0" collapsed="false">
      <c r="A25" s="136" t="n">
        <f aca="false">A24+1</f>
        <v>3</v>
      </c>
      <c r="B25" s="165" t="n">
        <v>37347</v>
      </c>
      <c r="C25" s="136" t="n">
        <f aca="false">DDE("REUTER","IDN","NGJ2,PRIM ACT 1,1")</f>
        <v>2.32</v>
      </c>
      <c r="D25" s="136" t="n">
        <f aca="false">VLOOKUP($B25,curvesettle,2,FALSE())</f>
        <v>2.288</v>
      </c>
      <c r="E25" s="166" t="n">
        <f aca="false">K$7</f>
        <v>-0.0598571428571431</v>
      </c>
      <c r="F25" s="167" t="n">
        <f aca="false">IF(D$1="settle",D25,IF(D$1="EOL",D25+E25,IF(ISNUMBER(C25),C25,D25)))</f>
        <v>2.32</v>
      </c>
      <c r="G25" s="168" t="e">
        <f aca="false">IF($D$2="settle",H25,IF($D$2="straddles",K25,IF($D$2="custom",H25+I25,0)))</f>
        <v>#VALUE!</v>
      </c>
      <c r="H25" s="168" t="n">
        <f aca="false">VLOOKUP($B25,curvesettle,3,FALSE())</f>
        <v>0.803</v>
      </c>
      <c r="I25" s="168" t="n">
        <v>0</v>
      </c>
      <c r="J25" s="166" t="n">
        <v>0.42</v>
      </c>
      <c r="K25" s="168" t="e">
        <f aca="true">bsd(6,1,$F25,$F25,$O25-TODAY(),$H25,$P25,J25/2)</f>
        <v>#VALUE!</v>
      </c>
      <c r="L25" s="167" t="e">
        <f aca="true">bsd(1,3,$F25,$F25,$O25-TODAY(),$G25,$P25,J25/2)</f>
        <v>#VALUE!</v>
      </c>
      <c r="N25" s="2" t="n">
        <f aca="false">A25</f>
        <v>3</v>
      </c>
      <c r="O25" s="169" t="n">
        <f aca="false">VLOOKUP(B25,expiration,3,FALSE())</f>
        <v>37340</v>
      </c>
      <c r="P25" s="123" t="n">
        <f aca="false">VLOOKUP($B25,curvesettle,4,FALSE())</f>
        <v>0.0207759939054513</v>
      </c>
      <c r="Q25" s="170" t="n">
        <f aca="false">IF(Q$22="nymex",expiry!H65+1,B25)</f>
        <v>37347</v>
      </c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S25" s="171" t="e">
        <f aca="true">OSTRIP(F25,F25,Q25-TODAY(),B25-Q25,B26-Q25-1,1,P25,G25,R25,1,0,1,0)</f>
        <v>#NAME?</v>
      </c>
      <c r="AT25" s="16" t="e">
        <f aca="false">AS25-#REF!</f>
        <v>#REF!</v>
      </c>
      <c r="AU25" s="16"/>
      <c r="AV25" s="168" t="n">
        <v>0.05</v>
      </c>
      <c r="AW25" s="168" t="n">
        <v>0</v>
      </c>
      <c r="AX25" s="167"/>
      <c r="AY25" s="167" t="e">
        <f aca="true">bsd(1,3,$AU25,$AV25,$O25-TODAY()+1,$G25,$P25,BI25/2)</f>
        <v>#VALUE!</v>
      </c>
      <c r="BC25" s="168" t="n">
        <v>0.15</v>
      </c>
      <c r="BD25" s="136" t="n">
        <f aca="false">DDE("TWINDDE","RSFRecord","NGc3 cls")</f>
        <v>3.06</v>
      </c>
      <c r="BE25" s="136" t="e">
        <f aca="false">DDE("TWINDDE","RSFRecord","NGc3 LAST")</f>
        <v>#N/A</v>
      </c>
      <c r="BK25" s="136" t="n">
        <f aca="false">DDE("TWINDDE","RSFRecord","CLc3 LAST")</f>
        <v>27.61</v>
      </c>
      <c r="CC25" s="2" t="n">
        <v>-68</v>
      </c>
      <c r="CD25" s="2" t="n">
        <f aca="false">CC25/1000</f>
        <v>-0.068</v>
      </c>
      <c r="CE25" s="2"/>
      <c r="CF25" s="2"/>
    </row>
    <row r="26" customFormat="false" ht="12.75" hidden="false" customHeight="false" outlineLevel="0" collapsed="false">
      <c r="A26" s="136" t="n">
        <f aca="false">A25+1</f>
        <v>4</v>
      </c>
      <c r="B26" s="165" t="n">
        <v>37377</v>
      </c>
      <c r="C26" s="136" t="n">
        <f aca="false">DDE("REUTER","IDN","NGK2,PRIM ACT 1,1")</f>
        <v>2.38</v>
      </c>
      <c r="D26" s="136" t="n">
        <f aca="false">VLOOKUP($B26,curvesettle,2,FALSE())</f>
        <v>2.352</v>
      </c>
      <c r="E26" s="166" t="n">
        <f aca="false">K$7</f>
        <v>-0.0598571428571431</v>
      </c>
      <c r="F26" s="167" t="n">
        <f aca="false">IF(D$1="settle",D26,IF(D$1="EOL",D26+E26,IF(ISNUMBER(C26),C26,D26)))</f>
        <v>2.38</v>
      </c>
      <c r="G26" s="168" t="e">
        <f aca="false">IF($D$2="settle",H26,IF($D$2="straddles",K26,IF($D$2="custom",H26+I26,0)))</f>
        <v>#VALUE!</v>
      </c>
      <c r="H26" s="168" t="n">
        <f aca="false">VLOOKUP($B26,curvesettle,3,FALSE())</f>
        <v>0.66</v>
      </c>
      <c r="I26" s="168" t="n">
        <v>0</v>
      </c>
      <c r="J26" s="166" t="n">
        <v>0.47</v>
      </c>
      <c r="K26" s="168" t="e">
        <f aca="true">bsd(6,1,$F26,$F26,$O26-TODAY(),$H26,$P26,J26/2)</f>
        <v>#VALUE!</v>
      </c>
      <c r="L26" s="167" t="e">
        <f aca="true">bsd(1,3,$F26,$F26,$O26-TODAY(),$G26,$P26,J26/2)</f>
        <v>#VALUE!</v>
      </c>
      <c r="N26" s="2" t="n">
        <f aca="false">A26</f>
        <v>4</v>
      </c>
      <c r="O26" s="169" t="n">
        <f aca="false">VLOOKUP(B26,expiration,3,FALSE())</f>
        <v>37371</v>
      </c>
      <c r="P26" s="123" t="n">
        <f aca="false">VLOOKUP($B26,curvesettle,4,FALSE())</f>
        <v>0.0200334599021574</v>
      </c>
      <c r="Q26" s="170" t="n">
        <f aca="false">IF(Q$22="nymex",expiry!H66+1,B26)</f>
        <v>37377</v>
      </c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S26" s="171" t="e">
        <f aca="true">OSTRIP(F26,F26,Q26-TODAY(),B26-Q26,B27-Q26-1,1,P26,G26,R26,1,0,1,0)</f>
        <v>#NAME?</v>
      </c>
      <c r="AT26" s="16" t="e">
        <f aca="false">AS26-#REF!</f>
        <v>#REF!</v>
      </c>
      <c r="AU26" s="16"/>
      <c r="AV26" s="168" t="n">
        <v>-0.12</v>
      </c>
      <c r="AW26" s="168" t="n">
        <v>0</v>
      </c>
      <c r="AX26" s="167"/>
      <c r="AY26" s="167" t="e">
        <f aca="true">bsd(1,3,$AU26,$AV26,$O26-TODAY()+1,$G26,$P26,BI26/2)</f>
        <v>#VALUE!</v>
      </c>
      <c r="BC26" s="168" t="n">
        <v>0.25</v>
      </c>
      <c r="BD26" s="136" t="n">
        <f aca="false">DDE("TWINDDE","RSFRecord","NGc4 cls")</f>
        <v>3.205</v>
      </c>
      <c r="BE26" s="136" t="e">
        <f aca="false">DDE("TWINDDE","RSFRecord","NGc4 LAST")</f>
        <v>#N/A</v>
      </c>
      <c r="BK26" s="136" t="n">
        <f aca="false">DDE("TWINDDE","RSFRecord","CLc4 LAST")</f>
        <v>27.26</v>
      </c>
      <c r="CC26" s="2" t="n">
        <v>-101</v>
      </c>
      <c r="CD26" s="2" t="n">
        <f aca="false">CC26/1000</f>
        <v>-0.101</v>
      </c>
      <c r="CE26" s="2"/>
      <c r="CF26" s="2"/>
    </row>
    <row r="27" customFormat="false" ht="12.75" hidden="false" customHeight="false" outlineLevel="0" collapsed="false">
      <c r="A27" s="136" t="n">
        <f aca="false">A26+1</f>
        <v>5</v>
      </c>
      <c r="B27" s="165" t="n">
        <v>37408</v>
      </c>
      <c r="C27" s="136" t="n">
        <f aca="false">DDE("REUTER","IDN","NGM2,PRIM ACT 1,1")</f>
        <v>2.455</v>
      </c>
      <c r="D27" s="136" t="n">
        <f aca="false">VLOOKUP($B27,curvesettle,2,FALSE())</f>
        <v>2.421</v>
      </c>
      <c r="E27" s="166" t="n">
        <f aca="false">K$7</f>
        <v>-0.0598571428571431</v>
      </c>
      <c r="F27" s="167" t="n">
        <f aca="false">IF(D$1="settle",D27,IF(D$1="EOL",D27+E27,IF(ISNUMBER(C27),C27,D27)))</f>
        <v>2.455</v>
      </c>
      <c r="G27" s="168" t="e">
        <f aca="false">IF($D$2="settle",H27,IF($D$2="straddles",K27,IF($D$2="custom",H27+I27,0)))</f>
        <v>#VALUE!</v>
      </c>
      <c r="H27" s="168" t="n">
        <f aca="false">VLOOKUP($B27,curvesettle,3,FALSE())</f>
        <v>0.593</v>
      </c>
      <c r="I27" s="168" t="n">
        <v>0</v>
      </c>
      <c r="J27" s="166" t="n">
        <v>0.525</v>
      </c>
      <c r="K27" s="168" t="e">
        <f aca="true">bsd(6,1,$F27,$F27,$O27-TODAY(),$H27,$P27,J27/2)</f>
        <v>#VALUE!</v>
      </c>
      <c r="L27" s="167" t="e">
        <f aca="true">bsd(1,3,$F27,$F27,$O27-TODAY(),$G27,$P27,J27/2)</f>
        <v>#VALUE!</v>
      </c>
      <c r="N27" s="2" t="n">
        <f aca="false">A27</f>
        <v>5</v>
      </c>
      <c r="O27" s="169" t="n">
        <f aca="false">VLOOKUP(B27,expiration,3,FALSE())</f>
        <v>37404</v>
      </c>
      <c r="P27" s="123" t="n">
        <f aca="false">VLOOKUP($B27,curvesettle,4,FALSE())</f>
        <v>0.0201562427304349</v>
      </c>
      <c r="Q27" s="170" t="n">
        <f aca="false">IF(Q$22="nymex",expiry!H67+1,B27)</f>
        <v>37408</v>
      </c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S27" s="171" t="e">
        <f aca="true">OSTRIP(F27,F27,Q27-TODAY(),B27-Q27,B28-Q27-1,1,P27,G27,R27,1,0,1,0)</f>
        <v>#NAME?</v>
      </c>
      <c r="AT27" s="16" t="e">
        <f aca="false">AS27-#REF!</f>
        <v>#REF!</v>
      </c>
      <c r="AU27" s="16"/>
      <c r="AV27" s="168" t="n">
        <v>-0.11</v>
      </c>
      <c r="AW27" s="168" t="n">
        <v>0</v>
      </c>
      <c r="AX27" s="167"/>
      <c r="AY27" s="167" t="e">
        <f aca="true">bsd(1,3,$AU27,$AV27,$O27-TODAY()+1,$G27,$P27,BI27/2)</f>
        <v>#VALUE!</v>
      </c>
      <c r="BC27" s="168" t="n">
        <v>0.05</v>
      </c>
      <c r="BD27" s="136" t="n">
        <f aca="false">DDE("TWINDDE","RSFRecord","NGc5 cls")</f>
        <v>3.177</v>
      </c>
      <c r="BE27" s="136" t="e">
        <f aca="false">DDE("TWINDDE","RSFRecord","NGc5 LAST")</f>
        <v>#N/A</v>
      </c>
      <c r="BK27" s="136" t="n">
        <f aca="false">DDE("TWINDDE","RSFRecord","CLc5 LAST")</f>
        <v>26.94</v>
      </c>
      <c r="CC27" s="2" t="n">
        <v>-134</v>
      </c>
      <c r="CD27" s="2" t="n">
        <f aca="false">CC27/1000</f>
        <v>-0.134</v>
      </c>
      <c r="CE27" s="2"/>
      <c r="CF27" s="2"/>
    </row>
    <row r="28" customFormat="false" ht="12.75" hidden="false" customHeight="false" outlineLevel="0" collapsed="false">
      <c r="A28" s="136" t="n">
        <f aca="false">A27+1</f>
        <v>6</v>
      </c>
      <c r="B28" s="165" t="n">
        <v>37438</v>
      </c>
      <c r="C28" s="136" t="n">
        <f aca="false">DDE("REUTER","IDN","NGN2,PRIM ACT 1,1")</f>
        <v>2.52</v>
      </c>
      <c r="D28" s="136" t="n">
        <f aca="false">VLOOKUP($B28,curvesettle,2,FALSE())</f>
        <v>2.483</v>
      </c>
      <c r="E28" s="166" t="n">
        <f aca="false">K$7</f>
        <v>-0.0598571428571431</v>
      </c>
      <c r="F28" s="167" t="n">
        <f aca="false">IF(D$1="settle",D28,IF(D$1="EOL",D28+E28,IF(ISNUMBER(C28),C28,D28)))</f>
        <v>2.52</v>
      </c>
      <c r="G28" s="168" t="e">
        <f aca="false">IF($D$2="settle",H28,IF($D$2="straddles",K28,IF($D$2="custom",H28+I28,0)))</f>
        <v>#VALUE!</v>
      </c>
      <c r="H28" s="168" t="n">
        <f aca="false">VLOOKUP($B28,curvesettle,3,FALSE())</f>
        <v>0.573</v>
      </c>
      <c r="I28" s="168" t="n">
        <v>0</v>
      </c>
      <c r="J28" s="166" t="n">
        <v>0.6</v>
      </c>
      <c r="K28" s="168" t="e">
        <f aca="true">bsd(6,1,$F28,$F28,$O28-TODAY(),$H28,$P28,J28/2)</f>
        <v>#VALUE!</v>
      </c>
      <c r="L28" s="167" t="e">
        <f aca="true">bsd(1,3,$F28,$F28,$O28-TODAY(),$G28,$P28,J28/2)</f>
        <v>#VALUE!</v>
      </c>
      <c r="N28" s="2" t="n">
        <f aca="false">A28</f>
        <v>6</v>
      </c>
      <c r="O28" s="169" t="n">
        <f aca="false">VLOOKUP(B28,expiration,3,FALSE())</f>
        <v>37432</v>
      </c>
      <c r="P28" s="123" t="n">
        <f aca="false">VLOOKUP($B28,curvesettle,4,FALSE())</f>
        <v>0.0202831183250214</v>
      </c>
      <c r="Q28" s="170" t="n">
        <f aca="false">IF(Q$22="nymex",expiry!H68+1,B28)</f>
        <v>37438</v>
      </c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S28" s="171" t="e">
        <f aca="true">OSTRIP(F28,F28,Q28-TODAY(),B28-Q28,B29-Q28-1,1,P28,G28,R28,1,0,1,0)</f>
        <v>#NAME?</v>
      </c>
      <c r="AT28" s="16" t="e">
        <f aca="false">AS28-#REF!</f>
        <v>#REF!</v>
      </c>
      <c r="AU28" s="16"/>
      <c r="AV28" s="168" t="n">
        <v>-0.05</v>
      </c>
      <c r="AW28" s="168" t="n">
        <v>0</v>
      </c>
      <c r="AX28" s="167"/>
      <c r="AY28" s="167" t="e">
        <f aca="true">bsd(1,3,$AU28,$AV28,$O28-TODAY()+1,$G28,$P28,BI28/2)</f>
        <v>#VALUE!</v>
      </c>
      <c r="BC28" s="168" t="n">
        <v>0.05</v>
      </c>
      <c r="BD28" s="136" t="n">
        <f aca="false">DDE("TWINDDE","RSFRecord","NGc6 cls")</f>
        <v>3.105</v>
      </c>
      <c r="BE28" s="136" t="e">
        <f aca="false">DDE("TWINDDE","RSFRecord","NGc6 LAST")</f>
        <v>#N/A</v>
      </c>
      <c r="BK28" s="136" t="n">
        <f aca="false">DDE("TWINDDE","RSFRecord","CLc6 LAST")</f>
        <v>0</v>
      </c>
      <c r="CC28" s="2" t="n">
        <v>-141</v>
      </c>
      <c r="CD28" s="2" t="n">
        <f aca="false">CC28/1000</f>
        <v>-0.141</v>
      </c>
      <c r="CE28" s="2"/>
      <c r="CF28" s="2"/>
    </row>
    <row r="29" customFormat="false" ht="12.75" hidden="false" customHeight="false" outlineLevel="0" collapsed="false">
      <c r="A29" s="136" t="n">
        <f aca="false">A28+1</f>
        <v>7</v>
      </c>
      <c r="B29" s="165" t="n">
        <v>37469</v>
      </c>
      <c r="C29" s="136" t="n">
        <f aca="false">DDE("REUTER","IDN","NGQ2,PRIM ACT 1,1")</f>
        <v>2.55</v>
      </c>
      <c r="D29" s="136" t="n">
        <f aca="false">VLOOKUP($B29,curvesettle,2,FALSE())</f>
        <v>2.536</v>
      </c>
      <c r="E29" s="166" t="n">
        <f aca="false">K$7</f>
        <v>-0.0598571428571431</v>
      </c>
      <c r="F29" s="167" t="n">
        <f aca="false">IF(D$1="settle",D29,IF(D$1="EOL",D29+E29,IF(ISNUMBER(C29),C29,D29)))</f>
        <v>2.55</v>
      </c>
      <c r="G29" s="168" t="e">
        <f aca="false">IF($D$2="settle",H29,IF($D$2="straddles",K29,IF($D$2="custom",H29+I29,0)))</f>
        <v>#VALUE!</v>
      </c>
      <c r="H29" s="168" t="n">
        <f aca="false">VLOOKUP($B29,curvesettle,3,FALSE())</f>
        <v>0.568</v>
      </c>
      <c r="I29" s="168" t="n">
        <v>0</v>
      </c>
      <c r="J29" s="166" t="n">
        <v>0.68</v>
      </c>
      <c r="K29" s="168" t="e">
        <f aca="true">bsd(6,1,$F29,$F29,$O29-TODAY(),$H29,$P29,J29/2)</f>
        <v>#VALUE!</v>
      </c>
      <c r="L29" s="167" t="e">
        <f aca="true">bsd(1,3,$F29,$F29,$O29-TODAY(),$G29,$P29,J29/2)</f>
        <v>#VALUE!</v>
      </c>
      <c r="N29" s="2" t="n">
        <f aca="false">A29</f>
        <v>7</v>
      </c>
      <c r="O29" s="169" t="n">
        <f aca="false">VLOOKUP(B29,expiration,3,FALSE())</f>
        <v>37463</v>
      </c>
      <c r="P29" s="123" t="n">
        <f aca="false">VLOOKUP($B29,curvesettle,4,FALSE())</f>
        <v>0.020560063885966</v>
      </c>
      <c r="Q29" s="170" t="n">
        <f aca="false">IF(Q$22="nymex",expiry!H69+1,B29)</f>
        <v>37469</v>
      </c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S29" s="171" t="e">
        <f aca="true">OSTRIP(F29,F29,Q29-TODAY(),B29-Q29,B30-Q29-1,1,P29,G29,R29,1,0,1,0)</f>
        <v>#NAME?</v>
      </c>
      <c r="AT29" s="16" t="e">
        <f aca="false">AS29-#REF!</f>
        <v>#REF!</v>
      </c>
      <c r="AU29" s="16"/>
      <c r="AV29" s="168" t="n">
        <v>0</v>
      </c>
      <c r="AW29" s="168" t="n">
        <v>-0.15</v>
      </c>
      <c r="AX29" s="167"/>
      <c r="AY29" s="167" t="e">
        <f aca="true">bsd(1,3,$AU29,$AV29,$O29-TODAY()+1,$G29,$P29,BI29/2)</f>
        <v>#VALUE!</v>
      </c>
      <c r="BC29" s="168" t="n">
        <v>0.05</v>
      </c>
      <c r="BD29" s="136" t="n">
        <f aca="false">DDE("TWINDDE","RSFRecord","NGc7 cls")</f>
        <v>3.012</v>
      </c>
      <c r="BE29" s="136" t="e">
        <f aca="false">DDE("TWINDDE","RSFRecord","NGc7 LAST")</f>
        <v>#N/A</v>
      </c>
      <c r="BK29" s="136" t="n">
        <f aca="false">DDE("TWINDDE","RSFRecord","CLc7 LAST")</f>
        <v>26.33</v>
      </c>
      <c r="CC29" s="2" t="n">
        <v>-141</v>
      </c>
      <c r="CD29" s="2" t="n">
        <f aca="false">CC29/1000</f>
        <v>-0.141</v>
      </c>
      <c r="CE29" s="2"/>
      <c r="CF29" s="2"/>
    </row>
    <row r="30" customFormat="false" ht="12.75" hidden="false" customHeight="false" outlineLevel="0" collapsed="false">
      <c r="A30" s="136" t="n">
        <f aca="false">A29+1</f>
        <v>8</v>
      </c>
      <c r="B30" s="165" t="n">
        <v>37500</v>
      </c>
      <c r="C30" s="136" t="n">
        <f aca="false">DDE("REUTER","IDN","NGU2,PRIM ACT 1,1")</f>
        <v>2.58</v>
      </c>
      <c r="D30" s="136" t="n">
        <f aca="false">VLOOKUP($B30,curvesettle,2,FALSE())</f>
        <v>2.551</v>
      </c>
      <c r="E30" s="166" t="n">
        <f aca="false">K$7</f>
        <v>-0.0598571428571431</v>
      </c>
      <c r="F30" s="167" t="n">
        <f aca="false">IF(D$1="settle",D30,IF(D$1="EOL",D30+E30,IF(ISNUMBER(C30),C30,D30)))</f>
        <v>2.58</v>
      </c>
      <c r="G30" s="168" t="e">
        <f aca="false">IF($D$2="settle",H30,IF($D$2="straddles",K30,IF($D$2="custom",H30+I30,0)))</f>
        <v>#VALUE!</v>
      </c>
      <c r="H30" s="168" t="n">
        <f aca="false">VLOOKUP($B30,curvesettle,3,FALSE())</f>
        <v>0.563</v>
      </c>
      <c r="I30" s="168" t="n">
        <v>0</v>
      </c>
      <c r="J30" s="166" t="n">
        <v>0.73</v>
      </c>
      <c r="K30" s="168" t="e">
        <f aca="true">bsd(6,1,$F30,$F30,$O30-TODAY(),$H30,$P30,J30/2)</f>
        <v>#VALUE!</v>
      </c>
      <c r="L30" s="167" t="e">
        <f aca="true">bsd(1,3,$F30,$F30,$O30-TODAY(),$G30,$P30,J30/2)</f>
        <v>#VALUE!</v>
      </c>
      <c r="N30" s="2" t="n">
        <f aca="false">A30</f>
        <v>8</v>
      </c>
      <c r="O30" s="169" t="n">
        <f aca="false">VLOOKUP(B30,expiration,3,FALSE())</f>
        <v>37495</v>
      </c>
      <c r="P30" s="123" t="n">
        <f aca="false">VLOOKUP($B30,curvesettle,4,FALSE())</f>
        <v>0.0210943841345661</v>
      </c>
      <c r="Q30" s="170" t="n">
        <f aca="false">IF(Q$22="nymex",expiry!H70+1,B30)</f>
        <v>37500</v>
      </c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S30" s="171" t="e">
        <f aca="true">OSTRIP(F30,F30,Q30-TODAY(),B30-Q30,B31-Q30-1,1,P30,G30,R30,1,0,1,0)</f>
        <v>#NAME?</v>
      </c>
      <c r="AT30" s="16" t="e">
        <f aca="false">AS30-#REF!</f>
        <v>#REF!</v>
      </c>
      <c r="AU30" s="16"/>
      <c r="AV30" s="168" t="n">
        <v>-0.05</v>
      </c>
      <c r="AW30" s="168" t="n">
        <v>-0.25</v>
      </c>
      <c r="AX30" s="167"/>
      <c r="AY30" s="167" t="e">
        <f aca="true">bsd(1,3,$AU30,$AV30,$O30-TODAY()+1,$G30,$P30,BI30/2)</f>
        <v>#VALUE!</v>
      </c>
      <c r="BC30" s="168" t="n">
        <v>0.05</v>
      </c>
      <c r="BD30" s="136" t="n">
        <f aca="false">DDE("TWINDDE","RSFRecord","NGc8 cls")</f>
        <v>3.035</v>
      </c>
      <c r="BE30" s="136" t="e">
        <f aca="false">DDE("TWINDDE","RSFRecord","NGc8 LAST")</f>
        <v>#N/A</v>
      </c>
      <c r="BK30" s="136" t="n">
        <f aca="false">DDE("TWINDDE","RSFRecord","CLc8 LAST")</f>
        <v>0</v>
      </c>
      <c r="CC30" s="2" t="n">
        <v>-141</v>
      </c>
      <c r="CD30" s="2" t="n">
        <f aca="false">CC30/1000</f>
        <v>-0.141</v>
      </c>
      <c r="CE30" s="2"/>
      <c r="CF30" s="2"/>
    </row>
    <row r="31" customFormat="false" ht="12.75" hidden="false" customHeight="false" outlineLevel="0" collapsed="false">
      <c r="A31" s="136" t="n">
        <f aca="false">A30+1</f>
        <v>9</v>
      </c>
      <c r="B31" s="165" t="n">
        <v>37530</v>
      </c>
      <c r="C31" s="136" t="n">
        <f aca="false">DDE("REUTER","IDN","NGV2,PRIM ACT 1,1")</f>
        <v>2.61</v>
      </c>
      <c r="D31" s="136" t="n">
        <f aca="false">VLOOKUP($B31,curvesettle,2,FALSE())</f>
        <v>2.588</v>
      </c>
      <c r="E31" s="166" t="n">
        <f aca="false">K$7</f>
        <v>-0.0598571428571431</v>
      </c>
      <c r="F31" s="167" t="n">
        <f aca="false">IF(D$1="settle",D31,IF(D$1="EOL",D31+E31,IF(ISNUMBER(C31),C31,D31)))</f>
        <v>2.61</v>
      </c>
      <c r="G31" s="168" t="e">
        <f aca="false">IF($D$2="settle",H31,IF($D$2="straddles",K31,IF($D$2="custom",H31+I31,0)))</f>
        <v>#VALUE!</v>
      </c>
      <c r="H31" s="168" t="n">
        <f aca="false">VLOOKUP($B31,curvesettle,3,FALSE())</f>
        <v>0.56</v>
      </c>
      <c r="I31" s="168" t="n">
        <v>0</v>
      </c>
      <c r="J31" s="166" t="n">
        <v>0.81</v>
      </c>
      <c r="K31" s="168" t="e">
        <f aca="true">bsd(6,1,$F31,$F31,$O31-TODAY(),$H31,$P31,J31/2)</f>
        <v>#VALUE!</v>
      </c>
      <c r="L31" s="167" t="e">
        <f aca="true">bsd(1,3,$F31,$F31,$O31-TODAY(),$G31,$P31,J31/2)</f>
        <v>#VALUE!</v>
      </c>
      <c r="N31" s="2" t="n">
        <f aca="false">A31</f>
        <v>9</v>
      </c>
      <c r="O31" s="169" t="n">
        <f aca="false">VLOOKUP(B31,expiration,3,FALSE())</f>
        <v>37524</v>
      </c>
      <c r="P31" s="123" t="n">
        <f aca="false">VLOOKUP($B31,curvesettle,4,FALSE())</f>
        <v>0.0216287044798529</v>
      </c>
      <c r="Q31" s="170" t="n">
        <f aca="false">IF(Q$22="nymex",expiry!H71+1,B31)</f>
        <v>37530</v>
      </c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S31" s="171" t="e">
        <f aca="true">OSTRIP(F31,F31,Q31-TODAY(),B31-Q31,B32-Q31-1,1,P31,G31,R31,1,0,1,0)</f>
        <v>#NAME?</v>
      </c>
      <c r="AT31" s="16" t="e">
        <f aca="false">AS31-#REF!</f>
        <v>#REF!</v>
      </c>
      <c r="AU31" s="16"/>
      <c r="AV31" s="168" t="n">
        <v>0.05</v>
      </c>
      <c r="AW31" s="168" t="n">
        <v>0.2</v>
      </c>
      <c r="AX31" s="167"/>
      <c r="AY31" s="167" t="e">
        <f aca="true">bsd(1,3,$AU31,$AV31,$O31-TODAY()+1,$G31,$P31,BI31/2)</f>
        <v>#VALUE!</v>
      </c>
      <c r="BC31" s="168" t="n">
        <v>0.05</v>
      </c>
      <c r="BD31" s="136" t="n">
        <f aca="false">DDE("TWINDDE","RSFRecord","NGc9 cls")</f>
        <v>3.07</v>
      </c>
      <c r="BE31" s="136" t="e">
        <f aca="false">DDE("TWINDDE","RSFRecord","NGc9 LAST")</f>
        <v>#N/A</v>
      </c>
      <c r="BK31" s="136" t="n">
        <f aca="false">DDE("TWINDDE","RSFRecord","CLc9 LAST")</f>
        <v>0</v>
      </c>
      <c r="CC31" s="2" t="n">
        <v>-136</v>
      </c>
      <c r="CD31" s="2" t="n">
        <f aca="false">CC31/1000</f>
        <v>-0.136</v>
      </c>
      <c r="CE31" s="2"/>
      <c r="CF31" s="2"/>
    </row>
    <row r="32" customFormat="false" ht="12.75" hidden="false" customHeight="false" outlineLevel="0" collapsed="false">
      <c r="A32" s="136" t="n">
        <f aca="false">A31+1</f>
        <v>10</v>
      </c>
      <c r="B32" s="165" t="n">
        <v>37561</v>
      </c>
      <c r="C32" s="136" t="n">
        <f aca="false">DDE("REUTER","IDN","NGX2,PRIM ACT 1,1")</f>
        <v>2.84</v>
      </c>
      <c r="D32" s="136" t="n">
        <f aca="false">VLOOKUP($B32,curvesettle,2,FALSE())</f>
        <v>2.818</v>
      </c>
      <c r="E32" s="166" t="n">
        <f aca="false">K8</f>
        <v>-0.318</v>
      </c>
      <c r="F32" s="167" t="n">
        <f aca="false">IF(D$1="settle",D32,IF(D$1="EOL",D32+E32,IF(ISNUMBER(C32),C32,D32)))</f>
        <v>2.84</v>
      </c>
      <c r="G32" s="168" t="e">
        <f aca="false">IF($D$2="settle",H32,IF($D$2="straddles",K32,IF($D$2="custom",H32+I32,0)))</f>
        <v>#VALUE!</v>
      </c>
      <c r="H32" s="168" t="n">
        <f aca="false">VLOOKUP($B32,curvesettle,3,FALSE())</f>
        <v>0.56</v>
      </c>
      <c r="I32" s="168" t="n">
        <v>0</v>
      </c>
      <c r="J32" s="166" t="n">
        <v>0.94</v>
      </c>
      <c r="K32" s="168" t="e">
        <f aca="true">bsd(6,1,$F32,$F32,$O32-TODAY(),$H32,$P32,J32/2)</f>
        <v>#VALUE!</v>
      </c>
      <c r="L32" s="167" t="e">
        <f aca="true">bsd(1,3,$F32,$F32,$O32-TODAY(),$G32,$P32,J32/2)</f>
        <v>#VALUE!</v>
      </c>
      <c r="N32" s="2" t="n">
        <f aca="false">A32</f>
        <v>10</v>
      </c>
      <c r="O32" s="169" t="n">
        <f aca="false">VLOOKUP(B32,expiration,3,FALSE())</f>
        <v>37557</v>
      </c>
      <c r="P32" s="123" t="n">
        <f aca="false">VLOOKUP($B32,curvesettle,4,FALSE())</f>
        <v>0.0222295635777168</v>
      </c>
      <c r="Q32" s="170" t="n">
        <f aca="false">IF(Q$22="nymex",expiry!H72+1,B32)</f>
        <v>37561</v>
      </c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S32" s="171" t="e">
        <f aca="true">OSTRIP(F32,F32,Q32-TODAY(),B32-Q32,B33-Q32-1,1,P32,G32,R32,1,0,1,0)</f>
        <v>#NAME?</v>
      </c>
      <c r="AT32" s="16" t="e">
        <f aca="false">AS32-#REF!</f>
        <v>#REF!</v>
      </c>
      <c r="AU32" s="16"/>
      <c r="AV32" s="168" t="n">
        <v>0</v>
      </c>
      <c r="AW32" s="168" t="n">
        <v>0.2</v>
      </c>
      <c r="AX32" s="167"/>
      <c r="AY32" s="167" t="e">
        <f aca="true">bsd(1,3,$AU32,$AV32,$O32-TODAY()+1,$G32,$P32,BI32/2)</f>
        <v>#VALUE!</v>
      </c>
      <c r="BC32" s="168" t="n">
        <v>0.05</v>
      </c>
      <c r="BD32" s="136" t="n">
        <f aca="false">DDE("TWINDDE","RSFRecord","NGc10 cls")</f>
        <v>3.112</v>
      </c>
      <c r="BE32" s="136" t="e">
        <f aca="false">DDE("TWINDDE","RSFRecord","NGc10 LAST")</f>
        <v>#N/A</v>
      </c>
      <c r="BK32" s="136" t="n">
        <f aca="false">DDE("TWINDDE","RSFRecord","CLc10 LAST")</f>
        <v>0</v>
      </c>
      <c r="CC32" s="2" t="n">
        <v>-148</v>
      </c>
      <c r="CD32" s="2" t="n">
        <f aca="false">CC32/1000</f>
        <v>-0.148</v>
      </c>
      <c r="CE32" s="2"/>
      <c r="CF32" s="2"/>
    </row>
    <row r="33" customFormat="false" ht="12.75" hidden="false" customHeight="false" outlineLevel="0" collapsed="false">
      <c r="A33" s="136" t="n">
        <f aca="false">A32+1</f>
        <v>11</v>
      </c>
      <c r="B33" s="165" t="n">
        <v>37591</v>
      </c>
      <c r="C33" s="136" t="n">
        <f aca="false">DDE("REUTER","IDN","NGZ2,PRIM ACT 1,1")</f>
        <v>3.07</v>
      </c>
      <c r="D33" s="136" t="n">
        <f aca="false">VLOOKUP($B33,curvesettle,2,FALSE())</f>
        <v>3.048</v>
      </c>
      <c r="E33" s="166" t="n">
        <f aca="false">K9</f>
        <v>-0.548</v>
      </c>
      <c r="F33" s="167" t="n">
        <f aca="false">IF(D$1="settle",D33,IF(D$1="EOL",D33+E33,IF(ISNUMBER(C33),C33,D33)))</f>
        <v>3.07</v>
      </c>
      <c r="G33" s="168" t="e">
        <f aca="false">IF($D$2="settle",H33,IF($D$2="straddles",K33,IF($D$2="custom",H33+I33,0)))</f>
        <v>#VALUE!</v>
      </c>
      <c r="H33" s="168" t="n">
        <f aca="false">VLOOKUP($B33,curvesettle,3,FALSE())</f>
        <v>0.553</v>
      </c>
      <c r="I33" s="168" t="n">
        <v>0</v>
      </c>
      <c r="J33" s="166" t="n">
        <v>1.06</v>
      </c>
      <c r="K33" s="168" t="e">
        <f aca="true">bsd(6,1,$F33,$F33,$O33-TODAY(),$H33,$P33,J33/2)</f>
        <v>#VALUE!</v>
      </c>
      <c r="L33" s="167" t="e">
        <f aca="true">bsd(1,3,$F33,$F33,$O33-TODAY(),$G33,$P33,J33/2)</f>
        <v>#VALUE!</v>
      </c>
      <c r="N33" s="2" t="n">
        <f aca="false">A33</f>
        <v>11</v>
      </c>
      <c r="O33" s="169" t="n">
        <f aca="false">VLOOKUP(B33,expiration,3,FALSE())</f>
        <v>37585</v>
      </c>
      <c r="P33" s="123" t="n">
        <f aca="false">VLOOKUP($B33,curvesettle,4,FALSE())</f>
        <v>0.0229691206647376</v>
      </c>
      <c r="Q33" s="170" t="n">
        <f aca="false">IF(Q$22="nymex",expiry!H73+1,B33)</f>
        <v>37591</v>
      </c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S33" s="171" t="e">
        <f aca="true">OSTRIP(F33,F33,Q33-TODAY(),B33-Q33,B34-Q33-1,1,P33,G33,R33,1,0,1,0)</f>
        <v>#NAME?</v>
      </c>
      <c r="AT33" s="16" t="e">
        <f aca="false">AS33-#REF!</f>
        <v>#REF!</v>
      </c>
      <c r="AU33" s="16"/>
      <c r="AV33" s="168" t="n">
        <v>0</v>
      </c>
      <c r="AW33" s="168" t="n">
        <v>0</v>
      </c>
      <c r="AX33" s="167"/>
      <c r="AY33" s="167" t="e">
        <f aca="true">bsd(1,3,$AU33,$AV33,$O33-TODAY()+1,$G33,$P33,BI33/2)</f>
        <v>#VALUE!</v>
      </c>
      <c r="BC33" s="168" t="n">
        <v>0.05</v>
      </c>
      <c r="BD33" s="136" t="n">
        <f aca="false">DDE("TWINDDE","RSFRecord","NGc11 cls")</f>
        <v>3.147</v>
      </c>
      <c r="BE33" s="136" t="e">
        <f aca="false">DDE("TWINDDE","RSFRecord","NGc11 LAST")</f>
        <v>#N/A</v>
      </c>
      <c r="BK33" s="136" t="n">
        <f aca="false">DDE("TWINDDE","RSFRecord","CLc11 LAST")</f>
        <v>0</v>
      </c>
      <c r="CC33" s="2" t="n">
        <v>-139</v>
      </c>
      <c r="CD33" s="2" t="n">
        <f aca="false">CC33/1000</f>
        <v>-0.139</v>
      </c>
      <c r="CE33" s="2"/>
      <c r="CF33" s="2"/>
    </row>
    <row r="34" customFormat="false" ht="12.75" hidden="false" customHeight="false" outlineLevel="0" collapsed="false">
      <c r="A34" s="136" t="n">
        <f aca="false">A33+1</f>
        <v>12</v>
      </c>
      <c r="B34" s="165" t="n">
        <v>37622</v>
      </c>
      <c r="C34" s="136" t="n">
        <f aca="false">DDE("REUTER","IDN","NGF3,PRIM ACT 1,1")</f>
        <v>3.18</v>
      </c>
      <c r="D34" s="136" t="n">
        <f aca="false">VLOOKUP($B34,curvesettle,2,FALSE())</f>
        <v>3.168</v>
      </c>
      <c r="E34" s="166" t="n">
        <f aca="false">K$10</f>
        <v>-0.0157499999999997</v>
      </c>
      <c r="F34" s="167" t="n">
        <f aca="false">IF(D$1="settle",D34,IF(D$1="EOL",D34+E34,IF(ISNUMBER(C34),C34,D34)))</f>
        <v>3.18</v>
      </c>
      <c r="G34" s="168" t="e">
        <f aca="false">IF($D$2="settle",H34,IF($D$2="straddles",K34,IF($D$2="custom",H34+I34,0)))</f>
        <v>#VALUE!</v>
      </c>
      <c r="H34" s="168" t="n">
        <f aca="false">VLOOKUP($B34,curvesettle,3,FALSE())</f>
        <v>0.548</v>
      </c>
      <c r="I34" s="168" t="n">
        <v>0</v>
      </c>
      <c r="J34" s="166" t="n">
        <v>1.16</v>
      </c>
      <c r="K34" s="168" t="e">
        <f aca="true">bsd(6,1,$F34,$F34,$O34-TODAY(),$H34,$P34,J34/2)</f>
        <v>#VALUE!</v>
      </c>
      <c r="L34" s="167" t="e">
        <f aca="true">bsd(1,3,$F34,$F34,$O34-TODAY(),$G34,$P34,J34/2)</f>
        <v>#VALUE!</v>
      </c>
      <c r="N34" s="2" t="n">
        <f aca="false">A34</f>
        <v>12</v>
      </c>
      <c r="O34" s="169" t="n">
        <f aca="false">VLOOKUP(B34,expiration,3,FALSE())</f>
        <v>37616</v>
      </c>
      <c r="P34" s="123" t="n">
        <f aca="false">VLOOKUP($B34,curvesettle,4,FALSE())</f>
        <v>0.0236848212477305</v>
      </c>
      <c r="Q34" s="170" t="n">
        <f aca="false">IF(Q$22="nymex",expiry!H74+1,B34)</f>
        <v>37622</v>
      </c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S34" s="171" t="e">
        <f aca="true">OSTRIP(F34,F34,Q34-TODAY(),B34-Q34,B35-Q34-1,1,P34,G34,R34,1,0,1,0)</f>
        <v>#NAME?</v>
      </c>
      <c r="AW34" s="168" t="n">
        <v>0.05</v>
      </c>
      <c r="BC34" s="168" t="n">
        <v>-0.05</v>
      </c>
      <c r="BD34" s="136" t="n">
        <f aca="false">DDE("TWINDDE","RSFRecord","NGc12 cls")</f>
        <v>3.146</v>
      </c>
      <c r="BE34" s="136" t="e">
        <f aca="false">DDE("TWINDDE","RSFRecord","NGc12 LAST")</f>
        <v>#N/A</v>
      </c>
      <c r="BK34" s="136" t="n">
        <f aca="false">DDE("TWINDDE","RSFRecord","CLc12 LAST")</f>
        <v>0</v>
      </c>
      <c r="CC34" s="2" t="n">
        <v>-162</v>
      </c>
      <c r="CD34" s="2" t="n">
        <f aca="false">CC34/1000</f>
        <v>-0.162</v>
      </c>
      <c r="CE34" s="2"/>
      <c r="CF34" s="2"/>
    </row>
    <row r="35" customFormat="false" ht="12.75" hidden="false" customHeight="false" outlineLevel="0" collapsed="false">
      <c r="A35" s="136" t="n">
        <f aca="false">A34+1</f>
        <v>13</v>
      </c>
      <c r="B35" s="165" t="n">
        <v>37653</v>
      </c>
      <c r="C35" s="136" t="n">
        <f aca="false">DDE("REUTER","IDN","NGG3,PRIM ACT 1,1")</f>
        <v>3.15</v>
      </c>
      <c r="D35" s="136" t="n">
        <f aca="false">VLOOKUP($B35,curvesettle,2,FALSE())</f>
        <v>3.118</v>
      </c>
      <c r="E35" s="166" t="n">
        <f aca="false">K$10</f>
        <v>-0.0157499999999997</v>
      </c>
      <c r="F35" s="167" t="n">
        <f aca="false">IF(D$1="settle",D35,IF(D$1="EOL",D35+E35,IF(ISNUMBER(C35),C35,D35)))</f>
        <v>3.15</v>
      </c>
      <c r="G35" s="168" t="e">
        <f aca="false">IF($D$2="settle",H35,IF($D$2="straddles",K35,IF($D$2="custom",H35+I35,0)))</f>
        <v>#VALUE!</v>
      </c>
      <c r="H35" s="168" t="n">
        <f aca="false">VLOOKUP($B35,curvesettle,3,FALSE())</f>
        <v>0.543</v>
      </c>
      <c r="I35" s="168" t="n">
        <v>0</v>
      </c>
      <c r="J35" s="166" t="n">
        <v>0.28</v>
      </c>
      <c r="K35" s="168" t="e">
        <f aca="true">bsd(6,1,$F35,$F35,$O35-TODAY(),$H35,$P35,J35/2)</f>
        <v>#VALUE!</v>
      </c>
      <c r="L35" s="167" t="e">
        <f aca="true">bsd(1,3,$F35,$F35,$O35-TODAY(),$G35,$P35,J35/2)</f>
        <v>#VALUE!</v>
      </c>
      <c r="N35" s="2" t="n">
        <f aca="false">A35</f>
        <v>13</v>
      </c>
      <c r="O35" s="169" t="n">
        <f aca="false">VLOOKUP(B35,expiration,3,FALSE())</f>
        <v>37649</v>
      </c>
      <c r="P35" s="123" t="n">
        <f aca="false">VLOOKUP($B35,curvesettle,4,FALSE())</f>
        <v>0.024485717541272</v>
      </c>
      <c r="Q35" s="170" t="n">
        <f aca="false">IF(Q$22="nymex",expiry!H75+1,B35)</f>
        <v>37653</v>
      </c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S35" s="171" t="e">
        <f aca="true">OSTRIP(F35,F35,Q35-TODAY(),B35-Q35,B36-Q35-1,1,P35,G35,R35,1,0,1,0)</f>
        <v>#NAME?</v>
      </c>
      <c r="AW35" s="168" t="n">
        <v>0.05</v>
      </c>
      <c r="BC35" s="168" t="n">
        <v>-0.05</v>
      </c>
      <c r="BD35" s="136" t="n">
        <f aca="false">DDE("TWINDDE","RSFRecord","NGc13 cls")</f>
        <v>3.157</v>
      </c>
      <c r="BE35" s="136" t="e">
        <f aca="false">DDE("TWINDDE","RSFRecord","NGc13 LAST")</f>
        <v>#N/A</v>
      </c>
      <c r="BK35" s="136" t="n">
        <f aca="false">DDE("TWINDDE","RSFRecord","CLc13 LAST")</f>
        <v>0</v>
      </c>
      <c r="CC35" s="2" t="n">
        <v>-162</v>
      </c>
      <c r="CD35" s="2" t="n">
        <f aca="false">CC35/1000</f>
        <v>-0.162</v>
      </c>
      <c r="CE35" s="2"/>
      <c r="CF35" s="2"/>
    </row>
    <row r="36" customFormat="false" ht="12.75" hidden="false" customHeight="false" outlineLevel="0" collapsed="false">
      <c r="A36" s="136" t="n">
        <f aca="false">A35+1</f>
        <v>14</v>
      </c>
      <c r="B36" s="165" t="n">
        <v>37681</v>
      </c>
      <c r="C36" s="136" t="n">
        <f aca="false">DDE("REUTER","IDN","NGH3,PRIM ACT 1,1")</f>
        <v>3.095</v>
      </c>
      <c r="D36" s="136" t="n">
        <f aca="false">VLOOKUP($B36,curvesettle,2,FALSE())</f>
        <v>3.063</v>
      </c>
      <c r="E36" s="166" t="n">
        <f aca="false">K$10</f>
        <v>-0.0157499999999997</v>
      </c>
      <c r="F36" s="167" t="n">
        <f aca="false">IF(D$1="settle",D36,IF(D$1="EOL",D36+E36,IF(ISNUMBER(C36),C36,D36)))</f>
        <v>3.095</v>
      </c>
      <c r="G36" s="168" t="e">
        <f aca="false">IF($D$2="settle",H36,IF($D$2="straddles",K36,IF($D$2="custom",H36+I36,0)))</f>
        <v>#VALUE!</v>
      </c>
      <c r="H36" s="168" t="n">
        <f aca="false">VLOOKUP($B36,curvesettle,3,FALSE())</f>
        <v>0.533</v>
      </c>
      <c r="I36" s="168" t="n">
        <v>0</v>
      </c>
      <c r="J36" s="166" t="n">
        <v>0.28</v>
      </c>
      <c r="K36" s="168" t="e">
        <f aca="true">bsd(6,1,$F36,$F36,$O36-TODAY(),$H36,$P36,J36/2)</f>
        <v>#VALUE!</v>
      </c>
      <c r="L36" s="167" t="e">
        <f aca="true">bsd(1,3,$F36,$F36,$O36-TODAY(),$G36,$P36,J36/2)</f>
        <v>#VALUE!</v>
      </c>
      <c r="N36" s="2" t="n">
        <f aca="false">A36</f>
        <v>14</v>
      </c>
      <c r="O36" s="169" t="n">
        <f aca="false">VLOOKUP(B36,expiration,3,FALSE())</f>
        <v>37677</v>
      </c>
      <c r="P36" s="123" t="n">
        <f aca="false">VLOOKUP($B36,curvesettle,4,FALSE())</f>
        <v>0.0253610969536586</v>
      </c>
      <c r="Q36" s="170" t="n">
        <f aca="false">IF(Q$22="nymex",expiry!H76+1,B36)</f>
        <v>37681</v>
      </c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S36" s="171" t="e">
        <f aca="true">OSTRIP(F36,F36,Q36-TODAY(),B36-Q36,B37-Q36-1,1,P36,G36,R36,1,0,1,0)</f>
        <v>#NAME?</v>
      </c>
      <c r="AW36" s="168" t="n">
        <v>0.05</v>
      </c>
      <c r="BC36" s="168" t="n">
        <v>-0.05</v>
      </c>
      <c r="BD36" s="136" t="n">
        <f aca="false">DDE("TWINDDE","RSFRecord","NGc14 cls")</f>
        <v>3.317</v>
      </c>
      <c r="BE36" s="136" t="e">
        <f aca="false">DDE("TWINDDE","RSFRecord","NGc14 LAST")</f>
        <v>#N/A</v>
      </c>
      <c r="CC36" s="2" t="n">
        <v>-157</v>
      </c>
      <c r="CD36" s="2" t="n">
        <f aca="false">CC36/1000</f>
        <v>-0.157</v>
      </c>
      <c r="CE36" s="2"/>
      <c r="CF36" s="2"/>
    </row>
    <row r="37" customFormat="false" ht="12.75" hidden="false" customHeight="false" outlineLevel="0" collapsed="false">
      <c r="A37" s="136" t="n">
        <f aca="false">A36+1</f>
        <v>15</v>
      </c>
      <c r="B37" s="165" t="n">
        <v>37712</v>
      </c>
      <c r="C37" s="136" t="n">
        <f aca="false">DDE("REUTER","IDN","NGJ3,PRIM ACT 1,1")</f>
        <v>2.93</v>
      </c>
      <c r="D37" s="136" t="n">
        <f aca="false">VLOOKUP($B37,curvesettle,2,FALSE())</f>
        <v>2.928</v>
      </c>
      <c r="E37" s="166" t="n">
        <f aca="false">K$10</f>
        <v>-0.0157499999999997</v>
      </c>
      <c r="F37" s="167" t="n">
        <f aca="false">IF(D$1="settle",D37,IF(D$1="EOL",D37+E37,IF(ISNUMBER(C37),C37,D37)))</f>
        <v>2.93</v>
      </c>
      <c r="G37" s="168" t="e">
        <f aca="false">IF($D$2="settle",H37,IF($D$2="straddles",K37,IF($D$2="custom",H37+I37,0)))</f>
        <v>#VALUE!</v>
      </c>
      <c r="H37" s="168" t="n">
        <f aca="false">VLOOKUP($B37,curvesettle,3,FALSE())</f>
        <v>0.503</v>
      </c>
      <c r="I37" s="168" t="n">
        <v>0</v>
      </c>
      <c r="J37" s="166" t="n">
        <v>0.28</v>
      </c>
      <c r="K37" s="168" t="e">
        <f aca="true">bsd(6,1,$F37,$F37,$O37-TODAY(),$H37,$P37,J37/2)</f>
        <v>#VALUE!</v>
      </c>
      <c r="L37" s="167" t="e">
        <f aca="true">bsd(1,3,$F37,$F37,$O37-TODAY(),$G37,$P37,J37/2)</f>
        <v>#VALUE!</v>
      </c>
      <c r="N37" s="2" t="n">
        <f aca="false">A37</f>
        <v>15</v>
      </c>
      <c r="O37" s="169" t="n">
        <f aca="false">VLOOKUP(B37,expiration,3,FALSE())</f>
        <v>37706</v>
      </c>
      <c r="P37" s="123" t="n">
        <f aca="false">VLOOKUP($B37,curvesettle,4,FALSE())</f>
        <v>0.0261517624519518</v>
      </c>
      <c r="Q37" s="170" t="n">
        <f aca="false">IF(Q$22="nymex",expiry!H77+1,B37)</f>
        <v>37712</v>
      </c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S37" s="171" t="e">
        <f aca="true">OSTRIP(F37,F37,Q37-TODAY(),B37-Q37,B38-Q37-1,1,P37,G37,R37,1,0,1,0)</f>
        <v>#NAME?</v>
      </c>
      <c r="AW37" s="168" t="n">
        <v>0.05</v>
      </c>
      <c r="BC37" s="168" t="n">
        <v>-0.05</v>
      </c>
      <c r="BD37" s="136" t="n">
        <f aca="false">DDE("TWINDDE","RSFRecord","NGc15 cls")</f>
        <v>3.478</v>
      </c>
      <c r="BE37" s="136" t="e">
        <f aca="false">DDE("TWINDDE","RSFRecord","NGc15 LAST")</f>
        <v>#N/A</v>
      </c>
      <c r="CC37" s="2" t="n">
        <v>-147</v>
      </c>
      <c r="CD37" s="2" t="n">
        <f aca="false">CC37/1000</f>
        <v>-0.147</v>
      </c>
      <c r="CE37" s="2"/>
      <c r="CF37" s="2"/>
    </row>
    <row r="38" customFormat="false" ht="12.75" hidden="false" customHeight="false" outlineLevel="0" collapsed="false">
      <c r="A38" s="136" t="n">
        <f aca="false">A37+1</f>
        <v>16</v>
      </c>
      <c r="B38" s="165" t="n">
        <v>37742</v>
      </c>
      <c r="C38" s="136" t="n">
        <f aca="false">DDE("REUTER","IDN","NGK3,PRIM ACT 1,1")</f>
        <v>2.94</v>
      </c>
      <c r="D38" s="136" t="n">
        <f aca="false">VLOOKUP($B38,curvesettle,2,FALSE())</f>
        <v>2.923</v>
      </c>
      <c r="E38" s="166" t="n">
        <f aca="false">K$10</f>
        <v>-0.0157499999999997</v>
      </c>
      <c r="F38" s="167" t="n">
        <f aca="false">IF(D$1="settle",D38,IF(D$1="EOL",D38+E38,IF(ISNUMBER(C38),C38,D38)))</f>
        <v>2.94</v>
      </c>
      <c r="G38" s="168" t="e">
        <f aca="false">IF($D$2="settle",H38,IF($D$2="straddles",K38,IF($D$2="custom",H38+I38,0)))</f>
        <v>#VALUE!</v>
      </c>
      <c r="H38" s="168" t="n">
        <f aca="false">VLOOKUP($B38,curvesettle,3,FALSE())</f>
        <v>0.425</v>
      </c>
      <c r="I38" s="168" t="n">
        <v>0</v>
      </c>
      <c r="J38" s="166" t="n">
        <v>0.28</v>
      </c>
      <c r="K38" s="168" t="e">
        <f aca="true">bsd(6,1,$F38,$F38,$O38-TODAY(),$H38,$P38,J38/2)</f>
        <v>#VALUE!</v>
      </c>
      <c r="L38" s="167" t="e">
        <f aca="true">bsd(1,3,$F38,$F38,$O38-TODAY(),$G38,$P38,J38/2)</f>
        <v>#VALUE!</v>
      </c>
      <c r="N38" s="2" t="n">
        <f aca="false">A38</f>
        <v>16</v>
      </c>
      <c r="O38" s="169" t="n">
        <f aca="false">VLOOKUP(B38,expiration,3,FALSE())</f>
        <v>37736</v>
      </c>
      <c r="P38" s="123" t="n">
        <f aca="false">VLOOKUP($B38,curvesettle,4,FALSE())</f>
        <v>0.0270235470347737</v>
      </c>
      <c r="Q38" s="170" t="n">
        <f aca="false">IF(Q$22="nymex",expiry!H78+1,B38)</f>
        <v>37742</v>
      </c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S38" s="171" t="e">
        <f aca="true">OSTRIP(F38,F38,Q38-TODAY(),B38-Q38,B39-Q38-1,1,P38,G38,R38,1,0,1,0)</f>
        <v>#NAME?</v>
      </c>
      <c r="AW38" s="168" t="n">
        <v>0.05</v>
      </c>
      <c r="BC38" s="168" t="n">
        <v>-0.05</v>
      </c>
      <c r="BD38" s="136" t="n">
        <f aca="false">DDE("TWINDDE","RSFRecord","NGc16 cls")</f>
        <v>3.555</v>
      </c>
      <c r="BE38" s="136" t="e">
        <f aca="false">DDE("TWINDDE","RSFRecord","NGc16 LAST")</f>
        <v>#N/A</v>
      </c>
      <c r="CC38" s="2" t="n">
        <v>-170</v>
      </c>
      <c r="CD38" s="2" t="n">
        <f aca="false">CC38/1000</f>
        <v>-0.17</v>
      </c>
      <c r="CE38" s="2"/>
      <c r="CF38" s="2"/>
    </row>
    <row r="39" customFormat="false" ht="12.75" hidden="false" customHeight="false" outlineLevel="0" collapsed="false">
      <c r="A39" s="136" t="n">
        <f aca="false">A38+1</f>
        <v>17</v>
      </c>
      <c r="B39" s="165" t="n">
        <v>37773</v>
      </c>
      <c r="C39" s="136" t="n">
        <f aca="false">DDE("REUTER","IDN","NGM3,PRIM ACT 1,1")</f>
        <v>2.923</v>
      </c>
      <c r="D39" s="136" t="n">
        <f aca="false">VLOOKUP($B39,curvesettle,2,FALSE())</f>
        <v>2.963</v>
      </c>
      <c r="E39" s="166" t="n">
        <f aca="false">K$10</f>
        <v>-0.0157499999999997</v>
      </c>
      <c r="F39" s="167" t="n">
        <f aca="false">IF(D$1="settle",D39,IF(D$1="EOL",D39+E39,IF(ISNUMBER(C39),C39,D39)))</f>
        <v>2.923</v>
      </c>
      <c r="G39" s="168" t="e">
        <f aca="false">IF($D$2="settle",H39,IF($D$2="straddles",K39,IF($D$2="custom",H39+I39,0)))</f>
        <v>#VALUE!</v>
      </c>
      <c r="H39" s="168" t="n">
        <f aca="false">VLOOKUP($B39,curvesettle,3,FALSE())</f>
        <v>0.41</v>
      </c>
      <c r="I39" s="168" t="n">
        <v>0</v>
      </c>
      <c r="J39" s="166" t="n">
        <v>0.28</v>
      </c>
      <c r="K39" s="168" t="e">
        <f aca="true">bsd(6,1,$F39,$F39,$O39-TODAY(),$H39,$P39,J39/2)</f>
        <v>#VALUE!</v>
      </c>
      <c r="L39" s="167" t="e">
        <f aca="true">bsd(1,3,$F39,$F39,$O39-TODAY(),$G39,$P39,J39/2)</f>
        <v>#VALUE!</v>
      </c>
      <c r="N39" s="2" t="n">
        <f aca="false">A39</f>
        <v>17</v>
      </c>
      <c r="O39" s="169" t="n">
        <f aca="false">VLOOKUP(B39,expiration,3,FALSE())</f>
        <v>37768</v>
      </c>
      <c r="P39" s="123" t="n">
        <f aca="false">VLOOKUP($B39,curvesettle,4,FALSE())</f>
        <v>0.0278505455310585</v>
      </c>
      <c r="Q39" s="170" t="n">
        <f aca="false">IF(Q$22="nymex",expiry!H79+1,B39)</f>
        <v>37773</v>
      </c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S39" s="171" t="e">
        <f aca="true">OSTRIP(F39,F39,Q39-TODAY(),B39-Q39,B40-Q39-1,1,P39,G39,R39,1,0,1,0)</f>
        <v>#NAME?</v>
      </c>
      <c r="AW39" s="168" t="n">
        <v>0.05</v>
      </c>
      <c r="BD39" s="136" t="n">
        <f aca="false">DDE("TWINDDE","RSFRecord","NGc17 cls")</f>
        <v>3.445</v>
      </c>
      <c r="BE39" s="136" t="e">
        <f aca="false">DDE("TWINDDE","RSFRecord","NGc17 LAST")</f>
        <v>#N/A</v>
      </c>
      <c r="CC39" s="2" t="n">
        <v>-165</v>
      </c>
      <c r="CD39" s="2" t="n">
        <f aca="false">CC39/1000</f>
        <v>-0.165</v>
      </c>
      <c r="CE39" s="2"/>
      <c r="CF39" s="2"/>
    </row>
    <row r="40" customFormat="false" ht="12.75" hidden="false" customHeight="false" outlineLevel="0" collapsed="false">
      <c r="A40" s="136" t="n">
        <f aca="false">A39+1</f>
        <v>18</v>
      </c>
      <c r="B40" s="165" t="n">
        <v>37803</v>
      </c>
      <c r="C40" s="136" t="n">
        <f aca="false">DDE("REUTER","IDN","NGN3,PRIM ACT 1,1")</f>
        <v>3.035</v>
      </c>
      <c r="D40" s="136" t="n">
        <f aca="false">VLOOKUP($B40,curvesettle,2,FALSE())</f>
        <v>3.003</v>
      </c>
      <c r="E40" s="166" t="n">
        <f aca="false">K$10</f>
        <v>-0.0157499999999997</v>
      </c>
      <c r="F40" s="167" t="n">
        <f aca="false">IF(D$1="settle",D40,IF(D$1="EOL",D40+E40,IF(ISNUMBER(C40),C40,D40)))</f>
        <v>3.035</v>
      </c>
      <c r="G40" s="168" t="e">
        <f aca="false">IF($D$2="settle",H40,IF($D$2="straddles",K40,IF($D$2="custom",H40+I40,0)))</f>
        <v>#VALUE!</v>
      </c>
      <c r="H40" s="168" t="n">
        <f aca="false">VLOOKUP($B40,curvesettle,3,FALSE())</f>
        <v>0.405</v>
      </c>
      <c r="I40" s="168" t="n">
        <v>0</v>
      </c>
      <c r="J40" s="166" t="n">
        <v>0.28</v>
      </c>
      <c r="K40" s="168" t="e">
        <f aca="true">bsd(6,1,$F40,$F40,$O40-TODAY(),$H40,$P40,J40/2)</f>
        <v>#VALUE!</v>
      </c>
      <c r="L40" s="167" t="e">
        <f aca="true">bsd(1,3,$F40,$F40,$O40-TODAY(),$G40,$P40,J40/2)</f>
        <v>#VALUE!</v>
      </c>
      <c r="N40" s="2" t="n">
        <f aca="false">A40</f>
        <v>18</v>
      </c>
      <c r="O40" s="169" t="n">
        <f aca="false">VLOOKUP(B40,expiration,3,FALSE())</f>
        <v>37797</v>
      </c>
      <c r="P40" s="123" t="n">
        <f aca="false">VLOOKUP($B40,curvesettle,4,FALSE())</f>
        <v>0.0287051108864018</v>
      </c>
      <c r="Q40" s="170" t="n">
        <f aca="false">IF(Q$22="nymex",expiry!H80+1,B40)</f>
        <v>37803</v>
      </c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S40" s="171" t="e">
        <f aca="true">OSTRIP(F40,F40,Q40-TODAY(),B40-Q40,B41-Q40-1,1,P40,G40,R40,1,0,1,0)</f>
        <v>#NAME?</v>
      </c>
      <c r="AW40" s="168" t="n">
        <v>0.05</v>
      </c>
      <c r="BD40" s="136" t="n">
        <f aca="false">DDE("TWINDDE","RSFRecord","NGc18 cls")</f>
        <v>3.318</v>
      </c>
      <c r="BE40" s="136" t="e">
        <f aca="false">DDE("TWINDDE","RSFRecord","NGc18 LAST")</f>
        <v>#N/A</v>
      </c>
      <c r="CC40" s="2" t="n">
        <v>-185</v>
      </c>
      <c r="CD40" s="2" t="n">
        <f aca="false">CC40/1000</f>
        <v>-0.185</v>
      </c>
      <c r="CE40" s="2"/>
      <c r="CF40" s="2"/>
    </row>
    <row r="41" customFormat="false" ht="12.75" hidden="false" customHeight="false" outlineLevel="0" collapsed="false">
      <c r="A41" s="136" t="n">
        <f aca="false">A40+1</f>
        <v>19</v>
      </c>
      <c r="B41" s="165" t="n">
        <v>37834</v>
      </c>
      <c r="C41" s="136" t="n">
        <f aca="false">DDE("REUTER","IDN","NGQ3,PRIM ACT 1,1")</f>
        <v>3.075</v>
      </c>
      <c r="D41" s="136" t="n">
        <f aca="false">VLOOKUP($B41,curvesettle,2,FALSE())</f>
        <v>3.045</v>
      </c>
      <c r="E41" s="166" t="n">
        <f aca="false">K$10</f>
        <v>-0.0157499999999997</v>
      </c>
      <c r="F41" s="167" t="n">
        <f aca="false">IF(D$1="settle",D41,IF(D$1="EOL",D41+E41,IF(ISNUMBER(C41),C41,D41)))</f>
        <v>3.075</v>
      </c>
      <c r="G41" s="168" t="e">
        <f aca="false">IF($D$2="settle",H41,IF($D$2="straddles",K41,IF($D$2="custom",H41+I41,0)))</f>
        <v>#VALUE!</v>
      </c>
      <c r="H41" s="168" t="n">
        <f aca="false">VLOOKUP($B41,curvesettle,3,FALSE())</f>
        <v>0.405</v>
      </c>
      <c r="I41" s="168" t="n">
        <v>0</v>
      </c>
      <c r="J41" s="166" t="n">
        <v>0.28</v>
      </c>
      <c r="K41" s="168" t="e">
        <f aca="true">bsd(6,1,$F41,$F41,$O41-TODAY(),$H41,$P41,J41/2)</f>
        <v>#VALUE!</v>
      </c>
      <c r="L41" s="167" t="e">
        <f aca="true">bsd(1,3,$F41,$F41,$O41-TODAY(),$G41,$P41,J41/2)</f>
        <v>#VALUE!</v>
      </c>
      <c r="N41" s="2" t="n">
        <f aca="false">A41</f>
        <v>19</v>
      </c>
      <c r="O41" s="169" t="n">
        <f aca="false">VLOOKUP(B41,expiration,3,FALSE())</f>
        <v>37830</v>
      </c>
      <c r="P41" s="123" t="n">
        <f aca="false">VLOOKUP($B41,curvesettle,4,FALSE())</f>
        <v>0.0295204531777356</v>
      </c>
      <c r="Q41" s="170" t="n">
        <f aca="false">IF(Q$22="nymex",expiry!H81+1,B41)</f>
        <v>37834</v>
      </c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S41" s="171" t="e">
        <f aca="true">OSTRIP(F41,F41,Q41-TODAY(),B41-Q41,B42-Q41-1,1,P41,G41,R41,1,0,1,0)</f>
        <v>#NAME?</v>
      </c>
      <c r="AW41" s="168" t="n">
        <v>0.1</v>
      </c>
      <c r="BD41" s="136" t="n">
        <f aca="false">DDE("TWINDDE","RSFRecord","NGc19 cls")</f>
        <v>3.138</v>
      </c>
      <c r="BE41" s="136" t="e">
        <f aca="false">DDE("TWINDDE","RSFRecord","NGc19 LAST")</f>
        <v>#N/A</v>
      </c>
      <c r="CC41" s="2" t="n">
        <v>-172</v>
      </c>
      <c r="CD41" s="2" t="n">
        <f aca="false">CC41/1000</f>
        <v>-0.172</v>
      </c>
      <c r="CE41" s="2"/>
      <c r="CF41" s="2"/>
    </row>
    <row r="42" customFormat="false" ht="12.75" hidden="false" customHeight="false" outlineLevel="0" collapsed="false">
      <c r="A42" s="136" t="n">
        <f aca="false">A41+1</f>
        <v>20</v>
      </c>
      <c r="B42" s="165" t="n">
        <v>37865</v>
      </c>
      <c r="C42" s="136" t="n">
        <f aca="false">DDE("REUTER","IDN","NGU3,PRIM ACT 1,1")</f>
        <v>3.075</v>
      </c>
      <c r="D42" s="136" t="n">
        <f aca="false">VLOOKUP($B42,curvesettle,2,FALSE())</f>
        <v>3.045</v>
      </c>
      <c r="E42" s="166" t="n">
        <f aca="false">K$10</f>
        <v>-0.0157499999999997</v>
      </c>
      <c r="F42" s="167" t="n">
        <f aca="false">IF(D$1="settle",D42,IF(D$1="EOL",D42+E42,IF(ISNUMBER(C42),C42,D42)))</f>
        <v>3.075</v>
      </c>
      <c r="G42" s="168" t="e">
        <f aca="false">IF($D$2="settle",H42,IF($D$2="straddles",K42,IF($D$2="custom",H42+I42,0)))</f>
        <v>#VALUE!</v>
      </c>
      <c r="H42" s="168" t="n">
        <f aca="false">VLOOKUP($B42,curvesettle,3,FALSE())</f>
        <v>0.405</v>
      </c>
      <c r="I42" s="168" t="n">
        <v>0</v>
      </c>
      <c r="J42" s="166" t="n">
        <v>0.28</v>
      </c>
      <c r="K42" s="168" t="e">
        <f aca="true">bsd(6,1,$F42,$F42,$O42-TODAY(),$H42,$P42,J42/2)</f>
        <v>#VALUE!</v>
      </c>
      <c r="L42" s="167" t="e">
        <f aca="true">bsd(1,3,$F42,$F42,$O42-TODAY(),$G42,$P42,J42/2)</f>
        <v>#VALUE!</v>
      </c>
      <c r="N42" s="2" t="n">
        <f aca="false">A42</f>
        <v>20</v>
      </c>
      <c r="O42" s="169" t="n">
        <f aca="false">VLOOKUP(B42,expiration,3,FALSE())</f>
        <v>37859</v>
      </c>
      <c r="P42" s="123" t="n">
        <f aca="false">VLOOKUP($B42,curvesettle,4,FALSE())</f>
        <v>0.0303463207924364</v>
      </c>
      <c r="Q42" s="170" t="n">
        <f aca="false">IF(Q$22="nymex",expiry!H82+1,B42)</f>
        <v>37865</v>
      </c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S42" s="171" t="e">
        <f aca="true">OSTRIP(F42,F42,Q42-TODAY(),B42-Q42,B43-Q42-1,1,P42,G42,R42,1,0,1,0)</f>
        <v>#NAME?</v>
      </c>
      <c r="AW42" s="168" t="n">
        <v>0.2</v>
      </c>
      <c r="BD42" s="136" t="n">
        <f aca="false">DDE("TWINDDE","RSFRecord","NGc20 cls")</f>
        <v>3.143</v>
      </c>
      <c r="BE42" s="136" t="e">
        <f aca="false">DDE("TWINDDE","RSFRecord","NGc20 LAST")</f>
        <v>#N/A</v>
      </c>
      <c r="CC42" s="2" t="n">
        <v>-172</v>
      </c>
      <c r="CD42" s="2" t="n">
        <f aca="false">CC42/1000</f>
        <v>-0.172</v>
      </c>
      <c r="CE42" s="2"/>
      <c r="CF42" s="2"/>
    </row>
    <row r="43" customFormat="false" ht="12.75" hidden="false" customHeight="false" outlineLevel="0" collapsed="false">
      <c r="A43" s="136" t="n">
        <f aca="false">A42+1</f>
        <v>21</v>
      </c>
      <c r="B43" s="165" t="n">
        <v>37895</v>
      </c>
      <c r="C43" s="136" t="n">
        <f aca="false">DDE("REUTER","IDN","NGV3,PRIM ACT 1,1")</f>
        <v>3.06</v>
      </c>
      <c r="D43" s="136" t="n">
        <f aca="false">VLOOKUP($B43,curvesettle,2,FALSE())</f>
        <v>3.085</v>
      </c>
      <c r="E43" s="166" t="n">
        <f aca="false">K$10</f>
        <v>-0.0157499999999997</v>
      </c>
      <c r="F43" s="167" t="n">
        <f aca="false">IF(D$1="settle",D43,IF(D$1="EOL",D43+E43,IF(ISNUMBER(C43),C43,D43)))</f>
        <v>3.06</v>
      </c>
      <c r="G43" s="168" t="e">
        <f aca="false">IF($D$2="settle",H43,IF($D$2="straddles",K43,IF($D$2="custom",H43+I43,0)))</f>
        <v>#VALUE!</v>
      </c>
      <c r="H43" s="168" t="n">
        <f aca="false">VLOOKUP($B43,curvesettle,3,FALSE())</f>
        <v>0.4</v>
      </c>
      <c r="I43" s="168" t="n">
        <v>0</v>
      </c>
      <c r="J43" s="166" t="n">
        <v>0.28</v>
      </c>
      <c r="K43" s="168" t="e">
        <f aca="true">bsd(6,1,$F43,$F43,$O43-TODAY(),$H43,$P43,J43/2)</f>
        <v>#VALUE!</v>
      </c>
      <c r="L43" s="167" t="e">
        <f aca="true">bsd(1,3,$F43,$F43,$O43-TODAY(),$G43,$P43,J43/2)</f>
        <v>#VALUE!</v>
      </c>
      <c r="N43" s="2" t="n">
        <f aca="false">A43</f>
        <v>21</v>
      </c>
      <c r="O43" s="169" t="n">
        <f aca="false">VLOOKUP(B43,expiration,3,FALSE())</f>
        <v>37889</v>
      </c>
      <c r="P43" s="123" t="n">
        <f aca="false">VLOOKUP($B43,curvesettle,4,FALSE())</f>
        <v>0.0311721886370702</v>
      </c>
      <c r="Q43" s="170" t="n">
        <f aca="false">IF(Q$22="nymex",expiry!H83+1,B43)</f>
        <v>37895</v>
      </c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S43" s="171" t="e">
        <f aca="true">OSTRIP(F43,F43,Q43-TODAY(),B43-Q43,B44-Q43-1,1,P43,G43,R43,1,0,1,0)</f>
        <v>#NAME?</v>
      </c>
      <c r="AW43" s="168" t="n">
        <v>0.3</v>
      </c>
      <c r="BD43" s="136" t="n">
        <f aca="false">DDE("TWINDDE","RSFRecord","NGc21 cls")</f>
        <v>3.171</v>
      </c>
      <c r="BE43" s="136" t="e">
        <f aca="false">DDE("TWINDDE","RSFRecord","NGc21 LAST")</f>
        <v>#N/A</v>
      </c>
      <c r="CC43" s="2" t="n">
        <v>-172</v>
      </c>
      <c r="CD43" s="2" t="n">
        <f aca="false">CC43/1000</f>
        <v>-0.172</v>
      </c>
      <c r="CE43" s="2"/>
      <c r="CF43" s="2"/>
    </row>
    <row r="44" customFormat="false" ht="12.75" hidden="false" customHeight="false" outlineLevel="0" collapsed="false">
      <c r="A44" s="136" t="n">
        <f aca="false">A43+1</f>
        <v>22</v>
      </c>
      <c r="B44" s="165" t="n">
        <v>37926</v>
      </c>
      <c r="C44" s="136" t="n">
        <f aca="false">DDE("REUTER","IDN","NGX3,PRIM ACT 1,1")</f>
        <v>3.21</v>
      </c>
      <c r="D44" s="136" t="n">
        <f aca="false">VLOOKUP($B44,curvesettle,2,FALSE())</f>
        <v>3.233</v>
      </c>
      <c r="E44" s="166" t="n">
        <f aca="false">K$10</f>
        <v>-0.0157499999999997</v>
      </c>
      <c r="F44" s="167" t="n">
        <f aca="false">IF(D$1="settle",D44,IF(D$1="EOL",D44+E44,IF(ISNUMBER(C44),C44,D44)))</f>
        <v>3.21</v>
      </c>
      <c r="G44" s="168" t="e">
        <f aca="false">IF($D$2="settle",H44,IF($D$2="straddles",K44,IF($D$2="custom",H44+I44,0)))</f>
        <v>#VALUE!</v>
      </c>
      <c r="H44" s="168" t="n">
        <f aca="false">VLOOKUP($B44,curvesettle,3,FALSE())</f>
        <v>0.4</v>
      </c>
      <c r="I44" s="168" t="n">
        <v>0</v>
      </c>
      <c r="J44" s="166" t="n">
        <v>0.28</v>
      </c>
      <c r="K44" s="168" t="e">
        <f aca="true">bsd(6,1,$F44,$F44,$O44-TODAY(),$H44,$P44,J44/2)</f>
        <v>#VALUE!</v>
      </c>
      <c r="L44" s="167" t="e">
        <f aca="true">bsd(1,3,$F44,$F44,$O44-TODAY(),$G44,$P44,J44/2)</f>
        <v>#VALUE!</v>
      </c>
      <c r="N44" s="2" t="n">
        <f aca="false">A44</f>
        <v>22</v>
      </c>
      <c r="O44" s="169" t="n">
        <f aca="false">VLOOKUP(B44,expiration,3,FALSE())</f>
        <v>37922</v>
      </c>
      <c r="P44" s="123" t="n">
        <f aca="false">VLOOKUP($B44,curvesettle,4,FALSE())</f>
        <v>0.0319422401822411</v>
      </c>
      <c r="Q44" s="170" t="n">
        <f aca="false">IF(Q$22="nymex",expiry!H84+1,B44)</f>
        <v>37926</v>
      </c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S44" s="171" t="e">
        <f aca="true">OSTRIP(F44,F44,Q44-TODAY(),B44-Q44,B45-Q44-1,1,P44,G44,R44,1,0,1,0)</f>
        <v>#NAME?</v>
      </c>
      <c r="AW44" s="168" t="n">
        <v>0.3</v>
      </c>
      <c r="BD44" s="136" t="n">
        <f aca="false">DDE("TWINDDE","RSFRecord","NGc22 cls")</f>
        <v>3.196</v>
      </c>
      <c r="BE44" s="136" t="e">
        <f aca="false">DDE("TWINDDE","RSFRecord","NGc22 LAST")</f>
        <v>#N/A</v>
      </c>
      <c r="BF44" s="130"/>
      <c r="CC44" s="2" t="n">
        <v>-172</v>
      </c>
      <c r="CD44" s="2" t="n">
        <f aca="false">CC44/1000</f>
        <v>-0.172</v>
      </c>
      <c r="CE44" s="2"/>
      <c r="CF44" s="2"/>
    </row>
    <row r="45" customFormat="false" ht="12.75" hidden="false" customHeight="false" outlineLevel="0" collapsed="false">
      <c r="A45" s="136" t="n">
        <f aca="false">A44+1</f>
        <v>23</v>
      </c>
      <c r="B45" s="165" t="n">
        <v>37956</v>
      </c>
      <c r="C45" s="136" t="n">
        <f aca="false">DDE("REUTER","IDN","NGZ3,PRIM ACT 1,1")</f>
        <v>3.19</v>
      </c>
      <c r="D45" s="136" t="n">
        <f aca="false">VLOOKUP($B45,curvesettle,2,FALSE())</f>
        <v>3.335</v>
      </c>
      <c r="E45" s="166" t="n">
        <f aca="false">K$10</f>
        <v>-0.0157499999999997</v>
      </c>
      <c r="F45" s="167" t="n">
        <f aca="false">IF(D$1="settle",D45,IF(D$1="EOL",D45+E45,IF(ISNUMBER(C45),C45,D45)))</f>
        <v>3.19</v>
      </c>
      <c r="G45" s="168" t="e">
        <f aca="false">IF($D$2="settle",H45,IF($D$2="straddles",K45,IF($D$2="custom",H45+I45,0)))</f>
        <v>#VALUE!</v>
      </c>
      <c r="H45" s="168" t="n">
        <f aca="false">VLOOKUP($B45,curvesettle,3,FALSE())</f>
        <v>0.398</v>
      </c>
      <c r="I45" s="168" t="n">
        <v>0</v>
      </c>
      <c r="J45" s="166" t="n">
        <v>0.28</v>
      </c>
      <c r="K45" s="168" t="e">
        <f aca="true">bsd(6,1,$F45,$F45,$O45-TODAY(),$H45,$P45,J45/2)</f>
        <v>#VALUE!</v>
      </c>
      <c r="L45" s="167" t="e">
        <f aca="true">bsd(1,3,$F45,$F45,$O45-TODAY(),$G45,$P45,J45/2)</f>
        <v>#VALUE!</v>
      </c>
      <c r="N45" s="2" t="n">
        <f aca="false">A45</f>
        <v>23</v>
      </c>
      <c r="O45" s="169" t="n">
        <f aca="false">VLOOKUP(B45,expiration,3,FALSE())</f>
        <v>37949</v>
      </c>
      <c r="P45" s="123" t="n">
        <f aca="false">VLOOKUP($B45,curvesettle,4,FALSE())</f>
        <v>0.0327014546988971</v>
      </c>
      <c r="Q45" s="170" t="n">
        <f aca="false">IF(Q$22="nymex",expiry!H85+1,B45)</f>
        <v>37956</v>
      </c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S45" s="171" t="e">
        <f aca="true">OSTRIP(F45,F45,Q45-TODAY(),B45-Q45,B46-Q45-1,1,P45,G45,R45,1,0,1,0)</f>
        <v>#NAME?</v>
      </c>
      <c r="AW45" s="168" t="n">
        <v>0.25</v>
      </c>
      <c r="BD45" s="136" t="n">
        <f aca="false">DDE("TWINDDE","RSFRecord","NGc23 cls")</f>
        <v>3.216</v>
      </c>
      <c r="BE45" s="136" t="e">
        <f aca="false">DDE("TWINDDE","RSFRecord","NGc23 LAST")</f>
        <v>#N/A</v>
      </c>
      <c r="BF45" s="130"/>
      <c r="CC45" s="2" t="n">
        <v>-172</v>
      </c>
      <c r="CD45" s="2" t="n">
        <f aca="false">CC45/1000</f>
        <v>-0.172</v>
      </c>
      <c r="CE45" s="2"/>
      <c r="CF45" s="2"/>
    </row>
    <row r="46" customFormat="false" ht="12.75" hidden="false" customHeight="false" outlineLevel="0" collapsed="false">
      <c r="A46" s="136" t="n">
        <f aca="false">A45+1</f>
        <v>24</v>
      </c>
      <c r="B46" s="165" t="n">
        <v>37987</v>
      </c>
      <c r="C46" s="136" t="n">
        <f aca="false">DDE("REUTER","IDN","NGF4,PRIM ACT 1,1")</f>
        <v>3.256</v>
      </c>
      <c r="D46" s="136" t="n">
        <f aca="false">VLOOKUP($B46,curvesettle,2,FALSE())</f>
        <v>3.42</v>
      </c>
      <c r="E46" s="166" t="n">
        <f aca="false">K$11</f>
        <v>-0.0244999999999997</v>
      </c>
      <c r="F46" s="167" t="n">
        <f aca="false">IF(D$1="settle",D46,IF(D$1="EOL",D46+E46,IF(ISNUMBER(C46),C46,D46)))</f>
        <v>3.256</v>
      </c>
      <c r="G46" s="168" t="e">
        <f aca="false">IF($D$2="settle",H46,IF($D$2="straddles",K46,IF($D$2="custom",H46+I46,0)))</f>
        <v>#VALUE!</v>
      </c>
      <c r="H46" s="168" t="n">
        <f aca="false">VLOOKUP($B46,curvesettle,3,FALSE())</f>
        <v>0.398</v>
      </c>
      <c r="I46" s="168" t="n">
        <v>0</v>
      </c>
      <c r="J46" s="166" t="n">
        <v>0.28</v>
      </c>
      <c r="K46" s="168" t="e">
        <f aca="true">bsd(6,1,$F46,$F46,$O46-TODAY(),$H46,$P46,J46/2)</f>
        <v>#VALUE!</v>
      </c>
      <c r="L46" s="167" t="e">
        <f aca="true">bsd(1,3,$F46,$F46,$O46-TODAY(),$G46,$P46,J46/2)</f>
        <v>#VALUE!</v>
      </c>
      <c r="N46" s="2" t="n">
        <f aca="false">A46</f>
        <v>24</v>
      </c>
      <c r="O46" s="169" t="n">
        <f aca="false">VLOOKUP(B46,expiration,3,FALSE())</f>
        <v>37981</v>
      </c>
      <c r="P46" s="123" t="n">
        <f aca="false">VLOOKUP($B46,curvesettle,4,FALSE())</f>
        <v>0.0334361786094948</v>
      </c>
      <c r="Q46" s="170" t="n">
        <f aca="false">IF(Q$22="nymex",expiry!H86+1,B46)</f>
        <v>37987</v>
      </c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S46" s="171" t="e">
        <f aca="true">OSTRIP(F46,F46,Q46-TODAY(),B46-Q46,B47-Q46-1,1,P46,G46,R46,1,0,1,0)</f>
        <v>#NAME?</v>
      </c>
      <c r="AW46" s="168" t="n">
        <v>0.05</v>
      </c>
      <c r="BD46" s="136" t="n">
        <f aca="false">DDE("TWINDDE","RSFRecord","NGc24 cls")</f>
        <v>3.216</v>
      </c>
      <c r="BE46" s="136" t="e">
        <f aca="false">DDE("TWINDDE","RSFRecord","NGc24 LAST")</f>
        <v>#N/A</v>
      </c>
      <c r="BF46" s="130"/>
      <c r="CC46" s="2" t="n">
        <v>-186</v>
      </c>
      <c r="CD46" s="2" t="n">
        <f aca="false">CC46/1000</f>
        <v>-0.186</v>
      </c>
      <c r="CE46" s="2"/>
      <c r="CF46" s="2"/>
    </row>
    <row r="47" customFormat="false" ht="12.75" hidden="false" customHeight="false" outlineLevel="0" collapsed="false">
      <c r="A47" s="136" t="n">
        <f aca="false">A46+1</f>
        <v>25</v>
      </c>
      <c r="B47" s="165" t="n">
        <v>38018</v>
      </c>
      <c r="C47" s="136" t="n">
        <f aca="false">DDE("REUTER","IDN","NGG4,PRIM ACT 1,1")</f>
        <v>3.35</v>
      </c>
      <c r="D47" s="136" t="n">
        <f aca="false">VLOOKUP($B47,curvesettle,2,FALSE())</f>
        <v>3.301</v>
      </c>
      <c r="E47" s="166" t="n">
        <f aca="false">K$11</f>
        <v>-0.0244999999999997</v>
      </c>
      <c r="F47" s="167" t="n">
        <f aca="false">IF(D$1="settle",D47,IF(D$1="EOL",D47+E47,IF(ISNUMBER(C47),C47,D47)))</f>
        <v>3.35</v>
      </c>
      <c r="G47" s="168" t="e">
        <f aca="false">IF($D$2="settle",H47,IF($D$2="straddles",K47,IF($D$2="custom",H47+I47,0)))</f>
        <v>#VALUE!</v>
      </c>
      <c r="H47" s="168" t="n">
        <f aca="false">VLOOKUP($B47,curvesettle,3,FALSE())</f>
        <v>0.37</v>
      </c>
      <c r="I47" s="168" t="n">
        <v>0</v>
      </c>
      <c r="J47" s="166" t="n">
        <v>0.28</v>
      </c>
      <c r="K47" s="168" t="e">
        <f aca="true">bsd(6,1,$F47,$F47,$O47-TODAY(),$H47,$P47,J47/2)</f>
        <v>#VALUE!</v>
      </c>
      <c r="L47" s="167" t="e">
        <f aca="true">bsd(1,3,$F47,$F47,$O47-TODAY(),$G47,$P47,J47/2)</f>
        <v>#VALUE!</v>
      </c>
      <c r="N47" s="2" t="n">
        <f aca="false">A47</f>
        <v>25</v>
      </c>
      <c r="O47" s="169" t="n">
        <f aca="false">VLOOKUP(B47,expiration,3,FALSE())</f>
        <v>38013</v>
      </c>
      <c r="P47" s="123" t="n">
        <f aca="false">VLOOKUP($B47,curvesettle,4,FALSE())</f>
        <v>0.0346389566727829</v>
      </c>
      <c r="Q47" s="170" t="n">
        <f aca="false">IF(Q$22="nymex",expiry!H87+1,B47)</f>
        <v>38018</v>
      </c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S47" s="171" t="e">
        <f aca="true">OSTRIP(F47,F47,Q47-TODAY(),B47-Q47,B48-Q47-1,1,P47,G47,R47,1,0,1,0)</f>
        <v>#NAME?</v>
      </c>
      <c r="AW47" s="168" t="n">
        <v>0.05</v>
      </c>
      <c r="BD47" s="136" t="n">
        <f aca="false">DDE("TWINDDE","RSFRecord","NGc25 cls")</f>
        <v>3.221</v>
      </c>
      <c r="BE47" s="136" t="e">
        <f aca="false">DDE("TWINDDE","RSFRecord","NGc25 LAST")</f>
        <v>#N/A</v>
      </c>
      <c r="BF47" s="130"/>
      <c r="CC47" s="2" t="n">
        <v>-181</v>
      </c>
      <c r="CD47" s="2" t="n">
        <f aca="false">CC47/1000</f>
        <v>-0.181</v>
      </c>
      <c r="CE47" s="2"/>
      <c r="CF47" s="2"/>
    </row>
    <row r="48" customFormat="false" ht="12.75" hidden="false" customHeight="false" outlineLevel="0" collapsed="false">
      <c r="A48" s="136" t="n">
        <f aca="false">A47+1</f>
        <v>26</v>
      </c>
      <c r="B48" s="165" t="n">
        <v>38047</v>
      </c>
      <c r="C48" s="136" t="n">
        <f aca="false">DDE("REUTER","IDN","NGH4,PRIM ACT 1,1")</f>
        <v>3.25</v>
      </c>
      <c r="D48" s="136" t="n">
        <f aca="false">VLOOKUP($B48,curvesettle,2,FALSE())</f>
        <v>3.25</v>
      </c>
      <c r="E48" s="166" t="n">
        <f aca="false">K$11</f>
        <v>-0.0244999999999997</v>
      </c>
      <c r="F48" s="167" t="n">
        <f aca="false">IF(D$1="settle",D48,IF(D$1="EOL",D48+E48,IF(ISNUMBER(C48),C48,D48)))</f>
        <v>3.25</v>
      </c>
      <c r="G48" s="168" t="e">
        <f aca="false">IF($D$2="settle",H48,IF($D$2="straddles",K48,IF($D$2="custom",H48+I48,0)))</f>
        <v>#VALUE!</v>
      </c>
      <c r="H48" s="168" t="n">
        <f aca="false">VLOOKUP($B48,curvesettle,3,FALSE())</f>
        <v>0.365</v>
      </c>
      <c r="I48" s="168" t="n">
        <v>0</v>
      </c>
      <c r="J48" s="166" t="n">
        <v>0.28</v>
      </c>
      <c r="K48" s="168" t="e">
        <f aca="true">bsd(6,1,$F48,$F48,$O48-TODAY(),$H48,$P48,J48/2)</f>
        <v>#VALUE!</v>
      </c>
      <c r="L48" s="167" t="e">
        <f aca="true">bsd(1,3,$F48,$F48,$O48-TODAY(),$G48,$P48,J48/2)</f>
        <v>#VALUE!</v>
      </c>
      <c r="N48" s="2" t="n">
        <f aca="false">A48</f>
        <v>26</v>
      </c>
      <c r="O48" s="169" t="n">
        <f aca="false">VLOOKUP(B48,expiration,3,FALSE())</f>
        <v>38041</v>
      </c>
      <c r="P48" s="123" t="n">
        <f aca="false">VLOOKUP($B48,curvesettle,4,FALSE())</f>
        <v>0.0354685691421812</v>
      </c>
      <c r="Q48" s="170" t="n">
        <f aca="false">IF(Q$22="nymex",expiry!H88+1,B48)</f>
        <v>38047</v>
      </c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S48" s="171" t="e">
        <f aca="true">OSTRIP(F48,F48,Q48-TODAY(),B48-Q48,B49-Q48-1,1,P48,G48,R48,1,0,1,0)</f>
        <v>#NAME?</v>
      </c>
      <c r="AW48" s="168" t="n">
        <v>0.05</v>
      </c>
      <c r="BD48" s="136" t="n">
        <f aca="false">DDE("TWINDDE","RSFRecord","NGc26 cls")</f>
        <v>3.371</v>
      </c>
      <c r="BE48" s="136" t="e">
        <f aca="false">DDE("TWINDDE","RSFRecord","NGc26 LAST")</f>
        <v>#N/A</v>
      </c>
      <c r="BF48" s="130"/>
      <c r="CC48" s="2" t="n">
        <v>-179</v>
      </c>
      <c r="CD48" s="2" t="n">
        <f aca="false">CC48/1000</f>
        <v>-0.179</v>
      </c>
      <c r="CE48" s="2"/>
      <c r="CF48" s="2"/>
    </row>
    <row r="49" customFormat="false" ht="12.75" hidden="false" customHeight="false" outlineLevel="0" collapsed="false">
      <c r="A49" s="136" t="n">
        <f aca="false">A48+1</f>
        <v>27</v>
      </c>
      <c r="B49" s="165" t="n">
        <f aca="false">DATE(YEAR(B48),MONTH(B48)+1,1)</f>
        <v>38078</v>
      </c>
      <c r="C49" s="136" t="n">
        <f aca="false">DDE("REUTER","IDN","NGJ4,PRIM ACT 1,1")</f>
        <v>3.08</v>
      </c>
      <c r="D49" s="136" t="n">
        <f aca="false">VLOOKUP($B49,curvesettle,2,FALSE())</f>
        <v>3.031</v>
      </c>
      <c r="E49" s="166" t="n">
        <f aca="false">K$11</f>
        <v>-0.0244999999999997</v>
      </c>
      <c r="F49" s="167" t="n">
        <f aca="false">IF(D$1="settle",D49,IF(D$1="EOL",D49+E49,IF(ISNUMBER(C49),C49,D49)))</f>
        <v>3.08</v>
      </c>
      <c r="G49" s="168" t="e">
        <f aca="false">IF($D$2="settle",H49,IF($D$2="straddles",K49,IF($D$2="custom",H49+I49,0)))</f>
        <v>#VALUE!</v>
      </c>
      <c r="H49" s="168" t="n">
        <f aca="false">VLOOKUP($B49,curvesettle,3,FALSE())</f>
        <v>0.35</v>
      </c>
      <c r="I49" s="168" t="n">
        <v>0</v>
      </c>
      <c r="J49" s="166" t="n">
        <v>0.28</v>
      </c>
      <c r="K49" s="168" t="e">
        <f aca="true">bsd(6,1,$F49,$F49,$O49-TODAY(),$H49,$P49,J49/2)</f>
        <v>#VALUE!</v>
      </c>
      <c r="L49" s="167" t="e">
        <f aca="true">bsd(1,3,$F49,$F49,$O49-TODAY(),$G49,$P49,J49/2)</f>
        <v>#VALUE!</v>
      </c>
      <c r="N49" s="2" t="n">
        <f aca="false">A49</f>
        <v>27</v>
      </c>
      <c r="O49" s="169" t="n">
        <f aca="false">VLOOKUP(B49,expiration,3,FALSE())</f>
        <v>38072</v>
      </c>
      <c r="P49" s="123" t="n">
        <f aca="false">VLOOKUP($B49,curvesettle,4,FALSE())</f>
        <v>0.0362446584359817</v>
      </c>
      <c r="Q49" s="170" t="n">
        <f aca="false">IF(Q$22="nymex",expiry!H89+1,B49)</f>
        <v>38078</v>
      </c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S49" s="171" t="e">
        <f aca="true">OSTRIP(F49,F49,Q49-TODAY(),B49-Q49,B50-Q49-1,1,P49,G49,R49,1,0,1,0)</f>
        <v>#NAME?</v>
      </c>
      <c r="AW49" s="168" t="n">
        <v>0.05</v>
      </c>
      <c r="BA49" s="167"/>
      <c r="BB49" s="169"/>
      <c r="BC49" s="126"/>
      <c r="BD49" s="136" t="n">
        <f aca="false">DDE("TWINDDE","RSFRecord","NGc27 cls")</f>
        <v>3.526</v>
      </c>
      <c r="BE49" s="136" t="e">
        <f aca="false">DDE("TWINDDE","RSFRecord","NGc27 LAST")</f>
        <v>#N/A</v>
      </c>
      <c r="BF49" s="130"/>
      <c r="CC49" s="2" t="n">
        <v>-179</v>
      </c>
      <c r="CD49" s="2" t="n">
        <f aca="false">CC49/1000</f>
        <v>-0.179</v>
      </c>
      <c r="CE49" s="2"/>
      <c r="CF49" s="2"/>
    </row>
    <row r="50" customFormat="false" ht="12.75" hidden="false" customHeight="false" outlineLevel="0" collapsed="false">
      <c r="A50" s="136" t="n">
        <f aca="false">A49+1</f>
        <v>28</v>
      </c>
      <c r="B50" s="165" t="n">
        <f aca="false">DATE(YEAR(B49),MONTH(B49)+1,1)</f>
        <v>38108</v>
      </c>
      <c r="C50" s="136" t="n">
        <f aca="false">DDE("REUTER","IDN","NGK4,PRIM ACT 1,1")</f>
        <v>3.083</v>
      </c>
      <c r="D50" s="136" t="n">
        <f aca="false">VLOOKUP($B50,curvesettle,2,FALSE())</f>
        <v>3.034</v>
      </c>
      <c r="E50" s="166" t="n">
        <f aca="false">K$11</f>
        <v>-0.0244999999999997</v>
      </c>
      <c r="F50" s="167" t="n">
        <f aca="false">IF(D$1="settle",D50,IF(D$1="EOL",D50+E50,IF(ISNUMBER(C50),C50,D50)))</f>
        <v>3.083</v>
      </c>
      <c r="G50" s="168" t="e">
        <f aca="false">IF($D$2="settle",H50,IF($D$2="straddles",K50,IF($D$2="custom",H50+I50,0)))</f>
        <v>#VALUE!</v>
      </c>
      <c r="H50" s="168" t="n">
        <f aca="false">VLOOKUP($B50,curvesettle,3,FALSE())</f>
        <v>0.32</v>
      </c>
      <c r="I50" s="168" t="n">
        <v>0</v>
      </c>
      <c r="J50" s="166" t="n">
        <v>0.28</v>
      </c>
      <c r="K50" s="168" t="e">
        <f aca="true">bsd(6,1,$F50,$F50,$O50-TODAY(),$H50,$P50,J50/2)</f>
        <v>#VALUE!</v>
      </c>
      <c r="L50" s="167" t="e">
        <f aca="true">bsd(1,3,$F50,$F50,$O50-TODAY(),$G50,$P50,J50/2)</f>
        <v>#VALUE!</v>
      </c>
      <c r="N50" s="2" t="n">
        <f aca="false">A50</f>
        <v>28</v>
      </c>
      <c r="O50" s="169" t="n">
        <f aca="false">VLOOKUP(B50,expiration,3,FALSE())</f>
        <v>38104</v>
      </c>
      <c r="P50" s="123" t="n">
        <f aca="false">VLOOKUP($B50,curvesettle,4,FALSE())</f>
        <v>0.0370210690335231</v>
      </c>
      <c r="Q50" s="170" t="n">
        <f aca="false">IF(Q$22="nymex",expiry!H90+1,B50)</f>
        <v>38108</v>
      </c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S50" s="171" t="e">
        <f aca="true">OSTRIP(F50,F50,Q50-TODAY(),B50-Q50,B51-Q50-1,1,P50,G50,R50,1,0,1,0)</f>
        <v>#NAME?</v>
      </c>
      <c r="AW50" s="168" t="n">
        <v>0.05</v>
      </c>
      <c r="BA50" s="167"/>
      <c r="BB50" s="169"/>
      <c r="BC50" s="126"/>
      <c r="BD50" s="136" t="n">
        <f aca="false">DDE("TWINDDE","RSFRecord","NGc28 cls")</f>
        <v>3.581</v>
      </c>
      <c r="BE50" s="136" t="e">
        <f aca="false">DDE("TWINDDE","RSFRecord","NGc28 LAST")</f>
        <v>#N/A</v>
      </c>
      <c r="BF50" s="130"/>
      <c r="CC50" s="2" t="n">
        <v>-169</v>
      </c>
      <c r="CD50" s="2" t="n">
        <f aca="false">CC50/1000</f>
        <v>-0.169</v>
      </c>
      <c r="CE50" s="2"/>
      <c r="CF50" s="2"/>
    </row>
    <row r="51" customFormat="false" ht="12.75" hidden="false" customHeight="false" outlineLevel="0" collapsed="false">
      <c r="A51" s="136" t="n">
        <f aca="false">A50+1</f>
        <v>29</v>
      </c>
      <c r="B51" s="165" t="n">
        <f aca="false">DATE(YEAR(B50),MONTH(B50)+1,1)</f>
        <v>38139</v>
      </c>
      <c r="C51" s="136" t="n">
        <f aca="false">DDE("REUTER","IDN","NGM4,PRIM ACT 1,1")</f>
        <v>3.123</v>
      </c>
      <c r="D51" s="136" t="n">
        <f aca="false">VLOOKUP($B51,curvesettle,2,FALSE())</f>
        <v>3.074</v>
      </c>
      <c r="E51" s="166" t="n">
        <f aca="false">K$11</f>
        <v>-0.0244999999999997</v>
      </c>
      <c r="F51" s="167" t="n">
        <f aca="false">IF(D$1="settle",D51,IF(D$1="EOL",D51+E51,IF(ISNUMBER(C51),C51,D51)))</f>
        <v>3.123</v>
      </c>
      <c r="G51" s="168" t="e">
        <f aca="false">IF($D$2="settle",H51,IF($D$2="straddles",K51,IF($D$2="custom",H51+I51,0)))</f>
        <v>#VALUE!</v>
      </c>
      <c r="H51" s="168" t="n">
        <f aca="false">VLOOKUP($B51,curvesettle,3,FALSE())</f>
        <v>0.315</v>
      </c>
      <c r="I51" s="168" t="n">
        <v>0</v>
      </c>
      <c r="J51" s="166" t="n">
        <v>0.28</v>
      </c>
      <c r="K51" s="168" t="e">
        <f aca="true">bsd(6,1,$F51,$F51,$O51-TODAY(),$H51,$P51,J51/2)</f>
        <v>#VALUE!</v>
      </c>
      <c r="L51" s="167" t="e">
        <f aca="true">bsd(1,3,$F51,$F51,$O51-TODAY(),$G51,$P51,J51/2)</f>
        <v>#VALUE!</v>
      </c>
      <c r="N51" s="2" t="n">
        <f aca="false">A51</f>
        <v>29</v>
      </c>
      <c r="O51" s="169" t="n">
        <f aca="false">VLOOKUP(B51,expiration,3,FALSE())</f>
        <v>38132</v>
      </c>
      <c r="P51" s="123" t="n">
        <f aca="false">VLOOKUP($B51,curvesettle,4,FALSE())</f>
        <v>0.037717515784331</v>
      </c>
      <c r="Q51" s="170" t="n">
        <f aca="false">IF(Q$22="nymex",expiry!H91+1,B51)</f>
        <v>38139</v>
      </c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S51" s="171" t="e">
        <f aca="true">OSTRIP(F51,F51,Q51-TODAY(),B51-Q51,B52-Q51-1,1,P51,G51,R51,1,0,1,0)</f>
        <v>#NAME?</v>
      </c>
      <c r="AW51" s="168" t="n">
        <v>0.05</v>
      </c>
      <c r="BA51" s="167"/>
      <c r="BB51" s="169"/>
      <c r="BC51" s="126"/>
      <c r="BD51" s="136" t="n">
        <f aca="false">DDE("TWINDDE","RSFRecord","NGc29 cls")</f>
        <v>3.467</v>
      </c>
      <c r="BE51" s="136" t="e">
        <f aca="false">DDE("TWINDDE","RSFRecord","NGc29 LAST")</f>
        <v>#N/A</v>
      </c>
      <c r="BF51" s="130"/>
      <c r="CC51" s="2" t="n">
        <v>-164</v>
      </c>
      <c r="CD51" s="2" t="n">
        <f aca="false">CC51/1000</f>
        <v>-0.164</v>
      </c>
      <c r="CE51" s="2"/>
      <c r="CF51" s="2"/>
    </row>
    <row r="52" customFormat="false" ht="12.75" hidden="false" customHeight="false" outlineLevel="0" collapsed="false">
      <c r="A52" s="136" t="n">
        <f aca="false">A51+1</f>
        <v>30</v>
      </c>
      <c r="B52" s="165" t="n">
        <f aca="false">DATE(YEAR(B51),MONTH(B51)+1,1)</f>
        <v>38169</v>
      </c>
      <c r="C52" s="136" t="n">
        <f aca="false">DDE("REUTER","IDN","NGN4,PRIM ACT 1,1")</f>
        <v>3.163</v>
      </c>
      <c r="D52" s="136" t="n">
        <f aca="false">VLOOKUP($B52,curvesettle,2,FALSE())</f>
        <v>3.114</v>
      </c>
      <c r="E52" s="166" t="n">
        <f aca="false">K$11</f>
        <v>-0.0244999999999997</v>
      </c>
      <c r="F52" s="167" t="n">
        <f aca="false">IF(D$1="settle",D52,IF(D$1="EOL",D52+E52,IF(ISNUMBER(C52),C52,D52)))</f>
        <v>3.163</v>
      </c>
      <c r="G52" s="168" t="e">
        <f aca="false">IF($D$2="settle",H52,IF($D$2="straddles",K52,IF($D$2="custom",H52+I52,0)))</f>
        <v>#VALUE!</v>
      </c>
      <c r="H52" s="168" t="n">
        <f aca="false">VLOOKUP($B52,curvesettle,3,FALSE())</f>
        <v>0.315</v>
      </c>
      <c r="I52" s="168" t="n">
        <v>0</v>
      </c>
      <c r="J52" s="166" t="n">
        <v>0.28</v>
      </c>
      <c r="K52" s="168" t="e">
        <f aca="true">bsd(6,1,$F52,$F52,$O52-TODAY(),$H52,$P52,J52/2)</f>
        <v>#VALUE!</v>
      </c>
      <c r="L52" s="167" t="e">
        <f aca="true">bsd(1,3,$F52,$F52,$O52-TODAY(),$G52,$P52,J52/2)</f>
        <v>#VALUE!</v>
      </c>
      <c r="N52" s="2" t="n">
        <f aca="false">A52</f>
        <v>30</v>
      </c>
      <c r="O52" s="169" t="n">
        <f aca="false">VLOOKUP(B52,expiration,3,FALSE())</f>
        <v>38163</v>
      </c>
      <c r="P52" s="123" t="n">
        <f aca="false">VLOOKUP($B52,curvesettle,4,FALSE())</f>
        <v>0.038437177597991</v>
      </c>
      <c r="Q52" s="170" t="n">
        <f aca="false">IF(Q$22="nymex",expiry!H92+1,B52)</f>
        <v>38169</v>
      </c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S52" s="171" t="e">
        <f aca="true">OSTRIP(F52,F52,Q52-TODAY(),B52-Q52,B53-Q52-1,1,P52,G52,R52,1,0,1,0)</f>
        <v>#NAME?</v>
      </c>
      <c r="AW52" s="168" t="n">
        <v>0.05</v>
      </c>
      <c r="BA52" s="167"/>
      <c r="BB52" s="169"/>
      <c r="BC52" s="126"/>
      <c r="BD52" s="136" t="n">
        <f aca="false">DDE("TWINDDE","RSFRecord","NGc30 cls")</f>
        <v>3.335</v>
      </c>
      <c r="BE52" s="136" t="e">
        <f aca="false">DDE("TWINDDE","RSFRecord","NGc30 LAST")</f>
        <v>#N/A</v>
      </c>
      <c r="BF52" s="130"/>
      <c r="CC52" s="2" t="n">
        <v>-155</v>
      </c>
      <c r="CD52" s="2" t="n">
        <f aca="false">CC52/1000</f>
        <v>-0.155</v>
      </c>
      <c r="CE52" s="2"/>
      <c r="CF52" s="2"/>
    </row>
    <row r="53" customFormat="false" ht="12.75" hidden="false" customHeight="false" outlineLevel="0" collapsed="false">
      <c r="A53" s="136" t="n">
        <f aca="false">A52+1</f>
        <v>31</v>
      </c>
      <c r="B53" s="165" t="n">
        <f aca="false">DATE(YEAR(B52),MONTH(B52)+1,1)</f>
        <v>38200</v>
      </c>
      <c r="C53" s="136" t="n">
        <f aca="false">DDE("REUTER","IDN","NGQ4,PRIM ACT 1,1")</f>
        <v>3.213</v>
      </c>
      <c r="D53" s="136" t="n">
        <f aca="false">VLOOKUP($B53,curvesettle,2,FALSE())</f>
        <v>3.164</v>
      </c>
      <c r="E53" s="166" t="n">
        <f aca="false">K$11</f>
        <v>-0.0244999999999997</v>
      </c>
      <c r="F53" s="167" t="n">
        <f aca="false">IF(D$1="settle",D53,IF(D$1="EOL",D53+E53,IF(ISNUMBER(C53),C53,D53)))</f>
        <v>3.213</v>
      </c>
      <c r="G53" s="168" t="e">
        <f aca="false">IF($D$2="settle",H53,IF($D$2="straddles",K53,IF($D$2="custom",H53+I53,0)))</f>
        <v>#VALUE!</v>
      </c>
      <c r="H53" s="168" t="n">
        <f aca="false">VLOOKUP($B53,curvesettle,3,FALSE())</f>
        <v>0.315</v>
      </c>
      <c r="I53" s="168" t="n">
        <v>0</v>
      </c>
      <c r="J53" s="166" t="n">
        <v>0.28</v>
      </c>
      <c r="K53" s="168" t="e">
        <f aca="true">bsd(6,1,$F53,$F53,$O53-TODAY(),$H53,$P53,J53/2)</f>
        <v>#VALUE!</v>
      </c>
      <c r="L53" s="167" t="e">
        <f aca="true">bsd(1,3,$F53,$F53,$O53-TODAY(),$G53,$P53,J53/2)</f>
        <v>#VALUE!</v>
      </c>
      <c r="N53" s="2" t="n">
        <f aca="false">A53</f>
        <v>31</v>
      </c>
      <c r="O53" s="169" t="n">
        <f aca="false">VLOOKUP(B53,expiration,3,FALSE())</f>
        <v>38195</v>
      </c>
      <c r="P53" s="123" t="n">
        <f aca="false">VLOOKUP($B53,curvesettle,4,FALSE())</f>
        <v>0.0390982280263858</v>
      </c>
      <c r="Q53" s="170" t="n">
        <f aca="false">IF(Q$22="nymex",expiry!H93+1,B53)</f>
        <v>38200</v>
      </c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S53" s="171" t="e">
        <f aca="true">OSTRIP(F53,F53,Q53-TODAY(),B53-Q53,B54-Q53-1,1,P53,G53,R53,1,0,1,0)</f>
        <v>#NAME?</v>
      </c>
      <c r="AW53" s="168" t="n">
        <v>0.1</v>
      </c>
      <c r="BA53" s="167"/>
      <c r="BB53" s="169"/>
      <c r="BC53" s="126"/>
      <c r="BD53" s="136" t="n">
        <f aca="false">DDE("TWINDDE","RSFRecord","NGc31 cls")</f>
        <v>3.137</v>
      </c>
      <c r="BE53" s="136" t="e">
        <f aca="false">DDE("TWINDDE","RSFRecord","NGc31 LAST")</f>
        <v>#N/A</v>
      </c>
      <c r="BF53" s="130"/>
      <c r="CC53" s="2" t="n">
        <v>-155</v>
      </c>
      <c r="CD53" s="2" t="n">
        <f aca="false">CC53/1000</f>
        <v>-0.155</v>
      </c>
      <c r="CE53" s="2"/>
      <c r="CF53" s="2"/>
    </row>
    <row r="54" customFormat="false" ht="12.75" hidden="false" customHeight="false" outlineLevel="0" collapsed="false">
      <c r="A54" s="136" t="n">
        <f aca="false">A53+1</f>
        <v>32</v>
      </c>
      <c r="B54" s="165" t="n">
        <f aca="false">DATE(YEAR(B53),MONTH(B53)+1,1)</f>
        <v>38231</v>
      </c>
      <c r="C54" s="136" t="n">
        <f aca="false">DDE("REUTER","IDN","NGU4,PRIM ACT 1,1")</f>
        <v>3.198</v>
      </c>
      <c r="D54" s="136" t="n">
        <f aca="false">VLOOKUP($B54,curvesettle,2,FALSE())</f>
        <v>3.149</v>
      </c>
      <c r="E54" s="166" t="n">
        <f aca="false">K$11</f>
        <v>-0.0244999999999997</v>
      </c>
      <c r="F54" s="167" t="n">
        <f aca="false">IF(D$1="settle",D54,IF(D$1="EOL",D54+E54,IF(ISNUMBER(C54),C54,D54)))</f>
        <v>3.198</v>
      </c>
      <c r="G54" s="168" t="e">
        <f aca="false">IF($D$2="settle",H54,IF($D$2="straddles",K54,IF($D$2="custom",H54+I54,0)))</f>
        <v>#VALUE!</v>
      </c>
      <c r="H54" s="168" t="n">
        <f aca="false">VLOOKUP($B54,curvesettle,3,FALSE())</f>
        <v>0.315</v>
      </c>
      <c r="I54" s="168" t="n">
        <v>0</v>
      </c>
      <c r="J54" s="166" t="n">
        <v>0.28</v>
      </c>
      <c r="K54" s="168" t="e">
        <f aca="true">bsd(6,1,$F54,$F54,$O54-TODAY(),$H54,$P54,J54/2)</f>
        <v>#VALUE!</v>
      </c>
      <c r="N54" s="2" t="n">
        <f aca="false">A54</f>
        <v>32</v>
      </c>
      <c r="O54" s="169" t="n">
        <f aca="false">VLOOKUP(B54,expiration,3,FALSE())</f>
        <v>38225</v>
      </c>
      <c r="P54" s="123" t="n">
        <f aca="false">VLOOKUP($B54,curvesettle,4,FALSE())</f>
        <v>0.0397424893326637</v>
      </c>
      <c r="Q54" s="170" t="n">
        <f aca="false">IF(Q$22="nymex",expiry!H94+1,B54)</f>
        <v>38231</v>
      </c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S54" s="171" t="e">
        <f aca="true">OSTRIP(F54,F54,Q54-TODAY(),B54-Q54,B55-Q54-1,1,P54,G54,R54,1,0,1,0)</f>
        <v>#NAME?</v>
      </c>
      <c r="AW54" s="168" t="n">
        <v>0.2</v>
      </c>
      <c r="BA54" s="167"/>
      <c r="BB54" s="169"/>
      <c r="BC54" s="126"/>
      <c r="BD54" s="136" t="n">
        <f aca="false">DDE("TWINDDE","RSFRecord","NGc32 cls")</f>
        <v>3.133</v>
      </c>
      <c r="BE54" s="136" t="e">
        <f aca="false">DDE("TWINDDE","RSFRecord","NGc32 LAST")</f>
        <v>#N/A</v>
      </c>
      <c r="BF54" s="130"/>
      <c r="CC54" s="2" t="n">
        <v>-155</v>
      </c>
      <c r="CD54" s="2" t="n">
        <f aca="false">CC54/1000</f>
        <v>-0.155</v>
      </c>
      <c r="CE54" s="2"/>
      <c r="CF54" s="2"/>
    </row>
    <row r="55" customFormat="false" ht="12.75" hidden="false" customHeight="false" outlineLevel="0" collapsed="false">
      <c r="A55" s="136" t="n">
        <f aca="false">A54+1</f>
        <v>33</v>
      </c>
      <c r="B55" s="165" t="n">
        <f aca="false">DATE(YEAR(B54),MONTH(B54)+1,1)</f>
        <v>38261</v>
      </c>
      <c r="C55" s="136" t="n">
        <f aca="false">DDE("REUTER","IDN","NGV4,PRIM ACT 1,1")</f>
        <v>3.213</v>
      </c>
      <c r="D55" s="136" t="n">
        <f aca="false">VLOOKUP($B55,curvesettle,2,FALSE())</f>
        <v>3.164</v>
      </c>
      <c r="E55" s="166" t="n">
        <f aca="false">K$11</f>
        <v>-0.0244999999999997</v>
      </c>
      <c r="F55" s="167" t="n">
        <f aca="false">IF(D$1="settle",D55,IF(D$1="EOL",D55+E55,IF(ISNUMBER(C55),C55,D55)))</f>
        <v>3.213</v>
      </c>
      <c r="G55" s="168" t="e">
        <f aca="false">IF($D$2="settle",H55,IF($D$2="straddles",K55,IF($D$2="custom",H55+I55,0)))</f>
        <v>#VALUE!</v>
      </c>
      <c r="H55" s="168" t="n">
        <f aca="false">VLOOKUP($B55,curvesettle,3,FALSE())</f>
        <v>0.315</v>
      </c>
      <c r="I55" s="168" t="n">
        <v>0</v>
      </c>
      <c r="J55" s="166" t="n">
        <v>0.28</v>
      </c>
      <c r="K55" s="168" t="e">
        <f aca="true">bsd(6,1,$F55,$F55,$O55-TODAY(),$H55,$P55,J55/2)</f>
        <v>#VALUE!</v>
      </c>
      <c r="N55" s="2" t="n">
        <f aca="false">A55</f>
        <v>33</v>
      </c>
      <c r="O55" s="169" t="n">
        <f aca="false">VLOOKUP(B55,expiration,3,FALSE())</f>
        <v>38257</v>
      </c>
      <c r="P55" s="123" t="n">
        <f aca="false">VLOOKUP($B55,curvesettle,4,FALSE())</f>
        <v>0.0403867507782238</v>
      </c>
      <c r="Q55" s="170" t="n">
        <f aca="false">IF(Q$22="nymex",expiry!H95+1,B55)</f>
        <v>38261</v>
      </c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S55" s="171" t="e">
        <f aca="true">OSTRIP(F55,F55,Q55-TODAY(),B55-Q55,B56-Q55-1,1,P55,G55,R55,1,0,1,0)</f>
        <v>#NAME?</v>
      </c>
      <c r="AW55" s="168" t="n">
        <v>0.3</v>
      </c>
      <c r="BA55" s="167"/>
      <c r="BB55" s="169"/>
      <c r="BC55" s="126"/>
      <c r="BD55" s="136" t="n">
        <f aca="false">DDE("TWINDDE","RSFRecord","NGc33 cls")</f>
        <v>3.165</v>
      </c>
      <c r="BE55" s="136" t="e">
        <f aca="false">DDE("TWINDDE","RSFRecord","NGc33 LAST")</f>
        <v>#N/A</v>
      </c>
      <c r="BF55" s="130"/>
      <c r="CC55" s="2" t="n">
        <v>-150</v>
      </c>
      <c r="CD55" s="2" t="n">
        <f aca="false">CC55/1000</f>
        <v>-0.15</v>
      </c>
      <c r="CE55" s="2"/>
      <c r="CF55" s="2"/>
    </row>
    <row r="56" customFormat="false" ht="12.75" hidden="false" customHeight="false" outlineLevel="0" collapsed="false">
      <c r="A56" s="136" t="n">
        <f aca="false">A55+1</f>
        <v>34</v>
      </c>
      <c r="B56" s="165" t="n">
        <f aca="false">DATE(YEAR(B55),MONTH(B55)+1,1)</f>
        <v>38292</v>
      </c>
      <c r="C56" s="136" t="n">
        <f aca="false">DDE("REUTER","IDN","NGX4,PRIM ACT 1,1")</f>
        <v>3.358</v>
      </c>
      <c r="D56" s="136" t="n">
        <f aca="false">VLOOKUP($B56,curvesettle,2,FALSE())</f>
        <v>3.309</v>
      </c>
      <c r="E56" s="166" t="n">
        <f aca="false">K$11</f>
        <v>-0.0244999999999997</v>
      </c>
      <c r="F56" s="167" t="n">
        <f aca="false">IF(D$1="settle",D56,IF(D$1="EOL",D56+E56,IF(ISNUMBER(C56),C56,D56)))</f>
        <v>3.358</v>
      </c>
      <c r="G56" s="168" t="e">
        <f aca="false">IF($D$2="settle",H56,IF($D$2="straddles",K56,IF($D$2="custom",H56+I56,0)))</f>
        <v>#VALUE!</v>
      </c>
      <c r="H56" s="168" t="n">
        <f aca="false">VLOOKUP($B56,curvesettle,3,FALSE())</f>
        <v>0.315</v>
      </c>
      <c r="I56" s="168" t="n">
        <v>0</v>
      </c>
      <c r="J56" s="166" t="n">
        <v>0.28</v>
      </c>
      <c r="K56" s="168" t="e">
        <f aca="true">bsd(6,1,$F56,$F56,$O56-TODAY(),$H56,$P56,J56/2)</f>
        <v>#VALUE!</v>
      </c>
      <c r="N56" s="2" t="n">
        <f aca="false">A56</f>
        <v>34</v>
      </c>
      <c r="O56" s="169" t="n">
        <f aca="false">VLOOKUP(B56,expiration,3,FALSE())</f>
        <v>38286</v>
      </c>
      <c r="P56" s="123" t="n">
        <f aca="false">VLOOKUP($B56,curvesettle,4,FALSE())</f>
        <v>0.0409754465349472</v>
      </c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S56" s="40" t="e">
        <f aca="true">OSTRIP(F56,F56,B56-TODAY(),0,(B57-1)-B56,1,P56,G56,R56,1,0,1,0)</f>
        <v>#NAME?</v>
      </c>
      <c r="AW56" s="168" t="n">
        <v>0.3</v>
      </c>
      <c r="BA56" s="167"/>
      <c r="BB56" s="169"/>
      <c r="BC56" s="126"/>
      <c r="BD56" s="136" t="n">
        <f aca="false">DDE("TWINDDE","RSFRecord","NGc34 cls")</f>
        <v>3.215</v>
      </c>
      <c r="BE56" s="136" t="e">
        <f aca="false">DDE("TWINDDE","RSFRecord","NGc34 LAST")</f>
        <v>#N/A</v>
      </c>
      <c r="BF56" s="130"/>
      <c r="CC56" s="2" t="n">
        <v>-150</v>
      </c>
      <c r="CD56" s="2" t="n">
        <f aca="false">CC56/1000</f>
        <v>-0.15</v>
      </c>
      <c r="CE56" s="2"/>
      <c r="CF56" s="2"/>
    </row>
    <row r="57" customFormat="false" ht="12.75" hidden="false" customHeight="false" outlineLevel="0" collapsed="false">
      <c r="A57" s="136" t="n">
        <f aca="false">A56+1</f>
        <v>35</v>
      </c>
      <c r="B57" s="165" t="n">
        <f aca="false">DATE(YEAR(B56),MONTH(B56)+1,1)</f>
        <v>38322</v>
      </c>
      <c r="C57" s="136" t="str">
        <f aca="false">DDE("REUTER","IDN","NGz4,PRIM ACT 1,1")</f>
        <v>#N/A N/A</v>
      </c>
      <c r="D57" s="136" t="n">
        <f aca="false">VLOOKUP($B57,curvesettle,2,FALSE())</f>
        <v>3.444</v>
      </c>
      <c r="E57" s="166" t="n">
        <f aca="false">K$11</f>
        <v>-0.0244999999999997</v>
      </c>
      <c r="F57" s="167" t="n">
        <f aca="false">IF(D$1="settle",D57,IF(D$1="EOL",D57+E57,IF(ISNUMBER(C57),C57,D57)))</f>
        <v>3.444</v>
      </c>
      <c r="G57" s="168" t="e">
        <f aca="false">IF($D$2="settle",H57,IF($D$2="straddles",K57,IF($D$2="custom",H57+I57,0)))</f>
        <v>#VALUE!</v>
      </c>
      <c r="H57" s="168" t="n">
        <f aca="false">VLOOKUP($B57,curvesettle,3,FALSE())</f>
        <v>0.315</v>
      </c>
      <c r="I57" s="168" t="n">
        <v>0</v>
      </c>
      <c r="J57" s="166" t="n">
        <v>0.28</v>
      </c>
      <c r="K57" s="168" t="e">
        <f aca="true">bsd(6,1,$F57,$F57,$O57-TODAY(),$H57,$P57,J57/2)</f>
        <v>#VALUE!</v>
      </c>
      <c r="N57" s="2" t="n">
        <f aca="false">A57</f>
        <v>35</v>
      </c>
      <c r="O57" s="169" t="n">
        <f aca="false">VLOOKUP(B57,expiration,3,FALSE())</f>
        <v>38315</v>
      </c>
      <c r="P57" s="123" t="n">
        <f aca="false">VLOOKUP($B57,curvesettle,4,FALSE())</f>
        <v>0.0415503422333172</v>
      </c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S57" s="40" t="e">
        <f aca="true">OSTRIP(F57,F57,B57-TODAY(),0,(B58-1)-B57,1,P57,G57,R57,1,0,1,0)</f>
        <v>#NAME?</v>
      </c>
      <c r="AW57" s="168" t="n">
        <v>0.25</v>
      </c>
      <c r="BA57" s="167"/>
      <c r="BB57" s="169"/>
      <c r="BC57" s="126"/>
      <c r="BD57" s="136" t="n">
        <f aca="false">DDE("TWINDDE","RSFRecord","NGc35 cls")</f>
        <v>3.249</v>
      </c>
      <c r="BE57" s="136" t="e">
        <f aca="false">DDE("TWINDDE","RSFRecord","NGc35 LAST")</f>
        <v>#N/A</v>
      </c>
      <c r="BF57" s="130"/>
      <c r="CC57" s="2" t="n">
        <v>-150</v>
      </c>
      <c r="CD57" s="2" t="n">
        <f aca="false">CC57/1000</f>
        <v>-0.15</v>
      </c>
      <c r="CE57" s="2"/>
      <c r="CF57" s="2"/>
    </row>
    <row r="58" customFormat="false" ht="12.75" hidden="false" customHeight="false" outlineLevel="0" collapsed="false">
      <c r="A58" s="136" t="n">
        <f aca="false">A57+1</f>
        <v>36</v>
      </c>
      <c r="B58" s="165" t="n">
        <f aca="false">DATE(YEAR(B57),MONTH(B57)+1,1)</f>
        <v>38353</v>
      </c>
      <c r="C58" s="136" t="str">
        <f aca="false">DDE("REUTER","IDN","NGz4,PRIM ACT 1,1")</f>
        <v>#N/A N/A</v>
      </c>
      <c r="D58" s="136" t="n">
        <f aca="false">VLOOKUP($B58,curvesettle,2,FALSE())</f>
        <v>3.499</v>
      </c>
      <c r="E58" s="166" t="n">
        <f aca="false">K$12</f>
        <v>-0.00691666666666668</v>
      </c>
      <c r="F58" s="167" t="n">
        <f aca="false">IF(D$1="settle",D58,IF(D$1="EOL",D58+E58,IF(ISNUMBER(C58),C58,D58)))</f>
        <v>3.499</v>
      </c>
      <c r="G58" s="168" t="e">
        <f aca="false">IF($D$2="settle",H58,IF($D$2="straddles",K58,IF($D$2="custom",H58+I58,0)))</f>
        <v>#VALUE!</v>
      </c>
      <c r="H58" s="168" t="n">
        <f aca="false">VLOOKUP($B58,curvesettle,3,FALSE())</f>
        <v>0.315</v>
      </c>
      <c r="I58" s="168" t="n">
        <v>0</v>
      </c>
      <c r="J58" s="166" t="n">
        <v>0.28</v>
      </c>
      <c r="K58" s="168" t="e">
        <f aca="true">bsd(6,1,$F58,$F58,$O58-TODAY(),$H58,$P58,J58/2)</f>
        <v>#VALUE!</v>
      </c>
      <c r="N58" s="2" t="n">
        <f aca="false">A58</f>
        <v>36</v>
      </c>
      <c r="O58" s="169" t="n">
        <f aca="false">VLOOKUP(B58,expiration,3,FALSE())</f>
        <v>38348</v>
      </c>
      <c r="P58" s="123" t="n">
        <f aca="false">VLOOKUP($B58,curvesettle,4,FALSE())</f>
        <v>0.0421066930146625</v>
      </c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S58" s="40" t="e">
        <f aca="true">OSTRIP(F58,F58,B58-TODAY(),0,(B59-1)-B58,1,P58,G58,R58,1,0,1,0)</f>
        <v>#NAME?</v>
      </c>
      <c r="AW58" s="168" t="n">
        <v>0.05</v>
      </c>
      <c r="BA58" s="167"/>
      <c r="BB58" s="169"/>
      <c r="BC58" s="126"/>
      <c r="BD58" s="136" t="n">
        <f aca="false">DDE("TWINDDE","RSFRecord","NGc36 cls")</f>
        <v>3.262</v>
      </c>
      <c r="BE58" s="136" t="e">
        <f aca="false">DDE("TWINDDE","RSFRecord","NGc36 LAST")</f>
        <v>#N/A</v>
      </c>
      <c r="BF58" s="130"/>
      <c r="CC58" s="2" t="n">
        <v>-150</v>
      </c>
      <c r="CD58" s="2" t="n">
        <f aca="false">CC58/1000</f>
        <v>-0.15</v>
      </c>
      <c r="CE58" s="2"/>
      <c r="CF58" s="2"/>
    </row>
    <row r="59" customFormat="false" ht="12.75" hidden="false" customHeight="false" outlineLevel="0" collapsed="false">
      <c r="A59" s="136" t="n">
        <f aca="false">A58+1</f>
        <v>37</v>
      </c>
      <c r="B59" s="165" t="n">
        <f aca="false">DATE(YEAR(B58),MONTH(B58)+1,1)</f>
        <v>38384</v>
      </c>
      <c r="C59" s="136"/>
      <c r="D59" s="136" t="n">
        <f aca="false">VLOOKUP($B59,curvesettle,2,FALSE())</f>
        <v>3.351</v>
      </c>
      <c r="E59" s="166" t="n">
        <f aca="false">K$12</f>
        <v>-0.00691666666666668</v>
      </c>
      <c r="F59" s="167" t="n">
        <f aca="false">IF(D$1="settle",D59,IF(D$1="EOL",D59+E59,IF(ISNUMBER(C59),C59,D59)))</f>
        <v>3.351</v>
      </c>
      <c r="G59" s="168" t="e">
        <f aca="false">IF($D$2="settle",H59,IF($D$2="straddles",K59,IF($D$2="custom",H59+I59,0)))</f>
        <v>#VALUE!</v>
      </c>
      <c r="H59" s="168" t="n">
        <f aca="false">VLOOKUP($B59,curvesettle,3,FALSE())</f>
        <v>0.315</v>
      </c>
      <c r="I59" s="168" t="n">
        <v>0</v>
      </c>
      <c r="J59" s="166" t="n">
        <v>0.28</v>
      </c>
      <c r="K59" s="168" t="e">
        <f aca="true">bsd(6,1,$F59,$F59,$O59-TODAY(),$H59,$P59,J59/2)</f>
        <v>#VALUE!</v>
      </c>
      <c r="N59" s="2" t="n">
        <f aca="false">A59</f>
        <v>37</v>
      </c>
      <c r="O59" s="169" t="n">
        <f aca="false">VLOOKUP(B59,expiration,3,FALSE())</f>
        <v>38378</v>
      </c>
      <c r="P59" s="123" t="n">
        <f aca="false">VLOOKUP($B59,curvesettle,4,FALSE())</f>
        <v>0.0426576899474638</v>
      </c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S59" s="40" t="e">
        <f aca="true">OSTRIP(F59,F59,B59-TODAY(),0,(B60-1)-B59,1,P59,G59,R59,1,0,1,0)</f>
        <v>#NAME?</v>
      </c>
      <c r="AW59" s="168" t="n">
        <v>0.05</v>
      </c>
      <c r="BA59" s="167"/>
      <c r="BB59" s="169"/>
      <c r="BC59" s="126"/>
      <c r="BD59" s="136" t="n">
        <f aca="false">DDE("TWINDDE","RSFRecord","NGc36 cls")</f>
        <v>3.262</v>
      </c>
      <c r="BE59" s="136" t="e">
        <f aca="false">DDE("TWINDDE","RSFRecord","NGc36 LAST")</f>
        <v>#N/A</v>
      </c>
      <c r="BF59" s="130"/>
      <c r="CE59" s="2"/>
      <c r="CF59" s="2"/>
    </row>
    <row r="60" customFormat="false" ht="12.75" hidden="false" customHeight="false" outlineLevel="0" collapsed="false">
      <c r="A60" s="136" t="n">
        <f aca="false">A59+1</f>
        <v>38</v>
      </c>
      <c r="B60" s="165" t="n">
        <f aca="false">DATE(YEAR(B59),MONTH(B59)+1,1)</f>
        <v>38412</v>
      </c>
      <c r="C60" s="136"/>
      <c r="D60" s="136" t="n">
        <f aca="false">VLOOKUP($B60,curvesettle,2,FALSE())</f>
        <v>3.3</v>
      </c>
      <c r="E60" s="166" t="n">
        <f aca="false">K$12</f>
        <v>-0.00691666666666668</v>
      </c>
      <c r="F60" s="167" t="n">
        <f aca="false">IF(D$1="settle",D60,IF(D$1="EOL",D60+E60,IF(ISNUMBER(C60),C60,D60)))</f>
        <v>3.3</v>
      </c>
      <c r="G60" s="168" t="e">
        <f aca="false">IF($D$2="settle",H60,IF($D$2="straddles",K60,IF($D$2="custom",H60+I60,0)))</f>
        <v>#VALUE!</v>
      </c>
      <c r="H60" s="168" t="n">
        <f aca="false">VLOOKUP($B60,curvesettle,3,FALSE())</f>
        <v>0.3125</v>
      </c>
      <c r="I60" s="168" t="n">
        <v>0</v>
      </c>
      <c r="J60" s="166" t="n">
        <v>0.28</v>
      </c>
      <c r="K60" s="168" t="e">
        <f aca="true">bsd(6,1,$F60,$F60,$O60-TODAY(),$H60,$P60,J60/2)</f>
        <v>#VALUE!</v>
      </c>
      <c r="N60" s="2" t="n">
        <f aca="false">A60</f>
        <v>38</v>
      </c>
      <c r="O60" s="169" t="n">
        <f aca="false">VLOOKUP(B60,expiration,3,FALSE())</f>
        <v>38406</v>
      </c>
      <c r="P60" s="123" t="n">
        <f aca="false">VLOOKUP($B60,curvesettle,4,FALSE())</f>
        <v>0.0431890054626174</v>
      </c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S60" s="40" t="e">
        <f aca="true">OSTRIP(F60,F60,B60-TODAY(),0,(B61-1)-B60,1,P60,G60,R60,1,0,1,0)</f>
        <v>#NAME?</v>
      </c>
      <c r="AW60" s="168" t="n">
        <v>0.05</v>
      </c>
      <c r="BA60" s="167"/>
      <c r="BB60" s="169"/>
      <c r="BC60" s="126"/>
      <c r="BD60" s="126"/>
      <c r="BE60" s="172"/>
      <c r="BF60" s="130"/>
      <c r="CE60" s="2"/>
      <c r="CF60" s="2"/>
    </row>
    <row r="61" customFormat="false" ht="12.75" hidden="false" customHeight="false" outlineLevel="0" collapsed="false">
      <c r="A61" s="136" t="n">
        <f aca="false">A60+1</f>
        <v>39</v>
      </c>
      <c r="B61" s="165" t="n">
        <f aca="false">DATE(YEAR(B60),MONTH(B60)+1,1)</f>
        <v>38443</v>
      </c>
      <c r="C61" s="136"/>
      <c r="D61" s="136" t="n">
        <f aca="false">VLOOKUP($B61,curvesettle,2,FALSE())</f>
        <v>3.081</v>
      </c>
      <c r="E61" s="166" t="n">
        <f aca="false">K$12</f>
        <v>-0.00691666666666668</v>
      </c>
      <c r="F61" s="167" t="n">
        <f aca="false">IF(D$1="settle",D61,IF(D$1="EOL",D61+E61,IF(ISNUMBER(C61),C61,D61)))</f>
        <v>3.081</v>
      </c>
      <c r="G61" s="168" t="e">
        <f aca="false">IF($D$2="settle",H61,IF($D$2="straddles",K61,IF($D$2="custom",H61+I61,0)))</f>
        <v>#VALUE!</v>
      </c>
      <c r="H61" s="168" t="n">
        <f aca="false">VLOOKUP($B61,curvesettle,3,FALSE())</f>
        <v>0.3025</v>
      </c>
      <c r="I61" s="168" t="n">
        <v>0</v>
      </c>
      <c r="J61" s="166" t="n">
        <v>0.28</v>
      </c>
      <c r="K61" s="168" t="e">
        <f aca="true">bsd(6,1,$F61,$F61,$O61-TODAY(),$H61,$P61,J61/2)</f>
        <v>#VALUE!</v>
      </c>
      <c r="N61" s="2" t="n">
        <f aca="false">A61</f>
        <v>39</v>
      </c>
      <c r="O61" s="169" t="n">
        <f aca="false">VLOOKUP(B61,expiration,3,FALSE())</f>
        <v>38439</v>
      </c>
      <c r="P61" s="123" t="n">
        <f aca="false">VLOOKUP($B61,curvesettle,4,FALSE())</f>
        <v>0.0436689034285567</v>
      </c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W61" s="168" t="n">
        <v>0.05</v>
      </c>
      <c r="BA61" s="167"/>
      <c r="BB61" s="169"/>
      <c r="BC61" s="126"/>
      <c r="BD61" s="126"/>
      <c r="BE61" s="172"/>
      <c r="BF61" s="130"/>
      <c r="CE61" s="2"/>
      <c r="CF61" s="2"/>
    </row>
    <row r="62" customFormat="false" ht="12.75" hidden="false" customHeight="false" outlineLevel="0" collapsed="false">
      <c r="A62" s="136" t="n">
        <f aca="false">A61+1</f>
        <v>40</v>
      </c>
      <c r="B62" s="165" t="n">
        <f aca="false">DATE(YEAR(B61),MONTH(B61)+1,1)</f>
        <v>38473</v>
      </c>
      <c r="C62" s="136"/>
      <c r="D62" s="136" t="n">
        <f aca="false">VLOOKUP($B62,curvesettle,2,FALSE())</f>
        <v>3.084</v>
      </c>
      <c r="E62" s="166" t="n">
        <f aca="false">K$12</f>
        <v>-0.00691666666666668</v>
      </c>
      <c r="F62" s="167" t="n">
        <f aca="false">IF(D$1="settle",D62,IF(D$1="EOL",D62+E62,IF(ISNUMBER(C62),C62,D62)))</f>
        <v>3.084</v>
      </c>
      <c r="G62" s="168" t="e">
        <f aca="false">IF($D$2="settle",H62,IF($D$2="straddles",K62,IF($D$2="custom",H62+I62,0)))</f>
        <v>#VALUE!</v>
      </c>
      <c r="H62" s="168" t="n">
        <f aca="false">VLOOKUP($B62,curvesettle,3,FALSE())</f>
        <v>0.2925</v>
      </c>
      <c r="I62" s="168" t="n">
        <v>0</v>
      </c>
      <c r="J62" s="166" t="n">
        <v>0.28</v>
      </c>
      <c r="K62" s="168" t="e">
        <f aca="true">bsd(6,1,$F62,$F62,$O62-TODAY(),$H62,$P62,J62/2)</f>
        <v>#VALUE!</v>
      </c>
      <c r="N62" s="2" t="n">
        <f aca="false">A62</f>
        <v>40</v>
      </c>
      <c r="O62" s="169" t="n">
        <f aca="false">VLOOKUP(B62,expiration,3,FALSE())</f>
        <v>38468</v>
      </c>
      <c r="P62" s="123" t="n">
        <f aca="false">VLOOKUP($B62,curvesettle,4,FALSE())</f>
        <v>0.0441629859154538</v>
      </c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W62" s="168" t="n">
        <v>0.05</v>
      </c>
      <c r="BA62" s="167"/>
      <c r="BB62" s="169"/>
      <c r="BC62" s="126"/>
      <c r="BD62" s="126"/>
      <c r="BE62" s="172"/>
      <c r="BF62" s="130"/>
      <c r="CE62" s="2"/>
      <c r="CF62" s="2"/>
    </row>
    <row r="63" customFormat="false" ht="12.75" hidden="false" customHeight="false" outlineLevel="0" collapsed="false">
      <c r="A63" s="136" t="n">
        <f aca="false">A62+1</f>
        <v>41</v>
      </c>
      <c r="B63" s="165" t="n">
        <f aca="false">DATE(YEAR(B62),MONTH(B62)+1,1)</f>
        <v>38504</v>
      </c>
      <c r="C63" s="136"/>
      <c r="D63" s="136" t="n">
        <f aca="false">VLOOKUP($B63,curvesettle,2,FALSE())</f>
        <v>3.124</v>
      </c>
      <c r="E63" s="166" t="n">
        <f aca="false">K$12</f>
        <v>-0.00691666666666668</v>
      </c>
      <c r="F63" s="167" t="n">
        <f aca="false">IF(D$1="settle",D63,IF(D$1="EOL",D63+E63,IF(ISNUMBER(C63),C63,D63)))</f>
        <v>3.124</v>
      </c>
      <c r="G63" s="168" t="e">
        <f aca="false">IF($D$2="settle",H63,IF($D$2="straddles",K63,IF($D$2="custom",H63+I63,0)))</f>
        <v>#VALUE!</v>
      </c>
      <c r="H63" s="168" t="n">
        <f aca="false">VLOOKUP($B63,curvesettle,3,FALSE())</f>
        <v>0.285</v>
      </c>
      <c r="I63" s="168" t="n">
        <v>0</v>
      </c>
      <c r="J63" s="166" t="n">
        <v>0.28</v>
      </c>
      <c r="K63" s="168" t="e">
        <f aca="true">bsd(6,1,$F63,$F63,$O63-TODAY(),$H63,$P63,J63/2)</f>
        <v>#VALUE!</v>
      </c>
      <c r="N63" s="2" t="n">
        <f aca="false">A63</f>
        <v>41</v>
      </c>
      <c r="O63" s="169" t="n">
        <f aca="false">VLOOKUP(B63,expiration,3,FALSE())</f>
        <v>38497</v>
      </c>
      <c r="P63" s="123" t="n">
        <f aca="false">VLOOKUP($B63,curvesettle,4,FALSE())</f>
        <v>0.0446087139677753</v>
      </c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W63" s="168" t="n">
        <v>0.05</v>
      </c>
      <c r="BA63" s="167"/>
      <c r="BB63" s="169"/>
      <c r="BC63" s="126"/>
      <c r="BD63" s="126"/>
      <c r="BE63" s="172"/>
      <c r="BF63" s="130"/>
      <c r="CE63" s="2"/>
      <c r="CF63" s="2"/>
    </row>
    <row r="64" customFormat="false" ht="12.75" hidden="false" customHeight="false" outlineLevel="0" collapsed="false">
      <c r="A64" s="136" t="n">
        <f aca="false">A63+1</f>
        <v>42</v>
      </c>
      <c r="B64" s="165" t="n">
        <f aca="false">DATE(YEAR(B63),MONTH(B63)+1,1)</f>
        <v>38534</v>
      </c>
      <c r="C64" s="136"/>
      <c r="D64" s="136" t="n">
        <f aca="false">VLOOKUP($B64,curvesettle,2,FALSE())</f>
        <v>3.164</v>
      </c>
      <c r="E64" s="166" t="n">
        <f aca="false">K$12</f>
        <v>-0.00691666666666668</v>
      </c>
      <c r="F64" s="167" t="n">
        <f aca="false">IF(D$1="settle",D64,IF(D$1="EOL",D64+E64,IF(ISNUMBER(C64),C64,D64)))</f>
        <v>3.164</v>
      </c>
      <c r="G64" s="168" t="e">
        <f aca="false">IF($D$2="settle",H64,IF($D$2="straddles",K64,IF($D$2="custom",H64+I64,0)))</f>
        <v>#VALUE!</v>
      </c>
      <c r="H64" s="168" t="n">
        <f aca="false">VLOOKUP($B64,curvesettle,3,FALSE())</f>
        <v>0.285</v>
      </c>
      <c r="I64" s="168" t="n">
        <v>0</v>
      </c>
      <c r="J64" s="166" t="n">
        <v>0.28</v>
      </c>
      <c r="K64" s="168" t="e">
        <f aca="true">bsd(6,1,$F64,$F64,$O64-TODAY(),$H64,$P64,J64/2)</f>
        <v>#VALUE!</v>
      </c>
      <c r="N64" s="2" t="n">
        <f aca="false">A64</f>
        <v>42</v>
      </c>
      <c r="O64" s="169" t="n">
        <f aca="false">VLOOKUP(B64,expiration,3,FALSE())</f>
        <v>38530</v>
      </c>
      <c r="P64" s="123" t="n">
        <f aca="false">VLOOKUP($B64,curvesettle,4,FALSE())</f>
        <v>0.0450692996917126</v>
      </c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W64" s="168" t="n">
        <v>0.05</v>
      </c>
      <c r="BA64" s="167"/>
      <c r="BB64" s="169"/>
      <c r="BC64" s="126"/>
      <c r="BD64" s="126"/>
      <c r="BE64" s="172"/>
      <c r="BF64" s="130"/>
      <c r="CE64" s="2"/>
      <c r="CF64" s="2"/>
    </row>
    <row r="65" customFormat="false" ht="12.75" hidden="false" customHeight="false" outlineLevel="0" collapsed="false">
      <c r="A65" s="136" t="n">
        <f aca="false">A64+1</f>
        <v>43</v>
      </c>
      <c r="B65" s="165" t="n">
        <f aca="false">DATE(YEAR(B64),MONTH(B64)+1,1)</f>
        <v>38565</v>
      </c>
      <c r="C65" s="136"/>
      <c r="D65" s="136" t="n">
        <f aca="false">VLOOKUP($B65,curvesettle,2,FALSE())</f>
        <v>3.214</v>
      </c>
      <c r="E65" s="166" t="n">
        <f aca="false">K$12</f>
        <v>-0.00691666666666668</v>
      </c>
      <c r="F65" s="167" t="n">
        <f aca="false">IF(D$1="settle",D65,IF(D$1="EOL",D65+E65,IF(ISNUMBER(C65),C65,D65)))</f>
        <v>3.214</v>
      </c>
      <c r="G65" s="168" t="e">
        <f aca="false">IF($D$2="settle",H65,IF($D$2="straddles",K65,IF($D$2="custom",H65+I65,0)))</f>
        <v>#VALUE!</v>
      </c>
      <c r="H65" s="168" t="n">
        <f aca="false">VLOOKUP($B65,curvesettle,3,FALSE())</f>
        <v>0.28</v>
      </c>
      <c r="I65" s="168" t="n">
        <v>0</v>
      </c>
      <c r="J65" s="166" t="n">
        <v>0.28</v>
      </c>
      <c r="K65" s="168" t="e">
        <f aca="true">bsd(6,1,$F65,$F65,$O65-TODAY(),$H65,$P65,J65/2)</f>
        <v>#VALUE!</v>
      </c>
      <c r="N65" s="2" t="n">
        <f aca="false">A65</f>
        <v>43</v>
      </c>
      <c r="O65" s="169" t="n">
        <f aca="false">VLOOKUP(B65,expiration,3,FALSE())</f>
        <v>38559</v>
      </c>
      <c r="P65" s="123" t="n">
        <f aca="false">VLOOKUP($B65,curvesettle,4,FALSE())</f>
        <v>0.0454931128840683</v>
      </c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W65" s="168" t="n">
        <v>0.1</v>
      </c>
      <c r="BA65" s="167"/>
      <c r="BB65" s="169"/>
      <c r="BC65" s="126"/>
      <c r="BD65" s="126"/>
      <c r="BE65" s="172"/>
      <c r="BF65" s="130"/>
      <c r="CE65" s="2"/>
      <c r="CF65" s="2"/>
    </row>
    <row r="66" customFormat="false" ht="12.75" hidden="false" customHeight="false" outlineLevel="0" collapsed="false">
      <c r="A66" s="136" t="n">
        <f aca="false">A65+1</f>
        <v>44</v>
      </c>
      <c r="B66" s="165" t="n">
        <f aca="false">DATE(YEAR(B65),MONTH(B65)+1,1)</f>
        <v>38596</v>
      </c>
      <c r="C66" s="136"/>
      <c r="D66" s="136" t="n">
        <f aca="false">VLOOKUP($B66,curvesettle,2,FALSE())</f>
        <v>3.199</v>
      </c>
      <c r="E66" s="166" t="n">
        <f aca="false">K$12</f>
        <v>-0.00691666666666668</v>
      </c>
      <c r="F66" s="167" t="n">
        <f aca="false">IF(D$1="settle",D66,IF(D$1="EOL",D66+E66,IF(ISNUMBER(C66),C66,D66)))</f>
        <v>3.199</v>
      </c>
      <c r="G66" s="168" t="e">
        <f aca="false">IF($D$2="settle",H66,IF($D$2="straddles",K66,IF($D$2="custom",H66+I66,0)))</f>
        <v>#VALUE!</v>
      </c>
      <c r="H66" s="168" t="n">
        <f aca="false">VLOOKUP($B66,curvesettle,3,FALSE())</f>
        <v>0.28</v>
      </c>
      <c r="I66" s="168" t="n">
        <v>0</v>
      </c>
      <c r="J66" s="166" t="n">
        <v>0.28</v>
      </c>
      <c r="K66" s="168" t="e">
        <f aca="true">bsd(6,1,$F66,$F66,$O66-TODAY(),$H66,$P66,J66/2)</f>
        <v>#VALUE!</v>
      </c>
      <c r="N66" s="2" t="n">
        <f aca="false">A66</f>
        <v>44</v>
      </c>
      <c r="O66" s="169" t="n">
        <f aca="false">VLOOKUP(B66,expiration,3,FALSE())</f>
        <v>38590</v>
      </c>
      <c r="P66" s="123" t="n">
        <f aca="false">VLOOKUP($B66,curvesettle,4,FALSE())</f>
        <v>0.045909969215757</v>
      </c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W66" s="168" t="n">
        <v>0.2</v>
      </c>
      <c r="BA66" s="167"/>
      <c r="BB66" s="169"/>
      <c r="BC66" s="126"/>
      <c r="BD66" s="126"/>
      <c r="BE66" s="172"/>
      <c r="BF66" s="130"/>
      <c r="CE66" s="2"/>
      <c r="CF66" s="2"/>
    </row>
    <row r="67" customFormat="false" ht="12.75" hidden="false" customHeight="false" outlineLevel="0" collapsed="false">
      <c r="A67" s="136" t="n">
        <f aca="false">A66+1</f>
        <v>45</v>
      </c>
      <c r="B67" s="165" t="n">
        <f aca="false">DATE(YEAR(B66),MONTH(B66)+1,1)</f>
        <v>38626</v>
      </c>
      <c r="C67" s="136"/>
      <c r="D67" s="136" t="n">
        <f aca="false">VLOOKUP($B67,curvesettle,2,FALSE())</f>
        <v>3.214</v>
      </c>
      <c r="E67" s="166" t="n">
        <f aca="false">K$12</f>
        <v>-0.00691666666666668</v>
      </c>
      <c r="F67" s="167" t="n">
        <f aca="false">IF(D$1="settle",D67,IF(D$1="EOL",D67+E67,IF(ISNUMBER(C67),C67,D67)))</f>
        <v>3.214</v>
      </c>
      <c r="G67" s="168" t="e">
        <f aca="false">IF($D$2="settle",H67,IF($D$2="straddles",K67,IF($D$2="custom",H67+I67,0)))</f>
        <v>#VALUE!</v>
      </c>
      <c r="H67" s="168" t="n">
        <f aca="false">VLOOKUP($B67,curvesettle,3,FALSE())</f>
        <v>0.28</v>
      </c>
      <c r="I67" s="168" t="n">
        <v>0</v>
      </c>
      <c r="J67" s="166" t="n">
        <v>0.28</v>
      </c>
      <c r="K67" s="168" t="e">
        <f aca="true">bsd(6,1,$F67,$F67,$O67-TODAY(),$H67,$P67,J67/2)</f>
        <v>#VALUE!</v>
      </c>
      <c r="N67" s="2" t="n">
        <f aca="false">A67</f>
        <v>45</v>
      </c>
      <c r="O67" s="169" t="n">
        <f aca="false">VLOOKUP(B67,expiration,3,FALSE())</f>
        <v>38622</v>
      </c>
      <c r="P67" s="123" t="n">
        <f aca="false">VLOOKUP($B67,curvesettle,4,FALSE())</f>
        <v>0.04632682560558</v>
      </c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W67" s="168" t="n">
        <v>0.3</v>
      </c>
      <c r="BA67" s="167"/>
      <c r="BB67" s="169"/>
      <c r="BC67" s="126"/>
      <c r="BD67" s="126"/>
      <c r="BE67" s="172"/>
      <c r="BF67" s="130"/>
      <c r="CE67" s="2"/>
      <c r="CF67" s="2"/>
    </row>
    <row r="68" customFormat="false" ht="12.75" hidden="false" customHeight="false" outlineLevel="0" collapsed="false">
      <c r="A68" s="136" t="n">
        <f aca="false">A67+1</f>
        <v>46</v>
      </c>
      <c r="B68" s="165" t="n">
        <f aca="false">DATE(YEAR(B67),MONTH(B67)+1,1)</f>
        <v>38657</v>
      </c>
      <c r="C68" s="136"/>
      <c r="D68" s="136" t="n">
        <f aca="false">VLOOKUP($B68,curvesettle,2,FALSE())</f>
        <v>3.359</v>
      </c>
      <c r="E68" s="166" t="n">
        <f aca="false">K$12</f>
        <v>-0.00691666666666668</v>
      </c>
      <c r="F68" s="167" t="n">
        <f aca="false">IF(D$1="settle",D68,IF(D$1="EOL",D68+E68,IF(ISNUMBER(C68),C68,D68)))</f>
        <v>3.359</v>
      </c>
      <c r="G68" s="168" t="e">
        <f aca="false">IF($D$2="settle",H68,IF($D$2="straddles",K68,IF($D$2="custom",H68+I68,0)))</f>
        <v>#VALUE!</v>
      </c>
      <c r="H68" s="168" t="n">
        <f aca="false">VLOOKUP($B68,curvesettle,3,FALSE())</f>
        <v>0.28</v>
      </c>
      <c r="I68" s="168" t="n">
        <v>0</v>
      </c>
      <c r="J68" s="166" t="n">
        <v>0.28</v>
      </c>
      <c r="K68" s="168" t="e">
        <f aca="true">bsd(6,1,$F68,$F68,$O68-TODAY(),$H68,$P68,J68/2)</f>
        <v>#VALUE!</v>
      </c>
      <c r="N68" s="2" t="n">
        <f aca="false">A68</f>
        <v>46</v>
      </c>
      <c r="O68" s="169" t="n">
        <f aca="false">VLOOKUP(B68,expiration,3,FALSE())</f>
        <v>38651</v>
      </c>
      <c r="P68" s="123" t="n">
        <f aca="false">VLOOKUP($B68,curvesettle,4,FALSE())</f>
        <v>0.0467165492653465</v>
      </c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W68" s="168" t="n">
        <v>0.3</v>
      </c>
      <c r="BA68" s="167"/>
      <c r="BB68" s="169"/>
      <c r="BC68" s="126"/>
      <c r="BD68" s="126"/>
      <c r="BE68" s="172"/>
      <c r="BF68" s="130"/>
      <c r="CE68" s="2"/>
      <c r="CF68" s="2"/>
    </row>
    <row r="69" customFormat="false" ht="12.75" hidden="false" customHeight="false" outlineLevel="0" collapsed="false">
      <c r="A69" s="136" t="n">
        <f aca="false">A68+1</f>
        <v>47</v>
      </c>
      <c r="B69" s="165" t="n">
        <f aca="false">DATE(YEAR(B68),MONTH(B68)+1,1)</f>
        <v>38687</v>
      </c>
      <c r="C69" s="136"/>
      <c r="D69" s="136" t="n">
        <f aca="false">VLOOKUP($B69,curvesettle,2,FALSE())</f>
        <v>3.494</v>
      </c>
      <c r="E69" s="166" t="n">
        <f aca="false">K$12</f>
        <v>-0.00691666666666668</v>
      </c>
      <c r="F69" s="167" t="n">
        <f aca="false">IF(D$1="settle",D69,IF(D$1="EOL",D69+E69,IF(ISNUMBER(C69),C69,D69)))</f>
        <v>3.494</v>
      </c>
      <c r="G69" s="168" t="e">
        <f aca="false">IF($D$2="settle",H69,IF($D$2="straddles",K69,IF($D$2="custom",H69+I69,0)))</f>
        <v>#VALUE!</v>
      </c>
      <c r="H69" s="168" t="n">
        <f aca="false">VLOOKUP($B69,curvesettle,3,FALSE())</f>
        <v>0.28</v>
      </c>
      <c r="I69" s="168" t="n">
        <v>0</v>
      </c>
      <c r="J69" s="166" t="n">
        <v>0.28</v>
      </c>
      <c r="K69" s="168" t="e">
        <f aca="true">bsd(6,1,$F69,$F69,$O69-TODAY(),$H69,$P69,J69/2)</f>
        <v>#VALUE!</v>
      </c>
      <c r="N69" s="2" t="n">
        <f aca="false">A69</f>
        <v>47</v>
      </c>
      <c r="O69" s="169" t="n">
        <f aca="false">VLOOKUP(B69,expiration,3,FALSE())</f>
        <v>38681</v>
      </c>
      <c r="P69" s="123" t="n">
        <f aca="false">VLOOKUP($B69,curvesettle,4,FALSE())</f>
        <v>0.0470928800068173</v>
      </c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W69" s="168" t="n">
        <v>0.25</v>
      </c>
      <c r="BA69" s="167"/>
      <c r="BB69" s="169"/>
      <c r="BC69" s="126"/>
      <c r="BD69" s="126"/>
      <c r="BE69" s="172"/>
      <c r="BF69" s="130"/>
      <c r="CE69" s="2"/>
      <c r="CF69" s="2"/>
    </row>
    <row r="70" customFormat="false" ht="12.75" hidden="false" customHeight="false" outlineLevel="0" collapsed="false">
      <c r="A70" s="136" t="n">
        <f aca="false">A69+1</f>
        <v>48</v>
      </c>
      <c r="B70" s="165" t="n">
        <f aca="false">DATE(YEAR(B69),MONTH(B69)+1,1)</f>
        <v>38718</v>
      </c>
      <c r="C70" s="0"/>
      <c r="D70" s="136" t="n">
        <f aca="false">VLOOKUP($B70,curvesettle,2,FALSE())</f>
        <v>3.549</v>
      </c>
      <c r="E70" s="166" t="n">
        <f aca="false">K$12</f>
        <v>-0.00691666666666668</v>
      </c>
      <c r="F70" s="167" t="n">
        <f aca="false">IF(D$1="settle",D70,IF(D$1="EOL",D70+E70,IF(ISNUMBER(C70),C70,D70)))</f>
        <v>3.549</v>
      </c>
      <c r="G70" s="168" t="e">
        <f aca="false">IF($D$2="settle",H70,IF($D$2="straddles",K70,IF($D$2="custom",H70+I70,0)))</f>
        <v>#VALUE!</v>
      </c>
      <c r="H70" s="168" t="n">
        <f aca="false">VLOOKUP($B70,curvesettle,3,FALSE())</f>
        <v>0.28</v>
      </c>
      <c r="I70" s="168" t="n">
        <v>0</v>
      </c>
      <c r="J70" s="166" t="n">
        <v>0.28</v>
      </c>
      <c r="K70" s="168" t="e">
        <f aca="true">bsd(6,1,$F70,$F70,$O70-TODAY(),$H70,$P70,J70/2)</f>
        <v>#VALUE!</v>
      </c>
      <c r="N70" s="2" t="n">
        <f aca="false">A70</f>
        <v>48</v>
      </c>
      <c r="O70" s="169" t="n">
        <f aca="false">VLOOKUP(B70,expiration,3,FALSE())</f>
        <v>38713</v>
      </c>
      <c r="P70" s="123" t="n">
        <f aca="false">VLOOKUP($B70,curvesettle,4,FALSE())</f>
        <v>0.0474570710920372</v>
      </c>
      <c r="R70" s="168"/>
      <c r="S70" s="168"/>
      <c r="T70" s="168"/>
      <c r="U70" s="168"/>
      <c r="V70" s="168"/>
      <c r="W70" s="168"/>
      <c r="X70" s="168"/>
      <c r="Y70" s="168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W70" s="168" t="n">
        <v>0.05</v>
      </c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</row>
    <row r="71" customFormat="false" ht="12.75" hidden="false" customHeight="false" outlineLevel="0" collapsed="false">
      <c r="A71" s="136" t="n">
        <f aca="false">A70+1</f>
        <v>49</v>
      </c>
      <c r="B71" s="165" t="n">
        <f aca="false">DATE(YEAR(B70),MONTH(B70)+1,1)</f>
        <v>38749</v>
      </c>
      <c r="C71" s="0"/>
      <c r="D71" s="136" t="n">
        <f aca="false">VLOOKUP($B71,curvesettle,2,FALSE())</f>
        <v>3.401</v>
      </c>
      <c r="E71" s="166" t="n">
        <f aca="false">K$12</f>
        <v>-0.00691666666666668</v>
      </c>
      <c r="F71" s="167" t="n">
        <f aca="false">IF(D$1="settle",D71,IF(D$1="EOL",D71+E71,IF(ISNUMBER(C71),C71,D71)))</f>
        <v>3.401</v>
      </c>
      <c r="G71" s="168" t="e">
        <f aca="false">IF($D$2="settle",H71,IF($D$2="straddles",K71,IF($D$2="custom",H71+I71,0)))</f>
        <v>#VALUE!</v>
      </c>
      <c r="H71" s="168" t="n">
        <f aca="false">VLOOKUP($B71,curvesettle,3,FALSE())</f>
        <v>0.285</v>
      </c>
      <c r="I71" s="168" t="n">
        <v>0</v>
      </c>
      <c r="J71" s="166" t="n">
        <v>0.28</v>
      </c>
      <c r="K71" s="168" t="e">
        <f aca="true">bsd(6,1,$F71,$F71,$O71-TODAY(),$H71,$P71,J71/2)</f>
        <v>#VALUE!</v>
      </c>
      <c r="N71" s="2" t="n">
        <f aca="false">A71</f>
        <v>49</v>
      </c>
      <c r="O71" s="169" t="n">
        <f aca="false">VLOOKUP(B71,expiration,3,FALSE())</f>
        <v>38743</v>
      </c>
      <c r="P71" s="123" t="n">
        <f aca="false">VLOOKUP($B71,curvesettle,4,FALSE())</f>
        <v>0.0478100678250022</v>
      </c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W71" s="168" t="n">
        <v>0.05</v>
      </c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</row>
    <row r="72" customFormat="false" ht="12.75" hidden="false" customHeight="false" outlineLevel="0" collapsed="false">
      <c r="A72" s="136" t="n">
        <f aca="false">A71+1</f>
        <v>50</v>
      </c>
      <c r="B72" s="165" t="n">
        <f aca="false">DATE(YEAR(B71),MONTH(B71)+1,1)</f>
        <v>38777</v>
      </c>
      <c r="C72" s="0"/>
      <c r="D72" s="136" t="n">
        <f aca="false">VLOOKUP($B72,curvesettle,2,FALSE())</f>
        <v>3.35</v>
      </c>
      <c r="E72" s="166" t="n">
        <f aca="false">K$12</f>
        <v>-0.00691666666666668</v>
      </c>
      <c r="F72" s="167" t="n">
        <f aca="false">IF(D$1="settle",D72,IF(D$1="EOL",D72+E72,IF(ISNUMBER(C72),C72,D72)))</f>
        <v>3.35</v>
      </c>
      <c r="G72" s="168" t="e">
        <f aca="false">IF($D$2="settle",H72,IF($D$2="straddles",K72,IF($D$2="custom",H72+I72,0)))</f>
        <v>#VALUE!</v>
      </c>
      <c r="H72" s="168" t="n">
        <f aca="false">VLOOKUP($B72,curvesettle,3,FALSE())</f>
        <v>0.28</v>
      </c>
      <c r="I72" s="168" t="n">
        <v>0</v>
      </c>
      <c r="J72" s="166" t="n">
        <v>0.28</v>
      </c>
      <c r="K72" s="168" t="e">
        <f aca="true">bsd(6,1,$F72,$F72,$O72-TODAY(),$H72,$P72,J72/2)</f>
        <v>#VALUE!</v>
      </c>
      <c r="N72" s="2" t="n">
        <f aca="false">A72</f>
        <v>50</v>
      </c>
      <c r="O72" s="169" t="n">
        <f aca="false">VLOOKUP(B72,expiration,3,FALSE())</f>
        <v>38771</v>
      </c>
      <c r="P72" s="123" t="n">
        <f aca="false">VLOOKUP($B72,curvesettle,4,FALSE())</f>
        <v>0.0481206389556634</v>
      </c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W72" s="168" t="n">
        <v>0.05</v>
      </c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</row>
    <row r="73" customFormat="false" ht="12.75" hidden="false" customHeight="false" outlineLevel="0" collapsed="false">
      <c r="A73" s="136" t="n">
        <f aca="false">A72+1</f>
        <v>51</v>
      </c>
      <c r="B73" s="165" t="n">
        <f aca="false">DATE(YEAR(B72),MONTH(B72)+1,1)</f>
        <v>38808</v>
      </c>
      <c r="C73" s="0"/>
      <c r="D73" s="136" t="n">
        <f aca="false">VLOOKUP($B73,curvesettle,2,FALSE())</f>
        <v>3.131</v>
      </c>
      <c r="E73" s="166" t="n">
        <f aca="false">K$12</f>
        <v>-0.00691666666666668</v>
      </c>
      <c r="F73" s="167" t="n">
        <f aca="false">IF(D$1="settle",D73,IF(D$1="EOL",D73+E73,IF(ISNUMBER(C73),C73,D73)))</f>
        <v>3.131</v>
      </c>
      <c r="G73" s="168" t="e">
        <f aca="false">IF($D$2="settle",H73,IF($D$2="straddles",K73,IF($D$2="custom",H73+I73,0)))</f>
        <v>#VALUE!</v>
      </c>
      <c r="H73" s="168" t="n">
        <f aca="false">VLOOKUP($B73,curvesettle,3,FALSE())</f>
        <v>0.27</v>
      </c>
      <c r="I73" s="168" t="n">
        <v>0</v>
      </c>
      <c r="J73" s="166" t="n">
        <v>0.28</v>
      </c>
      <c r="K73" s="168" t="e">
        <f aca="true">bsd(6,1,$F73,$F73,$O73-TODAY(),$H73,$P73,J73/2)</f>
        <v>#VALUE!</v>
      </c>
      <c r="N73" s="2" t="n">
        <f aca="false">A73</f>
        <v>51</v>
      </c>
      <c r="O73" s="169" t="n">
        <f aca="false">VLOOKUP(B73,expiration,3,FALSE())</f>
        <v>38804</v>
      </c>
      <c r="P73" s="123" t="n">
        <f aca="false">VLOOKUP($B73,curvesettle,4,FALSE())</f>
        <v>0.0484011548433219</v>
      </c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W73" s="168" t="n">
        <v>0.05</v>
      </c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</row>
    <row r="74" customFormat="false" ht="12.75" hidden="false" customHeight="false" outlineLevel="0" collapsed="false">
      <c r="A74" s="136" t="n">
        <f aca="false">A73+1</f>
        <v>52</v>
      </c>
      <c r="B74" s="165" t="n">
        <f aca="false">DATE(YEAR(B73),MONTH(B73)+1,1)</f>
        <v>38838</v>
      </c>
      <c r="C74" s="0"/>
      <c r="D74" s="136" t="n">
        <f aca="false">VLOOKUP($B74,curvesettle,2,FALSE())</f>
        <v>3.134</v>
      </c>
      <c r="E74" s="166" t="n">
        <f aca="false">K$12</f>
        <v>-0.00691666666666668</v>
      </c>
      <c r="F74" s="167" t="n">
        <f aca="false">IF(D$1="settle",D74,IF(D$1="EOL",D74+E74,IF(ISNUMBER(C74),C74,D74)))</f>
        <v>3.134</v>
      </c>
      <c r="G74" s="168" t="e">
        <f aca="false">IF($D$2="settle",H74,IF($D$2="straddles",K74,IF($D$2="custom",H74+I74,0)))</f>
        <v>#VALUE!</v>
      </c>
      <c r="H74" s="168" t="n">
        <f aca="false">VLOOKUP($B74,curvesettle,3,FALSE())</f>
        <v>0.25</v>
      </c>
      <c r="I74" s="168" t="n">
        <v>0</v>
      </c>
      <c r="J74" s="166" t="n">
        <v>0.28</v>
      </c>
      <c r="K74" s="168" t="e">
        <f aca="true">bsd(6,1,$F74,$F74,$O74-TODAY(),$H74,$P74,J74/2)</f>
        <v>#VALUE!</v>
      </c>
      <c r="N74" s="2" t="n">
        <f aca="false">A74</f>
        <v>52</v>
      </c>
      <c r="O74" s="169" t="n">
        <f aca="false">VLOOKUP(B74,expiration,3,FALSE())</f>
        <v>38832</v>
      </c>
      <c r="P74" s="123" t="n">
        <f aca="false">VLOOKUP($B74,curvesettle,4,FALSE())</f>
        <v>0.0487117260353274</v>
      </c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W74" s="168" t="n">
        <v>0.05</v>
      </c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</row>
    <row r="75" customFormat="false" ht="12.75" hidden="false" customHeight="false" outlineLevel="0" collapsed="false">
      <c r="A75" s="136" t="n">
        <f aca="false">A74+1</f>
        <v>53</v>
      </c>
      <c r="B75" s="165" t="n">
        <f aca="false">DATE(YEAR(B74),MONTH(B74)+1,1)</f>
        <v>38869</v>
      </c>
      <c r="C75" s="0"/>
      <c r="D75" s="136" t="n">
        <f aca="false">VLOOKUP($B75,curvesettle,2,FALSE())</f>
        <v>3.174</v>
      </c>
      <c r="E75" s="166" t="n">
        <f aca="false">K$12</f>
        <v>-0.00691666666666668</v>
      </c>
      <c r="F75" s="167" t="n">
        <f aca="false">IF(D$1="settle",D75,IF(D$1="EOL",D75+E75,IF(ISNUMBER(C75),C75,D75)))</f>
        <v>3.174</v>
      </c>
      <c r="G75" s="168" t="e">
        <f aca="false">IF($D$2="settle",H75,IF($D$2="straddles",K75,IF($D$2="custom",H75+I75,0)))</f>
        <v>#VALUE!</v>
      </c>
      <c r="H75" s="168" t="n">
        <f aca="false">VLOOKUP($B75,curvesettle,3,FALSE())</f>
        <v>0.245</v>
      </c>
      <c r="I75" s="168" t="n">
        <v>0</v>
      </c>
      <c r="J75" s="166" t="n">
        <v>0.28</v>
      </c>
      <c r="K75" s="168" t="e">
        <f aca="true">bsd(6,1,$F75,$F75,$O75-TODAY(),$H75,$P75,J75/2)</f>
        <v>#VALUE!</v>
      </c>
      <c r="N75" s="2" t="n">
        <f aca="false">A75</f>
        <v>53</v>
      </c>
      <c r="O75" s="169" t="n">
        <f aca="false">VLOOKUP(B75,expiration,3,FALSE())</f>
        <v>38862</v>
      </c>
      <c r="P75" s="123" t="n">
        <f aca="false">VLOOKUP($B75,curvesettle,4,FALSE())</f>
        <v>0.0490122788324676</v>
      </c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W75" s="168" t="n">
        <v>0.05</v>
      </c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</row>
    <row r="76" customFormat="false" ht="12.75" hidden="false" customHeight="false" outlineLevel="0" collapsed="false">
      <c r="A76" s="136" t="n">
        <f aca="false">A75+1</f>
        <v>54</v>
      </c>
      <c r="B76" s="165" t="n">
        <f aca="false">DATE(YEAR(B75),MONTH(B75)+1,1)</f>
        <v>38899</v>
      </c>
      <c r="C76" s="0"/>
      <c r="D76" s="136" t="n">
        <f aca="false">VLOOKUP($B76,curvesettle,2,FALSE())</f>
        <v>3.214</v>
      </c>
      <c r="E76" s="166" t="n">
        <f aca="false">K$12</f>
        <v>-0.00691666666666668</v>
      </c>
      <c r="F76" s="167" t="n">
        <f aca="false">IF(D$1="settle",D76,IF(D$1="EOL",D76+E76,IF(ISNUMBER(C76),C76,D76)))</f>
        <v>3.214</v>
      </c>
      <c r="G76" s="168" t="e">
        <f aca="false">IF($D$2="settle",H76,IF($D$2="straddles",K76,IF($D$2="custom",H76+I76,0)))</f>
        <v>#VALUE!</v>
      </c>
      <c r="H76" s="168" t="n">
        <f aca="false">VLOOKUP($B76,curvesettle,3,FALSE())</f>
        <v>0.2475</v>
      </c>
      <c r="I76" s="168" t="n">
        <v>0</v>
      </c>
      <c r="J76" s="166" t="n">
        <v>0.28</v>
      </c>
      <c r="K76" s="168" t="e">
        <f aca="true">bsd(6,1,$F76,$F76,$O76-TODAY(),$H76,$P76,J76/2)</f>
        <v>#VALUE!</v>
      </c>
      <c r="N76" s="2" t="n">
        <f aca="false">A76</f>
        <v>54</v>
      </c>
      <c r="O76" s="169" t="n">
        <f aca="false">VLOOKUP(B76,expiration,3,FALSE())</f>
        <v>38895</v>
      </c>
      <c r="P76" s="123" t="n">
        <f aca="false">VLOOKUP($B76,curvesettle,4,FALSE())</f>
        <v>0.0493228500878793</v>
      </c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W76" s="168" t="n">
        <v>0.05</v>
      </c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</row>
    <row r="77" customFormat="false" ht="12.75" hidden="false" customHeight="false" outlineLevel="0" collapsed="false">
      <c r="A77" s="136" t="n">
        <f aca="false">A76+1</f>
        <v>55</v>
      </c>
      <c r="B77" s="165" t="n">
        <f aca="false">DATE(YEAR(B76),MONTH(B76)+1,1)</f>
        <v>38930</v>
      </c>
      <c r="C77" s="0"/>
      <c r="D77" s="136" t="n">
        <f aca="false">VLOOKUP($B77,curvesettle,2,FALSE())</f>
        <v>3.264</v>
      </c>
      <c r="E77" s="166" t="n">
        <f aca="false">K$12</f>
        <v>-0.00691666666666668</v>
      </c>
      <c r="F77" s="167" t="n">
        <f aca="false">IF(D$1="settle",D77,IF(D$1="EOL",D77+E77,IF(ISNUMBER(C77),C77,D77)))</f>
        <v>3.264</v>
      </c>
      <c r="G77" s="168" t="e">
        <f aca="false">IF($D$2="settle",H77,IF($D$2="straddles",K77,IF($D$2="custom",H77+I77,0)))</f>
        <v>#VALUE!</v>
      </c>
      <c r="H77" s="168" t="n">
        <f aca="false">VLOOKUP($B77,curvesettle,3,FALSE())</f>
        <v>0.2475</v>
      </c>
      <c r="I77" s="168" t="n">
        <v>0</v>
      </c>
      <c r="J77" s="166" t="n">
        <v>0.28</v>
      </c>
      <c r="K77" s="168" t="e">
        <f aca="true">bsd(6,1,$F77,$F77,$O77-TODAY(),$H77,$P77,J77/2)</f>
        <v>#VALUE!</v>
      </c>
      <c r="N77" s="2" t="n">
        <f aca="false">A77</f>
        <v>55</v>
      </c>
      <c r="O77" s="169" t="n">
        <f aca="false">VLOOKUP(B77,expiration,3,FALSE())</f>
        <v>38924</v>
      </c>
      <c r="P77" s="123" t="n">
        <f aca="false">VLOOKUP($B77,curvesettle,4,FALSE())</f>
        <v>0.04962340294637</v>
      </c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W77" s="168" t="n">
        <v>0.1</v>
      </c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</row>
    <row r="78" customFormat="false" ht="12.75" hidden="false" customHeight="false" outlineLevel="0" collapsed="false">
      <c r="A78" s="136" t="n">
        <f aca="false">A77+1</f>
        <v>56</v>
      </c>
      <c r="B78" s="165" t="n">
        <f aca="false">DATE(YEAR(B77),MONTH(B77)+1,1)</f>
        <v>38961</v>
      </c>
      <c r="C78" s="0"/>
      <c r="D78" s="136" t="n">
        <f aca="false">VLOOKUP($B78,curvesettle,2,FALSE())</f>
        <v>3.249</v>
      </c>
      <c r="E78" s="166" t="n">
        <f aca="false">K$12</f>
        <v>-0.00691666666666668</v>
      </c>
      <c r="F78" s="167" t="n">
        <f aca="false">IF(D$1="settle",D78,IF(D$1="EOL",D78+E78,IF(ISNUMBER(C78),C78,D78)))</f>
        <v>3.249</v>
      </c>
      <c r="G78" s="168" t="e">
        <f aca="false">IF($D$2="settle",H78,IF($D$2="straddles",K78,IF($D$2="custom",H78+I78,0)))</f>
        <v>#VALUE!</v>
      </c>
      <c r="H78" s="168" t="n">
        <f aca="false">VLOOKUP($B78,curvesettle,3,FALSE())</f>
        <v>0.2475</v>
      </c>
      <c r="I78" s="168" t="n">
        <v>0</v>
      </c>
      <c r="J78" s="166" t="n">
        <v>0.28</v>
      </c>
      <c r="K78" s="168" t="e">
        <f aca="true">bsd(6,1,$F78,$F78,$O78-TODAY(),$H78,$P78,J78/2)</f>
        <v>#VALUE!</v>
      </c>
      <c r="N78" s="2" t="n">
        <f aca="false">A78</f>
        <v>56</v>
      </c>
      <c r="O78" s="169" t="n">
        <f aca="false">VLOOKUP(B78,expiration,3,FALSE())</f>
        <v>38957</v>
      </c>
      <c r="P78" s="123" t="n">
        <f aca="false">VLOOKUP($B78,curvesettle,4,FALSE())</f>
        <v>0.0499339742651683</v>
      </c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W78" s="168" t="n">
        <v>0.2</v>
      </c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</row>
    <row r="79" customFormat="false" ht="12.75" hidden="false" customHeight="false" outlineLevel="0" collapsed="false">
      <c r="A79" s="136" t="n">
        <f aca="false">A78+1</f>
        <v>57</v>
      </c>
      <c r="B79" s="165" t="n">
        <f aca="false">DATE(YEAR(B78),MONTH(B78)+1,1)</f>
        <v>38991</v>
      </c>
      <c r="C79" s="0"/>
      <c r="D79" s="136" t="n">
        <f aca="false">VLOOKUP($B79,curvesettle,2,FALSE())</f>
        <v>3.264</v>
      </c>
      <c r="E79" s="166" t="n">
        <f aca="false">K$12</f>
        <v>-0.00691666666666668</v>
      </c>
      <c r="F79" s="167" t="n">
        <f aca="false">IF(D$1="settle",D79,IF(D$1="EOL",D79+E79,IF(ISNUMBER(C79),C79,D79)))</f>
        <v>3.264</v>
      </c>
      <c r="G79" s="168" t="e">
        <f aca="false">IF($D$2="settle",H79,IF($D$2="straddles",K79,IF($D$2="custom",H79+I79,0)))</f>
        <v>#VALUE!</v>
      </c>
      <c r="H79" s="168" t="n">
        <f aca="false">VLOOKUP($B79,curvesettle,3,FALSE())</f>
        <v>0.2475</v>
      </c>
      <c r="I79" s="168" t="n">
        <v>0</v>
      </c>
      <c r="J79" s="166" t="n">
        <v>0.28</v>
      </c>
      <c r="K79" s="168" t="e">
        <f aca="true">bsd(6,1,$F79,$F79,$O79-TODAY(),$H79,$P79,J79/2)</f>
        <v>#VALUE!</v>
      </c>
      <c r="N79" s="2" t="n">
        <f aca="false">A79</f>
        <v>57</v>
      </c>
      <c r="O79" s="169" t="n">
        <f aca="false">VLOOKUP(B79,expiration,3,FALSE())</f>
        <v>38986</v>
      </c>
      <c r="P79" s="123" t="n">
        <f aca="false">VLOOKUP($B79,curvesettle,4,FALSE())</f>
        <v>0.0502445456161724</v>
      </c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W79" s="168" t="n">
        <v>0.3</v>
      </c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</row>
    <row r="80" customFormat="false" ht="12.75" hidden="false" customHeight="false" outlineLevel="0" collapsed="false">
      <c r="A80" s="136" t="n">
        <f aca="false">A79+1</f>
        <v>58</v>
      </c>
      <c r="B80" s="165" t="n">
        <f aca="false">DATE(YEAR(B79),MONTH(B79)+1,1)</f>
        <v>39022</v>
      </c>
      <c r="C80" s="0"/>
      <c r="D80" s="136" t="n">
        <f aca="false">VLOOKUP($B80,curvesettle,2,FALSE())</f>
        <v>3.409</v>
      </c>
      <c r="E80" s="166" t="n">
        <f aca="false">K$12</f>
        <v>-0.00691666666666668</v>
      </c>
      <c r="F80" s="167" t="n">
        <f aca="false">IF(D$1="settle",D80,IF(D$1="EOL",D80+E80,IF(ISNUMBER(C80),C80,D80)))</f>
        <v>3.409</v>
      </c>
      <c r="G80" s="168" t="e">
        <f aca="false">IF($D$2="settle",H80,IF($D$2="straddles",K80,IF($D$2="custom",H80+I80,0)))</f>
        <v>#VALUE!</v>
      </c>
      <c r="H80" s="168" t="n">
        <f aca="false">VLOOKUP($B80,curvesettle,3,FALSE())</f>
        <v>0.2475</v>
      </c>
      <c r="I80" s="168" t="n">
        <v>0</v>
      </c>
      <c r="J80" s="166" t="n">
        <v>0.28</v>
      </c>
      <c r="K80" s="168" t="e">
        <f aca="true">bsd(6,1,$F80,$F80,$O80-TODAY(),$H80,$P80,J80/2)</f>
        <v>#VALUE!</v>
      </c>
      <c r="N80" s="2" t="n">
        <f aca="false">A80</f>
        <v>58</v>
      </c>
      <c r="O80" s="169" t="n">
        <f aca="false">VLOOKUP(B80,expiration,3,FALSE())</f>
        <v>39016</v>
      </c>
      <c r="P80" s="123" t="n">
        <f aca="false">VLOOKUP($B80,curvesettle,4,FALSE())</f>
        <v>0.0505450985671585</v>
      </c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W80" s="168" t="n">
        <v>0.3</v>
      </c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</row>
    <row r="81" customFormat="false" ht="12.75" hidden="false" customHeight="false" outlineLevel="0" collapsed="false">
      <c r="A81" s="136" t="n">
        <f aca="false">A80+1</f>
        <v>59</v>
      </c>
      <c r="B81" s="165" t="n">
        <f aca="false">DATE(YEAR(B80),MONTH(B80)+1,1)</f>
        <v>39052</v>
      </c>
      <c r="C81" s="0"/>
      <c r="D81" s="136" t="n">
        <f aca="false">VLOOKUP($B81,curvesettle,2,FALSE())</f>
        <v>3.544</v>
      </c>
      <c r="E81" s="166" t="n">
        <f aca="false">K$12</f>
        <v>-0.00691666666666668</v>
      </c>
      <c r="F81" s="167" t="n">
        <f aca="false">IF(D$1="settle",D81,IF(D$1="EOL",D81+E81,IF(ISNUMBER(C81),C81,D81)))</f>
        <v>3.544</v>
      </c>
      <c r="G81" s="168" t="e">
        <f aca="false">IF($D$2="settle",H81,IF($D$2="straddles",K81,IF($D$2="custom",H81+I81,0)))</f>
        <v>#VALUE!</v>
      </c>
      <c r="H81" s="168" t="n">
        <f aca="false">VLOOKUP($B81,curvesettle,3,FALSE())</f>
        <v>0.2475</v>
      </c>
      <c r="I81" s="168" t="n">
        <v>0</v>
      </c>
      <c r="J81" s="166" t="n">
        <v>0.28</v>
      </c>
      <c r="K81" s="168" t="e">
        <f aca="true">bsd(6,1,$F81,$F81,$O81-TODAY(),$H81,$P81,J81/2)</f>
        <v>#VALUE!</v>
      </c>
      <c r="N81" s="2" t="n">
        <f aca="false">A81</f>
        <v>59</v>
      </c>
      <c r="O81" s="169" t="n">
        <f aca="false">VLOOKUP(B81,expiration,3,FALSE())</f>
        <v>39048</v>
      </c>
      <c r="P81" s="123" t="n">
        <f aca="false">VLOOKUP($B81,curvesettle,4,FALSE())</f>
        <v>0.0508556699815208</v>
      </c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W81" s="168" t="n">
        <v>0.25</v>
      </c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</row>
    <row r="82" customFormat="false" ht="12.75" hidden="false" customHeight="false" outlineLevel="0" collapsed="false">
      <c r="A82" s="136" t="n">
        <f aca="false">A81+1</f>
        <v>60</v>
      </c>
      <c r="B82" s="165" t="n">
        <f aca="false">DATE(YEAR(B81),MONTH(B81)+1,1)</f>
        <v>39083</v>
      </c>
      <c r="C82" s="0"/>
      <c r="D82" s="136" t="n">
        <f aca="false">VLOOKUP($B82,curvesettle,2,FALSE())</f>
        <v>3.599</v>
      </c>
      <c r="E82" s="166" t="n">
        <f aca="false">K$12</f>
        <v>-0.00691666666666668</v>
      </c>
      <c r="F82" s="167" t="n">
        <f aca="false">IF(D$1="settle",D82,IF(D$1="EOL",D82+E82,IF(ISNUMBER(C82),C82,D82)))</f>
        <v>3.599</v>
      </c>
      <c r="G82" s="168" t="e">
        <f aca="false">IF($D$2="settle",H82,IF($D$2="straddles",K82,IF($D$2="custom",H82+I82,0)))</f>
        <v>#VALUE!</v>
      </c>
      <c r="H82" s="168" t="n">
        <f aca="false">VLOOKUP($B82,curvesettle,3,FALSE())</f>
        <v>0.2475</v>
      </c>
      <c r="I82" s="168" t="n">
        <v>0</v>
      </c>
      <c r="J82" s="166" t="n">
        <v>0.28</v>
      </c>
      <c r="K82" s="168" t="e">
        <f aca="true">bsd(6,1,$F82,$F82,$O82-TODAY(),$H82,$P82,J82/2)</f>
        <v>#VALUE!</v>
      </c>
      <c r="N82" s="2" t="n">
        <f aca="false">A82</f>
        <v>60</v>
      </c>
      <c r="O82" s="169" t="n">
        <f aca="false">VLOOKUP(B82,expiration,3,FALSE())</f>
        <v>39077</v>
      </c>
      <c r="P82" s="123" t="n">
        <f aca="false">VLOOKUP($B82,curvesettle,4,FALSE())</f>
        <v>0.0511562229938121</v>
      </c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W82" s="168" t="n">
        <v>0.1</v>
      </c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</row>
    <row r="83" customFormat="false" ht="12.75" hidden="false" customHeight="false" outlineLevel="0" collapsed="false">
      <c r="A83" s="136" t="n">
        <f aca="false">A82+1</f>
        <v>61</v>
      </c>
      <c r="B83" s="165" t="n">
        <f aca="false">DATE(YEAR(B82),MONTH(B82)+1,1)</f>
        <v>39114</v>
      </c>
      <c r="C83" s="0"/>
      <c r="D83" s="136" t="n">
        <f aca="false">VLOOKUP($B83,curvesettle,2,FALSE())</f>
        <v>3.451</v>
      </c>
      <c r="E83" s="166" t="n">
        <f aca="false">K$12</f>
        <v>-0.00691666666666668</v>
      </c>
      <c r="F83" s="167" t="n">
        <f aca="false">IF(D$1="settle",D83,IF(D$1="EOL",D83+E83,IF(ISNUMBER(C83),C83,D83)))</f>
        <v>3.451</v>
      </c>
      <c r="G83" s="168" t="e">
        <f aca="false">IF($D$2="settle",H83,IF($D$2="straddles",K83,IF($D$2="custom",H83+I83,0)))</f>
        <v>#VALUE!</v>
      </c>
      <c r="H83" s="168" t="n">
        <f aca="false">VLOOKUP($B83,curvesettle,3,FALSE())</f>
        <v>0.2475</v>
      </c>
      <c r="I83" s="168" t="n">
        <v>0</v>
      </c>
      <c r="J83" s="166" t="n">
        <v>0.28</v>
      </c>
      <c r="K83" s="168" t="e">
        <f aca="true">bsd(6,1,$F83,$F83,$O83-TODAY(),$H83,$P83,J83/2)</f>
        <v>#VALUE!</v>
      </c>
      <c r="N83" s="2" t="n">
        <f aca="false">A83</f>
        <v>61</v>
      </c>
      <c r="O83" s="169" t="n">
        <f aca="false">VLOOKUP(B83,expiration,3,FALSE())</f>
        <v>39108</v>
      </c>
      <c r="P83" s="123" t="n">
        <f aca="false">VLOOKUP($B83,curvesettle,4,FALSE())</f>
        <v>0.051391857633718</v>
      </c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W83" s="168" t="n">
        <v>0</v>
      </c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</row>
    <row r="84" customFormat="false" ht="12.75" hidden="false" customHeight="false" outlineLevel="0" collapsed="false">
      <c r="A84" s="136" t="n">
        <f aca="false">A83+1</f>
        <v>62</v>
      </c>
      <c r="B84" s="165" t="n">
        <f aca="false">DATE(YEAR(B83),MONTH(B83)+1,1)</f>
        <v>39142</v>
      </c>
      <c r="C84" s="0"/>
      <c r="D84" s="136" t="n">
        <f aca="false">VLOOKUP($B84,curvesettle,2,FALSE())</f>
        <v>3.4</v>
      </c>
      <c r="E84" s="166" t="n">
        <f aca="false">K$12</f>
        <v>-0.00691666666666668</v>
      </c>
      <c r="F84" s="167" t="n">
        <f aca="false">IF(D$1="settle",D84,IF(D$1="EOL",D84+E84,IF(ISNUMBER(C84),C84,D84)))</f>
        <v>3.4</v>
      </c>
      <c r="G84" s="168" t="e">
        <f aca="false">IF($D$2="settle",H84,IF($D$2="straddles",K84,IF($D$2="custom",H84+I84,0)))</f>
        <v>#VALUE!</v>
      </c>
      <c r="H84" s="168" t="n">
        <f aca="false">VLOOKUP($B84,curvesettle,3,FALSE())</f>
        <v>0.2425</v>
      </c>
      <c r="I84" s="168" t="n">
        <v>0</v>
      </c>
      <c r="J84" s="166" t="n">
        <v>0.28</v>
      </c>
      <c r="K84" s="168" t="e">
        <f aca="true">bsd(6,1,$F84,$F84,$O84-TODAY(),$H84,$P84,J84/2)</f>
        <v>#VALUE!</v>
      </c>
      <c r="N84" s="2" t="n">
        <f aca="false">A84</f>
        <v>62</v>
      </c>
      <c r="O84" s="169" t="n">
        <f aca="false">VLOOKUP(B84,expiration,3,FALSE())</f>
        <v>39136</v>
      </c>
      <c r="P84" s="123" t="n">
        <f aca="false">VLOOKUP($B84,curvesettle,4,FALSE())</f>
        <v>0.0515733712395421</v>
      </c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W84" s="168" t="n">
        <v>0</v>
      </c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</row>
    <row r="85" customFormat="false" ht="12.75" hidden="false" customHeight="false" outlineLevel="0" collapsed="false">
      <c r="A85" s="136" t="n">
        <f aca="false">A84+1</f>
        <v>63</v>
      </c>
      <c r="B85" s="165" t="n">
        <f aca="false">DATE(YEAR(B84),MONTH(B84)+1,1)</f>
        <v>39173</v>
      </c>
      <c r="C85" s="0"/>
      <c r="D85" s="136" t="n">
        <f aca="false">VLOOKUP($B85,curvesettle,2,FALSE())</f>
        <v>3.181</v>
      </c>
      <c r="E85" s="166" t="n">
        <f aca="false">K$12</f>
        <v>-0.00691666666666668</v>
      </c>
      <c r="F85" s="167" t="n">
        <f aca="false">IF(D$1="settle",D85,IF(D$1="EOL",D85+E85,IF(ISNUMBER(C85),C85,D85)))</f>
        <v>3.181</v>
      </c>
      <c r="G85" s="168" t="e">
        <f aca="false">IF($D$2="settle",H85,IF($D$2="straddles",K85,IF($D$2="custom",H85+I85,0)))</f>
        <v>#VALUE!</v>
      </c>
      <c r="H85" s="168" t="n">
        <f aca="false">VLOOKUP($B85,curvesettle,3,FALSE())</f>
        <v>0.24</v>
      </c>
      <c r="I85" s="168" t="n">
        <v>0</v>
      </c>
      <c r="J85" s="166" t="n">
        <v>0.28</v>
      </c>
      <c r="K85" s="168" t="e">
        <f aca="true">bsd(6,1,$F85,$F85,$O85-TODAY(),$H85,$P85,J85/2)</f>
        <v>#VALUE!</v>
      </c>
      <c r="N85" s="2" t="n">
        <f aca="false">A85</f>
        <v>63</v>
      </c>
      <c r="O85" s="169" t="n">
        <f aca="false">VLOOKUP(B85,expiration,3,FALSE())</f>
        <v>39168</v>
      </c>
      <c r="P85" s="123" t="n">
        <f aca="false">VLOOKUP($B85,curvesettle,4,FALSE())</f>
        <v>0.0517373190219916</v>
      </c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W85" s="168" t="n">
        <v>0</v>
      </c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</row>
    <row r="86" customFormat="false" ht="12.75" hidden="false" customHeight="false" outlineLevel="0" collapsed="false">
      <c r="A86" s="136" t="n">
        <f aca="false">A85+1</f>
        <v>64</v>
      </c>
      <c r="B86" s="165" t="n">
        <f aca="false">DATE(YEAR(B85),MONTH(B85)+1,1)</f>
        <v>39203</v>
      </c>
      <c r="C86" s="0"/>
      <c r="D86" s="136" t="n">
        <f aca="false">VLOOKUP($B86,curvesettle,2,FALSE())</f>
        <v>3.184</v>
      </c>
      <c r="E86" s="166" t="n">
        <f aca="false">K$12</f>
        <v>-0.00691666666666668</v>
      </c>
      <c r="F86" s="167" t="n">
        <f aca="false">IF(D$1="settle",D86,IF(D$1="EOL",D86+E86,IF(ISNUMBER(C86),C86,D86)))</f>
        <v>3.184</v>
      </c>
      <c r="G86" s="168" t="e">
        <f aca="false">IF($D$2="settle",H86,IF($D$2="straddles",K86,IF($D$2="custom",H86+I86,0)))</f>
        <v>#VALUE!</v>
      </c>
      <c r="H86" s="168" t="n">
        <f aca="false">VLOOKUP($B86,curvesettle,3,FALSE())</f>
        <v>0.24</v>
      </c>
      <c r="I86" s="168" t="n">
        <v>0</v>
      </c>
      <c r="J86" s="166" t="n">
        <v>0.28</v>
      </c>
      <c r="K86" s="168" t="e">
        <f aca="true">bsd(6,1,$F86,$F86,$O86-TODAY(),$H86,$P86,J86/2)</f>
        <v>#VALUE!</v>
      </c>
      <c r="N86" s="2" t="n">
        <f aca="false">A86</f>
        <v>64</v>
      </c>
      <c r="O86" s="169" t="n">
        <f aca="false">VLOOKUP(B86,expiration,3,FALSE())</f>
        <v>39197</v>
      </c>
      <c r="P86" s="123" t="n">
        <f aca="false">VLOOKUP($B86,curvesettle,4,FALSE())</f>
        <v>0.0519188326487345</v>
      </c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W86" s="168" t="n">
        <v>0</v>
      </c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</row>
    <row r="87" customFormat="false" ht="12.75" hidden="false" customHeight="false" outlineLevel="0" collapsed="false">
      <c r="A87" s="136" t="n">
        <f aca="false">A86+1</f>
        <v>65</v>
      </c>
      <c r="B87" s="165" t="n">
        <f aca="false">DATE(YEAR(B86),MONTH(B86)+1,1)</f>
        <v>39234</v>
      </c>
      <c r="C87" s="0"/>
      <c r="D87" s="136" t="n">
        <f aca="false">VLOOKUP($B87,curvesettle,2,FALSE())</f>
        <v>3.224</v>
      </c>
      <c r="E87" s="166" t="n">
        <f aca="false">K$12</f>
        <v>-0.00691666666666668</v>
      </c>
      <c r="F87" s="167" t="n">
        <f aca="false">IF(D$1="settle",D87,IF(D$1="EOL",D87+E87,IF(ISNUMBER(C87),C87,D87)))</f>
        <v>3.224</v>
      </c>
      <c r="G87" s="168" t="e">
        <f aca="false">IF($D$2="settle",H87,IF($D$2="straddles",K87,IF($D$2="custom",H87+I87,0)))</f>
        <v>#VALUE!</v>
      </c>
      <c r="H87" s="168" t="n">
        <f aca="false">VLOOKUP($B87,curvesettle,3,FALSE())</f>
        <v>0.24</v>
      </c>
      <c r="I87" s="168" t="n">
        <v>0</v>
      </c>
      <c r="J87" s="166" t="n">
        <v>0.28</v>
      </c>
      <c r="K87" s="168" t="e">
        <f aca="true">bsd(6,1,$F87,$F87,$O87-TODAY(),$H87,$P87,J87/2)</f>
        <v>#VALUE!</v>
      </c>
      <c r="N87" s="2" t="n">
        <f aca="false">A87</f>
        <v>65</v>
      </c>
      <c r="O87" s="169" t="n">
        <f aca="false">VLOOKUP(B87,expiration,3,FALSE())</f>
        <v>39227</v>
      </c>
      <c r="P87" s="123" t="n">
        <f aca="false">VLOOKUP($B87,curvesettle,4,FALSE())</f>
        <v>0.0520944910076597</v>
      </c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W87" s="168" t="n">
        <v>0</v>
      </c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</row>
    <row r="88" customFormat="false" ht="12.75" hidden="false" customHeight="false" outlineLevel="0" collapsed="false">
      <c r="A88" s="136" t="n">
        <f aca="false">A87+1</f>
        <v>66</v>
      </c>
      <c r="B88" s="165" t="n">
        <f aca="false">DATE(YEAR(B87),MONTH(B87)+1,1)</f>
        <v>39264</v>
      </c>
      <c r="C88" s="0"/>
      <c r="D88" s="136" t="n">
        <f aca="false">VLOOKUP($B88,curvesettle,2,FALSE())</f>
        <v>3.264</v>
      </c>
      <c r="E88" s="166" t="n">
        <f aca="false">K$12</f>
        <v>-0.00691666666666668</v>
      </c>
      <c r="F88" s="167" t="n">
        <f aca="false">IF(D$1="settle",D88,IF(D$1="EOL",D88+E88,IF(ISNUMBER(C88),C88,D88)))</f>
        <v>3.264</v>
      </c>
      <c r="G88" s="168" t="e">
        <f aca="false">IF($D$2="settle",H88,IF($D$2="straddles",K88,IF($D$2="custom",H88+I88,0)))</f>
        <v>#VALUE!</v>
      </c>
      <c r="H88" s="168" t="n">
        <f aca="false">VLOOKUP($B88,curvesettle,3,FALSE())</f>
        <v>0.24</v>
      </c>
      <c r="I88" s="168" t="n">
        <v>0</v>
      </c>
      <c r="J88" s="166" t="n">
        <v>0.28</v>
      </c>
      <c r="K88" s="168" t="e">
        <f aca="true">bsd(6,1,$F88,$F88,$O88-TODAY(),$H88,$P88,J88/2)</f>
        <v>#VALUE!</v>
      </c>
      <c r="N88" s="2" t="n">
        <f aca="false">A88</f>
        <v>66</v>
      </c>
      <c r="O88" s="169" t="n">
        <f aca="false">VLOOKUP(B88,expiration,3,FALSE())</f>
        <v>39259</v>
      </c>
      <c r="P88" s="123" t="n">
        <f aca="false">VLOOKUP($B88,curvesettle,4,FALSE())</f>
        <v>0.0522760046560284</v>
      </c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W88" s="168" t="n">
        <v>0</v>
      </c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</row>
    <row r="89" customFormat="false" ht="12.75" hidden="false" customHeight="false" outlineLevel="0" collapsed="false">
      <c r="A89" s="136" t="n">
        <f aca="false">A88+1</f>
        <v>67</v>
      </c>
      <c r="B89" s="165" t="n">
        <f aca="false">DATE(YEAR(B88),MONTH(B88)+1,1)</f>
        <v>39295</v>
      </c>
      <c r="C89" s="0"/>
      <c r="D89" s="136" t="n">
        <f aca="false">VLOOKUP($B89,curvesettle,2,FALSE())</f>
        <v>3.314</v>
      </c>
      <c r="E89" s="166" t="n">
        <f aca="false">K$12</f>
        <v>-0.00691666666666668</v>
      </c>
      <c r="F89" s="167" t="n">
        <f aca="false">IF(D$1="settle",D89,IF(D$1="EOL",D89+E89,IF(ISNUMBER(C89),C89,D89)))</f>
        <v>3.314</v>
      </c>
      <c r="G89" s="168" t="e">
        <f aca="false">IF($D$2="settle",H89,IF($D$2="straddles",K89,IF($D$2="custom",H89+I89,0)))</f>
        <v>#VALUE!</v>
      </c>
      <c r="H89" s="168" t="n">
        <f aca="false">VLOOKUP($B89,curvesettle,3,FALSE())</f>
        <v>0.24</v>
      </c>
      <c r="I89" s="168" t="n">
        <v>0</v>
      </c>
      <c r="J89" s="166" t="n">
        <v>0.28</v>
      </c>
      <c r="K89" s="168" t="e">
        <f aca="true">bsd(6,1,$F89,$F89,$O89-TODAY(),$H89,$P89,J89/2)</f>
        <v>#VALUE!</v>
      </c>
      <c r="N89" s="2" t="n">
        <f aca="false">A89</f>
        <v>67</v>
      </c>
      <c r="O89" s="169" t="n">
        <f aca="false">VLOOKUP(B89,expiration,3,FALSE())</f>
        <v>39289</v>
      </c>
      <c r="P89" s="123" t="n">
        <f aca="false">VLOOKUP($B89,curvesettle,4,FALSE())</f>
        <v>0.0524516630358791</v>
      </c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W89" s="168" t="n">
        <v>0</v>
      </c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</row>
    <row r="90" customFormat="false" ht="12.75" hidden="false" customHeight="false" outlineLevel="0" collapsed="false">
      <c r="A90" s="136" t="n">
        <f aca="false">A89+1</f>
        <v>68</v>
      </c>
      <c r="B90" s="165" t="n">
        <f aca="false">DATE(YEAR(B89),MONTH(B89)+1,1)</f>
        <v>39326</v>
      </c>
      <c r="C90" s="0"/>
      <c r="D90" s="136" t="n">
        <f aca="false">VLOOKUP($B90,curvesettle,2,FALSE())</f>
        <v>3.299</v>
      </c>
      <c r="E90" s="166" t="n">
        <f aca="false">K$12</f>
        <v>-0.00691666666666668</v>
      </c>
      <c r="F90" s="167" t="n">
        <f aca="false">IF(D$1="settle",D90,IF(D$1="EOL",D90+E90,IF(ISNUMBER(C90),C90,D90)))</f>
        <v>3.299</v>
      </c>
      <c r="G90" s="168" t="e">
        <f aca="false">IF($D$2="settle",H90,IF($D$2="straddles",K90,IF($D$2="custom",H90+I90,0)))</f>
        <v>#VALUE!</v>
      </c>
      <c r="H90" s="168" t="n">
        <f aca="false">VLOOKUP($B90,curvesettle,3,FALSE())</f>
        <v>0.24</v>
      </c>
      <c r="I90" s="168" t="n">
        <v>0</v>
      </c>
      <c r="J90" s="166" t="n">
        <v>0.28</v>
      </c>
      <c r="K90" s="168" t="e">
        <f aca="true">bsd(6,1,$F90,$F90,$O90-TODAY(),$H90,$P90,J90/2)</f>
        <v>#VALUE!</v>
      </c>
      <c r="N90" s="2" t="n">
        <f aca="false">A90</f>
        <v>68</v>
      </c>
      <c r="O90" s="169" t="n">
        <f aca="false">VLOOKUP(B90,expiration,3,FALSE())</f>
        <v>39322</v>
      </c>
      <c r="P90" s="123" t="n">
        <f aca="false">VLOOKUP($B90,curvesettle,4,FALSE())</f>
        <v>0.0526331767058688</v>
      </c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W90" s="168" t="n">
        <v>0</v>
      </c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</row>
    <row r="91" customFormat="false" ht="12.75" hidden="false" customHeight="false" outlineLevel="0" collapsed="false">
      <c r="A91" s="136" t="n">
        <f aca="false">A90+1</f>
        <v>69</v>
      </c>
      <c r="B91" s="165" t="n">
        <f aca="false">DATE(YEAR(B90),MONTH(B90)+1,1)</f>
        <v>39356</v>
      </c>
      <c r="C91" s="0"/>
      <c r="D91" s="136" t="n">
        <f aca="false">VLOOKUP($B91,curvesettle,2,FALSE())</f>
        <v>3.314</v>
      </c>
      <c r="E91" s="166" t="n">
        <f aca="false">K$12</f>
        <v>-0.00691666666666668</v>
      </c>
      <c r="F91" s="167" t="n">
        <f aca="false">IF(D$1="settle",D91,IF(D$1="EOL",D91+E91,IF(ISNUMBER(C91),C91,D91)))</f>
        <v>3.314</v>
      </c>
      <c r="G91" s="168" t="e">
        <f aca="false">IF($D$2="settle",H91,IF($D$2="straddles",K91,IF($D$2="custom",H91+I91,0)))</f>
        <v>#VALUE!</v>
      </c>
      <c r="H91" s="168" t="n">
        <f aca="false">VLOOKUP($B91,curvesettle,3,FALSE())</f>
        <v>0.24</v>
      </c>
      <c r="I91" s="168" t="n">
        <v>0</v>
      </c>
      <c r="J91" s="166" t="n">
        <v>0.28</v>
      </c>
      <c r="K91" s="168" t="e">
        <f aca="true">bsd(6,1,$F91,$F91,$O91-TODAY(),$H91,$P91,J91/2)</f>
        <v>#VALUE!</v>
      </c>
      <c r="N91" s="2" t="n">
        <f aca="false">A91</f>
        <v>69</v>
      </c>
      <c r="O91" s="169" t="n">
        <f aca="false">VLOOKUP(B91,expiration,3,FALSE())</f>
        <v>39350</v>
      </c>
      <c r="P91" s="123" t="n">
        <f aca="false">VLOOKUP($B91,curvesettle,4,FALSE())</f>
        <v>0.0528146903868447</v>
      </c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W91" s="168" t="n">
        <v>0</v>
      </c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</row>
    <row r="92" customFormat="false" ht="12.75" hidden="false" customHeight="false" outlineLevel="0" collapsed="false">
      <c r="A92" s="136" t="n">
        <f aca="false">A91+1</f>
        <v>70</v>
      </c>
      <c r="B92" s="165" t="n">
        <f aca="false">DATE(YEAR(B91),MONTH(B91)+1,1)</f>
        <v>39387</v>
      </c>
      <c r="C92" s="0"/>
      <c r="D92" s="136" t="n">
        <f aca="false">VLOOKUP($B92,curvesettle,2,FALSE())</f>
        <v>3.459</v>
      </c>
      <c r="E92" s="166" t="n">
        <f aca="false">K$12</f>
        <v>-0.00691666666666668</v>
      </c>
      <c r="F92" s="167" t="n">
        <f aca="false">IF(D$1="settle",D92,IF(D$1="EOL",D92+E92,IF(ISNUMBER(C92),C92,D92)))</f>
        <v>3.459</v>
      </c>
      <c r="G92" s="168" t="e">
        <f aca="false">IF($D$2="settle",H92,IF($D$2="straddles",K92,IF($D$2="custom",H92+I92,0)))</f>
        <v>#VALUE!</v>
      </c>
      <c r="H92" s="168" t="n">
        <f aca="false">VLOOKUP($B92,curvesettle,3,FALSE())</f>
        <v>0.24</v>
      </c>
      <c r="I92" s="168" t="n">
        <v>0</v>
      </c>
      <c r="J92" s="166" t="n">
        <v>0.28</v>
      </c>
      <c r="K92" s="168" t="e">
        <f aca="true">bsd(6,1,$F92,$F92,$O92-TODAY(),$H92,$P92,J92/2)</f>
        <v>#VALUE!</v>
      </c>
      <c r="N92" s="2" t="n">
        <f aca="false">A92</f>
        <v>70</v>
      </c>
      <c r="O92" s="169" t="n">
        <f aca="false">VLOOKUP(B92,expiration,3,FALSE())</f>
        <v>39381</v>
      </c>
      <c r="P92" s="123" t="n">
        <f aca="false">VLOOKUP($B92,curvesettle,4,FALSE())</f>
        <v>0.0529903487982488</v>
      </c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W92" s="168" t="n">
        <v>0</v>
      </c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</row>
    <row r="93" customFormat="false" ht="12.75" hidden="false" customHeight="false" outlineLevel="0" collapsed="false">
      <c r="A93" s="136" t="n">
        <f aca="false">A92+1</f>
        <v>71</v>
      </c>
      <c r="B93" s="165" t="n">
        <f aca="false">DATE(YEAR(B92),MONTH(B92)+1,1)</f>
        <v>39417</v>
      </c>
      <c r="C93" s="0"/>
      <c r="D93" s="136" t="n">
        <f aca="false">VLOOKUP($B93,curvesettle,2,FALSE())</f>
        <v>3.594</v>
      </c>
      <c r="E93" s="166" t="n">
        <f aca="false">K$12</f>
        <v>-0.00691666666666668</v>
      </c>
      <c r="F93" s="167" t="n">
        <f aca="false">IF(D$1="settle",D93,IF(D$1="EOL",D93+E93,IF(ISNUMBER(C93),C93,D93)))</f>
        <v>3.594</v>
      </c>
      <c r="G93" s="168" t="e">
        <f aca="false">IF($D$2="settle",H93,IF($D$2="straddles",K93,IF($D$2="custom",H93+I93,0)))</f>
        <v>#VALUE!</v>
      </c>
      <c r="H93" s="168" t="n">
        <f aca="false">VLOOKUP($B93,curvesettle,3,FALSE())</f>
        <v>0.24</v>
      </c>
      <c r="I93" s="168" t="n">
        <v>0</v>
      </c>
      <c r="J93" s="166" t="n">
        <v>0.28</v>
      </c>
      <c r="K93" s="168" t="e">
        <f aca="true">bsd(6,1,$F93,$F93,$O93-TODAY(),$H93,$P93,J93/2)</f>
        <v>#VALUE!</v>
      </c>
      <c r="N93" s="2" t="n">
        <f aca="false">A93</f>
        <v>71</v>
      </c>
      <c r="O93" s="169" t="n">
        <f aca="false">VLOOKUP(B93,expiration,3,FALSE())</f>
        <v>39413</v>
      </c>
      <c r="P93" s="123" t="n">
        <f aca="false">VLOOKUP($B93,curvesettle,4,FALSE())</f>
        <v>0.0531718625008408</v>
      </c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W93" s="168" t="n">
        <v>0</v>
      </c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</row>
    <row r="94" customFormat="false" ht="12.75" hidden="false" customHeight="false" outlineLevel="0" collapsed="false">
      <c r="A94" s="136" t="n">
        <f aca="false">A93+1</f>
        <v>72</v>
      </c>
      <c r="B94" s="165" t="n">
        <f aca="false">DATE(YEAR(B93),MONTH(B93)+1,1)</f>
        <v>39448</v>
      </c>
      <c r="C94" s="0"/>
      <c r="D94" s="136" t="n">
        <f aca="false">VLOOKUP($B94,curvesettle,2,FALSE())</f>
        <v>3.649</v>
      </c>
      <c r="E94" s="166" t="n">
        <f aca="false">K$12</f>
        <v>-0.00691666666666668</v>
      </c>
      <c r="F94" s="167" t="n">
        <f aca="false">IF(D$1="settle",D94,IF(D$1="EOL",D94+E94,IF(ISNUMBER(C94),C94,D94)))</f>
        <v>3.649</v>
      </c>
      <c r="G94" s="168" t="e">
        <f aca="false">IF($D$2="settle",H94,IF($D$2="straddles",K94,IF($D$2="custom",H94+I94,0)))</f>
        <v>#VALUE!</v>
      </c>
      <c r="H94" s="168" t="n">
        <f aca="false">VLOOKUP($B94,curvesettle,3,FALSE())</f>
        <v>0.24</v>
      </c>
      <c r="I94" s="168" t="n">
        <v>0</v>
      </c>
      <c r="J94" s="166" t="n">
        <v>0.28</v>
      </c>
      <c r="K94" s="168" t="e">
        <f aca="true">bsd(6,1,$F94,$F94,$O94-TODAY(),$H94,$P94,J94/2)</f>
        <v>#VALUE!</v>
      </c>
      <c r="N94" s="2" t="n">
        <f aca="false">A94</f>
        <v>72</v>
      </c>
      <c r="O94" s="169" t="n">
        <f aca="false">VLOOKUP(B94,expiration,3,FALSE())</f>
        <v>39442</v>
      </c>
      <c r="P94" s="123" t="n">
        <f aca="false">VLOOKUP($B94,curvesettle,4,FALSE())</f>
        <v>0.0533475209331611</v>
      </c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W94" s="168" t="n">
        <v>0</v>
      </c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</row>
    <row r="95" customFormat="false" ht="12.75" hidden="false" customHeight="false" outlineLevel="0" collapsed="false">
      <c r="A95" s="136" t="n">
        <f aca="false">A94+1</f>
        <v>73</v>
      </c>
      <c r="B95" s="165" t="n">
        <f aca="false">DATE(YEAR(B94),MONTH(B94)+1,1)</f>
        <v>39479</v>
      </c>
      <c r="C95" s="0"/>
      <c r="D95" s="136" t="n">
        <f aca="false">VLOOKUP($B95,curvesettle,2,FALSE())</f>
        <v>3.501</v>
      </c>
      <c r="E95" s="166" t="n">
        <f aca="false">K$12</f>
        <v>-0.00691666666666668</v>
      </c>
      <c r="F95" s="167" t="n">
        <f aca="false">IF(D$1="settle",D95,IF(D$1="EOL",D95+E95,IF(ISNUMBER(C95),C95,D95)))</f>
        <v>3.501</v>
      </c>
      <c r="G95" s="168" t="e">
        <f aca="false">IF($D$2="settle",H95,IF($D$2="straddles",K95,IF($D$2="custom",H95+I95,0)))</f>
        <v>#VALUE!</v>
      </c>
      <c r="H95" s="168" t="n">
        <f aca="false">VLOOKUP($B95,curvesettle,3,FALSE())</f>
        <v>0.24</v>
      </c>
      <c r="I95" s="168" t="n">
        <v>0</v>
      </c>
      <c r="J95" s="166" t="n">
        <v>0.28</v>
      </c>
      <c r="K95" s="168" t="e">
        <f aca="true">bsd(6,1,$F95,$F95,$O95-TODAY(),$H95,$P95,J95/2)</f>
        <v>#VALUE!</v>
      </c>
      <c r="N95" s="2" t="n">
        <f aca="false">A95</f>
        <v>73</v>
      </c>
      <c r="O95" s="169" t="n">
        <f aca="false">VLOOKUP(B95,expiration,3,FALSE())</f>
        <v>39475</v>
      </c>
      <c r="P95" s="123" t="n">
        <f aca="false">VLOOKUP($B95,curvesettle,4,FALSE())</f>
        <v>0.0535290346573647</v>
      </c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W95" s="168" t="n">
        <v>0</v>
      </c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</row>
    <row r="96" customFormat="false" ht="12.75" hidden="false" customHeight="false" outlineLevel="0" collapsed="false">
      <c r="A96" s="136" t="n">
        <f aca="false">A95+1</f>
        <v>74</v>
      </c>
      <c r="B96" s="165" t="n">
        <f aca="false">DATE(YEAR(B95),MONTH(B95)+1,1)</f>
        <v>39508</v>
      </c>
      <c r="C96" s="0"/>
      <c r="D96" s="136" t="n">
        <f aca="false">VLOOKUP($B96,curvesettle,2,FALSE())</f>
        <v>3.45</v>
      </c>
      <c r="E96" s="166" t="n">
        <f aca="false">K$12</f>
        <v>-0.00691666666666668</v>
      </c>
      <c r="F96" s="167" t="n">
        <f aca="false">IF(D$1="settle",D96,IF(D$1="EOL",D96+E96,IF(ISNUMBER(C96),C96,D96)))</f>
        <v>3.45</v>
      </c>
      <c r="G96" s="168" t="e">
        <f aca="false">IF($D$2="settle",H96,IF($D$2="straddles",K96,IF($D$2="custom",H96+I96,0)))</f>
        <v>#VALUE!</v>
      </c>
      <c r="H96" s="168" t="n">
        <f aca="false">VLOOKUP($B96,curvesettle,3,FALSE())</f>
        <v>0.24</v>
      </c>
      <c r="I96" s="168" t="n">
        <v>0</v>
      </c>
      <c r="J96" s="166" t="n">
        <v>0.28</v>
      </c>
      <c r="K96" s="168" t="e">
        <f aca="true">bsd(6,1,$F96,$F96,$O96-TODAY(),$H96,$P96,J96/2)</f>
        <v>#VALUE!</v>
      </c>
      <c r="N96" s="2" t="n">
        <f aca="false">A96</f>
        <v>74</v>
      </c>
      <c r="O96" s="169" t="n">
        <f aca="false">VLOOKUP(B96,expiration,3,FALSE())</f>
        <v>39504</v>
      </c>
      <c r="P96" s="123" t="n">
        <f aca="false">VLOOKUP($B96,curvesettle,4,FALSE())</f>
        <v>0.0537105483925497</v>
      </c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W96" s="168" t="n">
        <v>0</v>
      </c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</row>
    <row r="97" customFormat="false" ht="12.75" hidden="false" customHeight="false" outlineLevel="0" collapsed="false">
      <c r="A97" s="136" t="n">
        <f aca="false">A96+1</f>
        <v>75</v>
      </c>
      <c r="B97" s="165" t="n">
        <f aca="false">DATE(YEAR(B96),MONTH(B96)+1,1)</f>
        <v>39539</v>
      </c>
      <c r="C97" s="0"/>
      <c r="D97" s="136" t="n">
        <f aca="false">VLOOKUP($B97,curvesettle,2,FALSE())</f>
        <v>3.231</v>
      </c>
      <c r="E97" s="166" t="n">
        <f aca="false">K$12</f>
        <v>-0.00691666666666668</v>
      </c>
      <c r="F97" s="167" t="n">
        <f aca="false">IF(D$1="settle",D97,IF(D$1="EOL",D97+E97,IF(ISNUMBER(C97),C97,D97)))</f>
        <v>3.231</v>
      </c>
      <c r="G97" s="168" t="e">
        <f aca="false">IF($D$2="settle",H97,IF($D$2="straddles",K97,IF($D$2="custom",H97+I97,0)))</f>
        <v>#VALUE!</v>
      </c>
      <c r="H97" s="168" t="n">
        <f aca="false">VLOOKUP($B97,curvesettle,3,FALSE())</f>
        <v>0.235</v>
      </c>
      <c r="I97" s="168" t="n">
        <v>0</v>
      </c>
      <c r="J97" s="166" t="n">
        <v>0.28</v>
      </c>
      <c r="K97" s="168" t="e">
        <f aca="true">bsd(6,1,$F97,$F97,$O97-TODAY(),$H97,$P97,J97/2)</f>
        <v>#VALUE!</v>
      </c>
      <c r="N97" s="2" t="n">
        <f aca="false">A97</f>
        <v>75</v>
      </c>
      <c r="O97" s="169" t="n">
        <f aca="false">VLOOKUP(B97,expiration,3,FALSE())</f>
        <v>39533</v>
      </c>
      <c r="P97" s="123" t="n">
        <f aca="false">VLOOKUP($B97,curvesettle,4,FALSE())</f>
        <v>0.0538803515741155</v>
      </c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W97" s="168" t="n">
        <v>0</v>
      </c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</row>
    <row r="98" customFormat="false" ht="12.75" hidden="false" customHeight="false" outlineLevel="0" collapsed="false">
      <c r="A98" s="136" t="n">
        <f aca="false">A97+1</f>
        <v>76</v>
      </c>
      <c r="B98" s="165" t="n">
        <f aca="false">DATE(YEAR(B97),MONTH(B97)+1,1)</f>
        <v>39569</v>
      </c>
      <c r="C98" s="0"/>
      <c r="D98" s="136" t="n">
        <f aca="false">VLOOKUP($B98,curvesettle,2,FALSE())</f>
        <v>3.234</v>
      </c>
      <c r="E98" s="166" t="n">
        <f aca="false">K$12</f>
        <v>-0.00691666666666668</v>
      </c>
      <c r="F98" s="167" t="n">
        <f aca="false">IF(D$1="settle",D98,IF(D$1="EOL",D98+E98,IF(ISNUMBER(C98),C98,D98)))</f>
        <v>3.234</v>
      </c>
      <c r="G98" s="168" t="e">
        <f aca="false">IF($D$2="settle",H98,IF($D$2="straddles",K98,IF($D$2="custom",H98+I98,0)))</f>
        <v>#VALUE!</v>
      </c>
      <c r="H98" s="168" t="n">
        <f aca="false">VLOOKUP($B98,curvesettle,3,FALSE())</f>
        <v>0.23</v>
      </c>
      <c r="I98" s="168" t="n">
        <v>0</v>
      </c>
      <c r="J98" s="166" t="n">
        <v>0.28</v>
      </c>
      <c r="K98" s="168" t="e">
        <f aca="true">bsd(6,1,$F98,$F98,$O98-TODAY(),$H98,$P98,J98/2)</f>
        <v>#VALUE!</v>
      </c>
      <c r="N98" s="2" t="n">
        <f aca="false">A98</f>
        <v>76</v>
      </c>
      <c r="O98" s="169" t="n">
        <f aca="false">VLOOKUP(B98,expiration,3,FALSE())</f>
        <v>39563</v>
      </c>
      <c r="P98" s="123" t="n">
        <f aca="false">VLOOKUP($B98,curvesettle,4,FALSE())</f>
        <v>0.0540618653305529</v>
      </c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W98" s="168" t="n">
        <v>0</v>
      </c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</row>
    <row r="99" customFormat="false" ht="12.75" hidden="false" customHeight="false" outlineLevel="0" collapsed="false">
      <c r="A99" s="136" t="n">
        <f aca="false">A98+1</f>
        <v>77</v>
      </c>
      <c r="B99" s="165" t="n">
        <f aca="false">DATE(YEAR(B98),MONTH(B98)+1,1)</f>
        <v>39600</v>
      </c>
      <c r="C99" s="0"/>
      <c r="D99" s="136" t="n">
        <f aca="false">VLOOKUP($B99,curvesettle,2,FALSE())</f>
        <v>3.274</v>
      </c>
      <c r="E99" s="166" t="n">
        <f aca="false">K$12</f>
        <v>-0.00691666666666668</v>
      </c>
      <c r="F99" s="167" t="n">
        <f aca="false">IF(D$1="settle",D99,IF(D$1="EOL",D99+E99,IF(ISNUMBER(C99),C99,D99)))</f>
        <v>3.274</v>
      </c>
      <c r="G99" s="168" t="e">
        <f aca="false">IF($D$2="settle",H99,IF($D$2="straddles",K99,IF($D$2="custom",H99+I99,0)))</f>
        <v>#VALUE!</v>
      </c>
      <c r="H99" s="168" t="n">
        <f aca="false">VLOOKUP($B99,curvesettle,3,FALSE())</f>
        <v>0.23</v>
      </c>
      <c r="I99" s="168" t="n">
        <v>0</v>
      </c>
      <c r="J99" s="166" t="n">
        <v>0.28</v>
      </c>
      <c r="K99" s="168" t="e">
        <f aca="true">bsd(6,1,$F99,$F99,$O99-TODAY(),$H99,$P99,J99/2)</f>
        <v>#VALUE!</v>
      </c>
      <c r="N99" s="2" t="n">
        <f aca="false">A99</f>
        <v>77</v>
      </c>
      <c r="O99" s="169" t="n">
        <f aca="false">VLOOKUP(B99,expiration,3,FALSE())</f>
        <v>39595</v>
      </c>
      <c r="P99" s="123" t="n">
        <f aca="false">VLOOKUP($B99,curvesettle,4,FALSE())</f>
        <v>0.0542375238149777</v>
      </c>
      <c r="R99" s="168"/>
      <c r="S99" s="168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W99" s="168" t="n">
        <v>0</v>
      </c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</row>
    <row r="100" customFormat="false" ht="12.75" hidden="false" customHeight="false" outlineLevel="0" collapsed="false">
      <c r="A100" s="136" t="n">
        <f aca="false">A99+1</f>
        <v>78</v>
      </c>
      <c r="B100" s="165" t="n">
        <f aca="false">DATE(YEAR(B99),MONTH(B99)+1,1)</f>
        <v>39630</v>
      </c>
      <c r="C100" s="0"/>
      <c r="D100" s="136" t="n">
        <f aca="false">VLOOKUP($B100,curvesettle,2,FALSE())</f>
        <v>3.314</v>
      </c>
      <c r="E100" s="166" t="n">
        <f aca="false">K$12</f>
        <v>-0.00691666666666668</v>
      </c>
      <c r="F100" s="167" t="n">
        <f aca="false">IF(D$1="settle",D100,IF(D$1="EOL",D100+E100,IF(ISNUMBER(C100),C100,D100)))</f>
        <v>3.314</v>
      </c>
      <c r="G100" s="168" t="e">
        <f aca="false">IF($D$2="settle",H100,IF($D$2="straddles",K100,IF($D$2="custom",H100+I100,0)))</f>
        <v>#VALUE!</v>
      </c>
      <c r="H100" s="168" t="n">
        <f aca="false">VLOOKUP($B100,curvesettle,3,FALSE())</f>
        <v>0.23</v>
      </c>
      <c r="I100" s="168" t="n">
        <v>0</v>
      </c>
      <c r="J100" s="166" t="n">
        <v>0.28</v>
      </c>
      <c r="K100" s="168" t="e">
        <f aca="true">bsd(6,1,$F100,$F100,$O100-TODAY(),$H100,$P100,J100/2)</f>
        <v>#VALUE!</v>
      </c>
      <c r="N100" s="2" t="n">
        <f aca="false">A100</f>
        <v>78</v>
      </c>
      <c r="O100" s="169" t="n">
        <f aca="false">VLOOKUP(B100,expiration,3,FALSE())</f>
        <v>39624</v>
      </c>
      <c r="P100" s="123" t="n">
        <f aca="false">VLOOKUP($B100,curvesettle,4,FALSE())</f>
        <v>0.0544190375930174</v>
      </c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W100" s="168" t="n">
        <v>0</v>
      </c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</row>
    <row r="101" customFormat="false" ht="12.75" hidden="false" customHeight="false" outlineLevel="0" collapsed="false">
      <c r="A101" s="136" t="n">
        <f aca="false">A100+1</f>
        <v>79</v>
      </c>
      <c r="B101" s="165" t="n">
        <f aca="false">DATE(YEAR(B100),MONTH(B100)+1,1)</f>
        <v>39661</v>
      </c>
      <c r="C101" s="0"/>
      <c r="D101" s="136" t="n">
        <f aca="false">VLOOKUP($B101,curvesettle,2,FALSE())</f>
        <v>3.364</v>
      </c>
      <c r="E101" s="166" t="n">
        <f aca="false">K$12</f>
        <v>-0.00691666666666668</v>
      </c>
      <c r="F101" s="167" t="n">
        <f aca="false">IF(D$1="settle",D101,IF(D$1="EOL",D101+E101,IF(ISNUMBER(C101),C101,D101)))</f>
        <v>3.364</v>
      </c>
      <c r="G101" s="168" t="e">
        <f aca="false">IF($D$2="settle",H101,IF($D$2="straddles",K101,IF($D$2="custom",H101+I101,0)))</f>
        <v>#VALUE!</v>
      </c>
      <c r="H101" s="168" t="n">
        <f aca="false">VLOOKUP($B101,curvesettle,3,FALSE())</f>
        <v>0.23</v>
      </c>
      <c r="I101" s="168" t="n">
        <v>0</v>
      </c>
      <c r="J101" s="166" t="n">
        <v>0.28</v>
      </c>
      <c r="K101" s="168" t="e">
        <f aca="true">bsd(6,1,$F101,$F101,$O101-TODAY(),$H101,$P101,J101/2)</f>
        <v>#VALUE!</v>
      </c>
      <c r="N101" s="2" t="n">
        <f aca="false">A101</f>
        <v>79</v>
      </c>
      <c r="O101" s="169" t="n">
        <f aca="false">VLOOKUP(B101,expiration,3,FALSE())</f>
        <v>39657</v>
      </c>
      <c r="P101" s="123" t="n">
        <f aca="false">VLOOKUP($B101,curvesettle,4,FALSE())</f>
        <v>0.0545946960983459</v>
      </c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W101" s="168" t="n">
        <v>0</v>
      </c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</row>
    <row r="102" customFormat="false" ht="12.75" hidden="false" customHeight="false" outlineLevel="0" collapsed="false">
      <c r="A102" s="136" t="n">
        <f aca="false">A101+1</f>
        <v>80</v>
      </c>
      <c r="B102" s="165" t="n">
        <f aca="false">DATE(YEAR(B101),MONTH(B101)+1,1)</f>
        <v>39692</v>
      </c>
      <c r="C102" s="0"/>
      <c r="D102" s="136" t="n">
        <f aca="false">VLOOKUP($B102,curvesettle,2,FALSE())</f>
        <v>3.349</v>
      </c>
      <c r="E102" s="166" t="n">
        <f aca="false">K$12</f>
        <v>-0.00691666666666668</v>
      </c>
      <c r="F102" s="167" t="n">
        <f aca="false">IF(D$1="settle",D102,IF(D$1="EOL",D102+E102,IF(ISNUMBER(C102),C102,D102)))</f>
        <v>3.349</v>
      </c>
      <c r="G102" s="168" t="e">
        <f aca="false">IF($D$2="settle",H102,IF($D$2="straddles",K102,IF($D$2="custom",H102+I102,0)))</f>
        <v>#VALUE!</v>
      </c>
      <c r="H102" s="168" t="n">
        <f aca="false">VLOOKUP($B102,curvesettle,3,FALSE())</f>
        <v>0.23</v>
      </c>
      <c r="I102" s="168" t="n">
        <v>0</v>
      </c>
      <c r="J102" s="166" t="n">
        <v>0.28</v>
      </c>
      <c r="K102" s="168" t="e">
        <f aca="true">bsd(6,1,$F102,$F102,$O102-TODAY(),$H102,$P102,J102/2)</f>
        <v>#VALUE!</v>
      </c>
      <c r="N102" s="2" t="n">
        <f aca="false">A102</f>
        <v>80</v>
      </c>
      <c r="O102" s="169" t="n">
        <f aca="false">VLOOKUP(B102,expiration,3,FALSE())</f>
        <v>39686</v>
      </c>
      <c r="P102" s="123" t="n">
        <f aca="false">VLOOKUP($B102,curvesettle,4,FALSE())</f>
        <v>0.0547762098979847</v>
      </c>
      <c r="R102" s="168"/>
      <c r="S102" s="168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W102" s="168" t="n">
        <v>0</v>
      </c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</row>
    <row r="103" customFormat="false" ht="12.75" hidden="false" customHeight="false" outlineLevel="0" collapsed="false">
      <c r="A103" s="136" t="n">
        <f aca="false">A102+1</f>
        <v>81</v>
      </c>
      <c r="B103" s="165" t="n">
        <f aca="false">DATE(YEAR(B102),MONTH(B102)+1,1)</f>
        <v>39722</v>
      </c>
      <c r="C103" s="0"/>
      <c r="D103" s="136" t="n">
        <f aca="false">VLOOKUP($B103,curvesettle,2,FALSE())</f>
        <v>3.364</v>
      </c>
      <c r="E103" s="166" t="n">
        <f aca="false">K$12</f>
        <v>-0.00691666666666668</v>
      </c>
      <c r="F103" s="167" t="n">
        <f aca="false">IF(D$1="settle",D103,IF(D$1="EOL",D103+E103,IF(ISNUMBER(C103),C103,D103)))</f>
        <v>3.364</v>
      </c>
      <c r="G103" s="168" t="e">
        <f aca="false">IF($D$2="settle",H103,IF($D$2="straddles",K103,IF($D$2="custom",H103+I103,0)))</f>
        <v>#VALUE!</v>
      </c>
      <c r="H103" s="168" t="n">
        <f aca="false">VLOOKUP($B103,curvesettle,3,FALSE())</f>
        <v>0.23</v>
      </c>
      <c r="I103" s="168" t="n">
        <v>0</v>
      </c>
      <c r="J103" s="166" t="n">
        <v>0.28</v>
      </c>
      <c r="K103" s="168" t="e">
        <f aca="true">bsd(6,1,$F103,$F103,$O103-TODAY(),$H103,$P103,J103/2)</f>
        <v>#VALUE!</v>
      </c>
      <c r="N103" s="2" t="n">
        <f aca="false">A103</f>
        <v>81</v>
      </c>
      <c r="O103" s="169" t="n">
        <f aca="false">VLOOKUP(B103,expiration,3,FALSE())</f>
        <v>39716</v>
      </c>
      <c r="P103" s="123" t="n">
        <f aca="false">VLOOKUP($B103,curvesettle,4,FALSE())</f>
        <v>0.0549577237085983</v>
      </c>
      <c r="R103" s="168"/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W103" s="168" t="n">
        <v>0</v>
      </c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</row>
    <row r="104" customFormat="false" ht="12.75" hidden="false" customHeight="false" outlineLevel="0" collapsed="false">
      <c r="A104" s="136" t="n">
        <f aca="false">A103+1</f>
        <v>82</v>
      </c>
      <c r="B104" s="165" t="n">
        <f aca="false">DATE(YEAR(B103),MONTH(B103)+1,1)</f>
        <v>39753</v>
      </c>
      <c r="C104" s="0"/>
      <c r="D104" s="136" t="n">
        <f aca="false">VLOOKUP($B104,curvesettle,2,FALSE())</f>
        <v>3.509</v>
      </c>
      <c r="E104" s="166" t="n">
        <f aca="false">K$12</f>
        <v>-0.00691666666666668</v>
      </c>
      <c r="F104" s="167" t="n">
        <f aca="false">IF(D$1="settle",D104,IF(D$1="EOL",D104+E104,IF(ISNUMBER(C104),C104,D104)))</f>
        <v>3.509</v>
      </c>
      <c r="G104" s="168" t="e">
        <f aca="false">IF($D$2="settle",H104,IF($D$2="straddles",K104,IF($D$2="custom",H104+I104,0)))</f>
        <v>#VALUE!</v>
      </c>
      <c r="H104" s="168" t="n">
        <f aca="false">VLOOKUP($B104,curvesettle,3,FALSE())</f>
        <v>0.23</v>
      </c>
      <c r="I104" s="168" t="n">
        <v>0</v>
      </c>
      <c r="J104" s="166" t="n">
        <v>0.28</v>
      </c>
      <c r="K104" s="168" t="e">
        <f aca="true">bsd(6,1,$F104,$F104,$O104-TODAY(),$H104,$P104,J104/2)</f>
        <v>#VALUE!</v>
      </c>
      <c r="N104" s="2" t="n">
        <f aca="false">A104</f>
        <v>82</v>
      </c>
      <c r="O104" s="169" t="n">
        <f aca="false">VLOOKUP(B104,expiration,3,FALSE())</f>
        <v>39749</v>
      </c>
      <c r="P104" s="123" t="n">
        <f aca="false">VLOOKUP($B104,curvesettle,4,FALSE())</f>
        <v>0.0551333822454474</v>
      </c>
      <c r="R104" s="168"/>
      <c r="S104" s="168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W104" s="168" t="n">
        <v>0</v>
      </c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</row>
    <row r="105" customFormat="false" ht="12.75" hidden="false" customHeight="false" outlineLevel="0" collapsed="false">
      <c r="A105" s="136" t="n">
        <f aca="false">A104+1</f>
        <v>83</v>
      </c>
      <c r="B105" s="165" t="n">
        <f aca="false">DATE(YEAR(B104),MONTH(B104)+1,1)</f>
        <v>39783</v>
      </c>
      <c r="C105" s="0"/>
      <c r="D105" s="136" t="n">
        <f aca="false">VLOOKUP($B105,curvesettle,2,FALSE())</f>
        <v>3.644</v>
      </c>
      <c r="E105" s="166" t="n">
        <f aca="false">K$12</f>
        <v>-0.00691666666666668</v>
      </c>
      <c r="F105" s="167" t="n">
        <f aca="false">IF(D$1="settle",D105,IF(D$1="EOL",D105+E105,IF(ISNUMBER(C105),C105,D105)))</f>
        <v>3.644</v>
      </c>
      <c r="G105" s="168" t="e">
        <f aca="false">IF($D$2="settle",H105,IF($D$2="straddles",K105,IF($D$2="custom",H105+I105,0)))</f>
        <v>#VALUE!</v>
      </c>
      <c r="H105" s="168" t="n">
        <f aca="false">VLOOKUP($B105,curvesettle,3,FALSE())</f>
        <v>0.23</v>
      </c>
      <c r="I105" s="168" t="n">
        <v>0</v>
      </c>
      <c r="J105" s="166" t="n">
        <v>0.28</v>
      </c>
      <c r="K105" s="168" t="e">
        <f aca="true">bsd(6,1,$F105,$F105,$O105-TODAY(),$H105,$P105,J105/2)</f>
        <v>#VALUE!</v>
      </c>
      <c r="N105" s="2" t="n">
        <f aca="false">A105</f>
        <v>83</v>
      </c>
      <c r="O105" s="169" t="n">
        <f aca="false">VLOOKUP(B105,expiration,3,FALSE())</f>
        <v>39776</v>
      </c>
      <c r="P105" s="123" t="n">
        <f aca="false">VLOOKUP($B105,curvesettle,4,FALSE())</f>
        <v>0.0553148960776539</v>
      </c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W105" s="168" t="n">
        <v>0</v>
      </c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</row>
    <row r="106" customFormat="false" ht="12.75" hidden="false" customHeight="false" outlineLevel="0" collapsed="false">
      <c r="A106" s="136" t="n">
        <f aca="false">A105+1</f>
        <v>84</v>
      </c>
      <c r="B106" s="165" t="n">
        <f aca="false">DATE(YEAR(B105),MONTH(B105)+1,1)</f>
        <v>39814</v>
      </c>
      <c r="C106" s="0"/>
      <c r="D106" s="136" t="n">
        <f aca="false">VLOOKUP($B106,curvesettle,2,FALSE())</f>
        <v>3.699</v>
      </c>
      <c r="E106" s="166" t="n">
        <f aca="false">K$12</f>
        <v>-0.00691666666666668</v>
      </c>
      <c r="F106" s="167" t="n">
        <f aca="false">IF(D$1="settle",D106,IF(D$1="EOL",D106+E106,IF(ISNUMBER(C106),C106,D106)))</f>
        <v>3.699</v>
      </c>
      <c r="G106" s="168" t="e">
        <f aca="false">IF($D$2="settle",H106,IF($D$2="straddles",K106,IF($D$2="custom",H106+I106,0)))</f>
        <v>#VALUE!</v>
      </c>
      <c r="H106" s="168" t="n">
        <f aca="false">VLOOKUP($B106,curvesettle,3,FALSE())</f>
        <v>0.23</v>
      </c>
      <c r="I106" s="168" t="n">
        <v>0</v>
      </c>
      <c r="J106" s="166" t="n">
        <v>0.28</v>
      </c>
      <c r="K106" s="168" t="e">
        <f aca="true">bsd(6,1,$F106,$F106,$O106-TODAY(),$H106,$P106,J106/2)</f>
        <v>#VALUE!</v>
      </c>
      <c r="N106" s="2" t="n">
        <f aca="false">A106</f>
        <v>84</v>
      </c>
      <c r="O106" s="169" t="n">
        <f aca="false">VLOOKUP(B106,expiration,3,FALSE())</f>
        <v>39808</v>
      </c>
      <c r="P106" s="123" t="n">
        <f aca="false">VLOOKUP($B106,curvesettle,4,FALSE())</f>
        <v>0.0554905546353979</v>
      </c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W106" s="168" t="n">
        <v>0</v>
      </c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</row>
    <row r="107" customFormat="false" ht="12.75" hidden="false" customHeight="false" outlineLevel="0" collapsed="false">
      <c r="A107" s="136" t="n">
        <f aca="false">A106+1</f>
        <v>85</v>
      </c>
      <c r="B107" s="165" t="n">
        <f aca="false">DATE(YEAR(B106),MONTH(B106)+1,1)</f>
        <v>39845</v>
      </c>
      <c r="C107" s="0"/>
      <c r="D107" s="136" t="n">
        <f aca="false">VLOOKUP($B107,curvesettle,2,FALSE())</f>
        <v>3.551</v>
      </c>
      <c r="E107" s="166" t="n">
        <f aca="false">K$12</f>
        <v>-0.00691666666666668</v>
      </c>
      <c r="F107" s="167" t="n">
        <f aca="false">IF(D$1="settle",D107,IF(D$1="EOL",D107+E107,IF(ISNUMBER(C107),C107,D107)))</f>
        <v>3.551</v>
      </c>
      <c r="G107" s="168" t="e">
        <f aca="false">IF($D$2="settle",H107,IF($D$2="straddles",K107,IF($D$2="custom",H107+I107,0)))</f>
        <v>#VALUE!</v>
      </c>
      <c r="H107" s="168" t="n">
        <f aca="false">VLOOKUP($B107,curvesettle,3,FALSE())</f>
        <v>0.23</v>
      </c>
      <c r="I107" s="168" t="n">
        <v>0</v>
      </c>
      <c r="J107" s="166" t="n">
        <v>0.28</v>
      </c>
      <c r="K107" s="168" t="e">
        <f aca="true">bsd(6,1,$F107,$F107,$O107-TODAY(),$H107,$P107,J107/2)</f>
        <v>#VALUE!</v>
      </c>
      <c r="N107" s="2" t="n">
        <f aca="false">A107</f>
        <v>85</v>
      </c>
      <c r="O107" s="169" t="n">
        <f aca="false">VLOOKUP(B107,expiration,3,FALSE())</f>
        <v>39840</v>
      </c>
      <c r="P107" s="123" t="n">
        <f aca="false">VLOOKUP($B107,curvesettle,4,FALSE())</f>
        <v>0.0556292858091121</v>
      </c>
      <c r="R107" s="168"/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W107" s="168" t="n">
        <v>0</v>
      </c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</row>
    <row r="108" customFormat="false" ht="12.75" hidden="false" customHeight="false" outlineLevel="0" collapsed="false">
      <c r="A108" s="136" t="n">
        <f aca="false">A107+1</f>
        <v>86</v>
      </c>
      <c r="B108" s="165" t="n">
        <f aca="false">DATE(YEAR(B107),MONTH(B107)+1,1)</f>
        <v>39873</v>
      </c>
      <c r="C108" s="0"/>
      <c r="D108" s="136" t="n">
        <f aca="false">VLOOKUP($B108,curvesettle,2,FALSE())</f>
        <v>3.5</v>
      </c>
      <c r="E108" s="166" t="n">
        <f aca="false">K$12</f>
        <v>-0.00691666666666668</v>
      </c>
      <c r="F108" s="167" t="n">
        <f aca="false">IF(D$1="settle",D108,IF(D$1="EOL",D108+E108,IF(ISNUMBER(C108),C108,D108)))</f>
        <v>3.5</v>
      </c>
      <c r="G108" s="168" t="e">
        <f aca="false">IF($D$2="settle",H108,IF($D$2="straddles",K108,IF($D$2="custom",H108+I108,0)))</f>
        <v>#VALUE!</v>
      </c>
      <c r="H108" s="168" t="n">
        <f aca="false">VLOOKUP($B108,curvesettle,3,FALSE())</f>
        <v>0.2275</v>
      </c>
      <c r="I108" s="168" t="n">
        <v>0</v>
      </c>
      <c r="J108" s="166" t="n">
        <v>0.28</v>
      </c>
      <c r="K108" s="168" t="e">
        <f aca="true">bsd(6,1,$F108,$F108,$O108-TODAY(),$H108,$P108,J108/2)</f>
        <v>#VALUE!</v>
      </c>
      <c r="N108" s="2" t="n">
        <f aca="false">A108</f>
        <v>86</v>
      </c>
      <c r="O108" s="169" t="n">
        <f aca="false">VLOOKUP(B108,expiration,3,FALSE())</f>
        <v>39868</v>
      </c>
      <c r="P108" s="123" t="n">
        <f aca="false">VLOOKUP($B108,curvesettle,4,FALSE())</f>
        <v>0.055732784192704</v>
      </c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W108" s="168" t="n">
        <v>0</v>
      </c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</row>
    <row r="109" customFormat="false" ht="12.75" hidden="false" customHeight="false" outlineLevel="0" collapsed="false">
      <c r="A109" s="136" t="n">
        <f aca="false">A108+1</f>
        <v>87</v>
      </c>
      <c r="B109" s="165" t="n">
        <f aca="false">DATE(YEAR(B108),MONTH(B108)+1,1)</f>
        <v>39904</v>
      </c>
      <c r="C109" s="0"/>
      <c r="D109" s="136" t="n">
        <f aca="false">VLOOKUP($B109,curvesettle,2,FALSE())</f>
        <v>3.281</v>
      </c>
      <c r="E109" s="166" t="n">
        <f aca="false">K$12</f>
        <v>-0.00691666666666668</v>
      </c>
      <c r="F109" s="167" t="n">
        <f aca="false">IF(D$1="settle",D109,IF(D$1="EOL",D109+E109,IF(ISNUMBER(C109),C109,D109)))</f>
        <v>3.281</v>
      </c>
      <c r="G109" s="168" t="e">
        <f aca="false">IF($D$2="settle",H109,IF($D$2="straddles",K109,IF($D$2="custom",H109+I109,0)))</f>
        <v>#VALUE!</v>
      </c>
      <c r="H109" s="168" t="n">
        <f aca="false">VLOOKUP($B109,curvesettle,3,FALSE())</f>
        <v>0.22</v>
      </c>
      <c r="I109" s="168" t="n">
        <v>0</v>
      </c>
      <c r="J109" s="166" t="n">
        <v>0.28</v>
      </c>
      <c r="K109" s="168" t="e">
        <f aca="true">bsd(6,1,$F109,$F109,$O109-TODAY(),$H109,$P109,J109/2)</f>
        <v>#VALUE!</v>
      </c>
      <c r="N109" s="2" t="n">
        <f aca="false">A109</f>
        <v>87</v>
      </c>
      <c r="O109" s="169" t="n">
        <f aca="false">VLOOKUP(B109,expiration,3,FALSE())</f>
        <v>39898</v>
      </c>
      <c r="P109" s="123" t="n">
        <f aca="false">VLOOKUP($B109,curvesettle,4,FALSE())</f>
        <v>0.0558262666067555</v>
      </c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W109" s="168" t="n">
        <v>0</v>
      </c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</row>
    <row r="110" customFormat="false" ht="12.75" hidden="false" customHeight="false" outlineLevel="0" collapsed="false">
      <c r="A110" s="136" t="n">
        <f aca="false">A109+1</f>
        <v>88</v>
      </c>
      <c r="B110" s="165" t="n">
        <f aca="false">DATE(YEAR(B109),MONTH(B109)+1,1)</f>
        <v>39934</v>
      </c>
      <c r="C110" s="0"/>
      <c r="D110" s="136" t="n">
        <f aca="false">VLOOKUP($B110,curvesettle,2,FALSE())</f>
        <v>3.284</v>
      </c>
      <c r="E110" s="166" t="n">
        <f aca="false">K$12</f>
        <v>-0.00691666666666668</v>
      </c>
      <c r="F110" s="167" t="n">
        <f aca="false">IF(D$1="settle",D110,IF(D$1="EOL",D110+E110,IF(ISNUMBER(C110),C110,D110)))</f>
        <v>3.284</v>
      </c>
      <c r="G110" s="168" t="e">
        <f aca="false">IF($D$2="settle",H110,IF($D$2="straddles",K110,IF($D$2="custom",H110+I110,0)))</f>
        <v>#VALUE!</v>
      </c>
      <c r="H110" s="168" t="n">
        <f aca="false">VLOOKUP($B110,curvesettle,3,FALSE())</f>
        <v>0.2025</v>
      </c>
      <c r="I110" s="168" t="n">
        <v>0</v>
      </c>
      <c r="J110" s="166" t="n">
        <v>0.28</v>
      </c>
      <c r="K110" s="168" t="e">
        <f aca="true">bsd(6,1,$F110,$F110,$O110-TODAY(),$H110,$P110,J110/2)</f>
        <v>#VALUE!</v>
      </c>
      <c r="N110" s="2" t="n">
        <f aca="false">A110</f>
        <v>88</v>
      </c>
      <c r="O110" s="169" t="n">
        <f aca="false">VLOOKUP(B110,expiration,3,FALSE())</f>
        <v>39930</v>
      </c>
      <c r="P110" s="123" t="n">
        <f aca="false">VLOOKUP($B110,curvesettle,4,FALSE())</f>
        <v>0.0559297649971344</v>
      </c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W110" s="168" t="n">
        <v>0</v>
      </c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</row>
    <row r="111" customFormat="false" ht="12.75" hidden="false" customHeight="false" outlineLevel="0" collapsed="false">
      <c r="A111" s="136" t="n">
        <f aca="false">A110+1</f>
        <v>89</v>
      </c>
      <c r="B111" s="165" t="n">
        <f aca="false">DATE(YEAR(B110),MONTH(B110)+1,1)</f>
        <v>39965</v>
      </c>
      <c r="C111" s="0"/>
      <c r="D111" s="136" t="n">
        <f aca="false">VLOOKUP($B111,curvesettle,2,FALSE())</f>
        <v>3.324</v>
      </c>
      <c r="E111" s="166" t="n">
        <f aca="false">K$12</f>
        <v>-0.00691666666666668</v>
      </c>
      <c r="F111" s="167" t="n">
        <f aca="false">IF(D$1="settle",D111,IF(D$1="EOL",D111+E111,IF(ISNUMBER(C111),C111,D111)))</f>
        <v>3.324</v>
      </c>
      <c r="G111" s="168" t="e">
        <f aca="false">IF($D$2="settle",H111,IF($D$2="straddles",K111,IF($D$2="custom",H111+I111,0)))</f>
        <v>#VALUE!</v>
      </c>
      <c r="H111" s="168" t="n">
        <f aca="false">VLOOKUP($B111,curvesettle,3,FALSE())</f>
        <v>0.2025</v>
      </c>
      <c r="I111" s="168" t="n">
        <v>0</v>
      </c>
      <c r="J111" s="166" t="n">
        <v>0.28</v>
      </c>
      <c r="K111" s="168" t="e">
        <f aca="true">bsd(6,1,$F111,$F111,$O111-TODAY(),$H111,$P111,J111/2)</f>
        <v>#VALUE!</v>
      </c>
      <c r="N111" s="2" t="n">
        <f aca="false">A111</f>
        <v>89</v>
      </c>
      <c r="O111" s="169" t="n">
        <f aca="false">VLOOKUP(B111,expiration,3,FALSE())</f>
        <v>39959</v>
      </c>
      <c r="P111" s="123" t="n">
        <f aca="false">VLOOKUP($B111,curvesettle,4,FALSE())</f>
        <v>0.0560299247331555</v>
      </c>
      <c r="R111" s="168"/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W111" s="168" t="n">
        <v>0</v>
      </c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</row>
    <row r="112" customFormat="false" ht="12.75" hidden="false" customHeight="false" outlineLevel="0" collapsed="false">
      <c r="A112" s="136" t="n">
        <f aca="false">A111+1</f>
        <v>90</v>
      </c>
      <c r="B112" s="165" t="n">
        <f aca="false">DATE(YEAR(B111),MONTH(B111)+1,1)</f>
        <v>39995</v>
      </c>
      <c r="C112" s="0"/>
      <c r="D112" s="136" t="n">
        <f aca="false">VLOOKUP($B112,curvesettle,2,FALSE())</f>
        <v>3.364</v>
      </c>
      <c r="E112" s="166" t="n">
        <f aca="false">K$12</f>
        <v>-0.00691666666666668</v>
      </c>
      <c r="F112" s="167" t="n">
        <f aca="false">IF(D$1="settle",D112,IF(D$1="EOL",D112+E112,IF(ISNUMBER(C112),C112,D112)))</f>
        <v>3.364</v>
      </c>
      <c r="G112" s="168" t="e">
        <f aca="false">IF($D$2="settle",H112,IF($D$2="straddles",K112,IF($D$2="custom",H112+I112,0)))</f>
        <v>#VALUE!</v>
      </c>
      <c r="H112" s="168" t="n">
        <f aca="false">VLOOKUP($B112,curvesettle,3,FALSE())</f>
        <v>0.2025</v>
      </c>
      <c r="I112" s="168" t="n">
        <v>0</v>
      </c>
      <c r="J112" s="166" t="n">
        <v>0.28</v>
      </c>
      <c r="K112" s="168" t="e">
        <f aca="true">bsd(6,1,$F112,$F112,$O112-TODAY(),$H112,$P112,J112/2)</f>
        <v>#VALUE!</v>
      </c>
      <c r="N112" s="2" t="n">
        <f aca="false">A112</f>
        <v>90</v>
      </c>
      <c r="O112" s="169" t="n">
        <f aca="false">VLOOKUP(B112,expiration,3,FALSE())</f>
        <v>39989</v>
      </c>
      <c r="P112" s="123" t="n">
        <f aca="false">VLOOKUP($B112,curvesettle,4,FALSE())</f>
        <v>0.0561334231305515</v>
      </c>
      <c r="R112" s="168"/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W112" s="168" t="n">
        <v>0</v>
      </c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</row>
    <row r="113" customFormat="false" ht="12.75" hidden="false" customHeight="false" outlineLevel="0" collapsed="false">
      <c r="A113" s="136" t="n">
        <f aca="false">A112+1</f>
        <v>91</v>
      </c>
      <c r="B113" s="165" t="n">
        <f aca="false">DATE(YEAR(B112),MONTH(B112)+1,1)</f>
        <v>40026</v>
      </c>
      <c r="C113" s="0"/>
      <c r="D113" s="136" t="n">
        <f aca="false">VLOOKUP($B113,curvesettle,2,FALSE())</f>
        <v>3.414</v>
      </c>
      <c r="E113" s="166" t="n">
        <f aca="false">K$12</f>
        <v>-0.00691666666666668</v>
      </c>
      <c r="F113" s="167" t="n">
        <f aca="false">IF(D$1="settle",D113,IF(D$1="EOL",D113+E113,IF(ISNUMBER(C113),C113,D113)))</f>
        <v>3.414</v>
      </c>
      <c r="G113" s="168" t="e">
        <f aca="false">IF($D$2="settle",H113,IF($D$2="straddles",K113,IF($D$2="custom",H113+I113,0)))</f>
        <v>#VALUE!</v>
      </c>
      <c r="H113" s="168" t="n">
        <f aca="false">VLOOKUP($B113,curvesettle,3,FALSE())</f>
        <v>0.2025</v>
      </c>
      <c r="I113" s="168" t="n">
        <v>0</v>
      </c>
      <c r="J113" s="166" t="n">
        <v>0.28</v>
      </c>
      <c r="K113" s="168" t="e">
        <f aca="true">bsd(6,1,$F113,$F113,$O113-TODAY(),$H113,$P113,J113/2)</f>
        <v>#VALUE!</v>
      </c>
      <c r="N113" s="2" t="n">
        <f aca="false">A113</f>
        <v>91</v>
      </c>
      <c r="O113" s="169" t="n">
        <f aca="false">VLOOKUP(B113,expiration,3,FALSE())</f>
        <v>40022</v>
      </c>
      <c r="P113" s="123" t="n">
        <f aca="false">VLOOKUP($B113,curvesettle,4,FALSE())</f>
        <v>0.0562335828733631</v>
      </c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W113" s="168" t="n">
        <v>0</v>
      </c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</row>
    <row r="114" customFormat="false" ht="12.75" hidden="false" customHeight="false" outlineLevel="0" collapsed="false">
      <c r="A114" s="136" t="n">
        <f aca="false">A113+1</f>
        <v>92</v>
      </c>
      <c r="B114" s="165" t="n">
        <f aca="false">DATE(YEAR(B113),MONTH(B113)+1,1)</f>
        <v>40057</v>
      </c>
      <c r="C114" s="0"/>
      <c r="D114" s="136" t="n">
        <f aca="false">VLOOKUP($B114,curvesettle,2,FALSE())</f>
        <v>3.399</v>
      </c>
      <c r="E114" s="166" t="n">
        <f aca="false">K$12</f>
        <v>-0.00691666666666668</v>
      </c>
      <c r="F114" s="167" t="n">
        <f aca="false">IF(D$1="settle",D114,IF(D$1="EOL",D114+E114,IF(ISNUMBER(C114),C114,D114)))</f>
        <v>3.399</v>
      </c>
      <c r="G114" s="168" t="e">
        <f aca="false">IF($D$2="settle",H114,IF($D$2="straddles",K114,IF($D$2="custom",H114+I114,0)))</f>
        <v>#VALUE!</v>
      </c>
      <c r="H114" s="168" t="n">
        <f aca="false">VLOOKUP($B114,curvesettle,3,FALSE())</f>
        <v>0.2025</v>
      </c>
      <c r="I114" s="168" t="n">
        <v>0</v>
      </c>
      <c r="J114" s="166" t="n">
        <v>0.28</v>
      </c>
      <c r="K114" s="168" t="e">
        <f aca="true">bsd(6,1,$F114,$F114,$O114-TODAY(),$H114,$P114,J114/2)</f>
        <v>#VALUE!</v>
      </c>
      <c r="N114" s="2" t="n">
        <f aca="false">A114</f>
        <v>92</v>
      </c>
      <c r="O114" s="169" t="n">
        <f aca="false">VLOOKUP(B114,expiration,3,FALSE())</f>
        <v>40051</v>
      </c>
      <c r="P114" s="123" t="n">
        <f aca="false">VLOOKUP($B114,curvesettle,4,FALSE())</f>
        <v>0.0563370812777757</v>
      </c>
      <c r="R114" s="168"/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W114" s="168" t="n">
        <v>0</v>
      </c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</row>
    <row r="115" customFormat="false" ht="12.75" hidden="false" customHeight="false" outlineLevel="0" collapsed="false">
      <c r="A115" s="136" t="n">
        <f aca="false">A114+1</f>
        <v>93</v>
      </c>
      <c r="B115" s="165" t="n">
        <f aca="false">DATE(YEAR(B114),MONTH(B114)+1,1)</f>
        <v>40087</v>
      </c>
      <c r="C115" s="0"/>
      <c r="D115" s="136" t="n">
        <f aca="false">VLOOKUP($B115,curvesettle,2,FALSE())</f>
        <v>3.414</v>
      </c>
      <c r="E115" s="166" t="n">
        <f aca="false">K$12</f>
        <v>-0.00691666666666668</v>
      </c>
      <c r="F115" s="167" t="n">
        <f aca="false">IF(D$1="settle",D115,IF(D$1="EOL",D115+E115,IF(ISNUMBER(C115),C115,D115)))</f>
        <v>3.414</v>
      </c>
      <c r="G115" s="168" t="e">
        <f aca="false">IF($D$2="settle",H115,IF($D$2="straddles",K115,IF($D$2="custom",H115+I115,0)))</f>
        <v>#VALUE!</v>
      </c>
      <c r="H115" s="168" t="n">
        <f aca="false">VLOOKUP($B115,curvesettle,3,FALSE())</f>
        <v>0.2025</v>
      </c>
      <c r="I115" s="168" t="n">
        <v>0</v>
      </c>
      <c r="J115" s="166" t="n">
        <v>0.28</v>
      </c>
      <c r="K115" s="168" t="e">
        <f aca="true">bsd(6,1,$F115,$F115,$O115-TODAY(),$H115,$P115,J115/2)</f>
        <v>#VALUE!</v>
      </c>
      <c r="N115" s="2" t="n">
        <f aca="false">A115</f>
        <v>93</v>
      </c>
      <c r="O115" s="169" t="n">
        <f aca="false">VLOOKUP(B115,expiration,3,FALSE())</f>
        <v>40081</v>
      </c>
      <c r="P115" s="123" t="n">
        <f aca="false">VLOOKUP($B115,curvesettle,4,FALSE())</f>
        <v>0.0564405796857548</v>
      </c>
      <c r="R115" s="168"/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W115" s="168" t="n">
        <v>0</v>
      </c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</row>
    <row r="116" customFormat="false" ht="12.75" hidden="false" customHeight="false" outlineLevel="0" collapsed="false">
      <c r="A116" s="136" t="n">
        <f aca="false">A115+1</f>
        <v>94</v>
      </c>
      <c r="B116" s="165" t="n">
        <f aca="false">DATE(YEAR(B115),MONTH(B115)+1,1)</f>
        <v>40118</v>
      </c>
      <c r="C116" s="0"/>
      <c r="D116" s="136" t="n">
        <f aca="false">VLOOKUP($B116,curvesettle,2,FALSE())</f>
        <v>3.559</v>
      </c>
      <c r="E116" s="166" t="n">
        <f aca="false">K$12</f>
        <v>-0.00691666666666668</v>
      </c>
      <c r="F116" s="167" t="n">
        <f aca="false">IF(D$1="settle",D116,IF(D$1="EOL",D116+E116,IF(ISNUMBER(C116),C116,D116)))</f>
        <v>3.559</v>
      </c>
      <c r="G116" s="168" t="e">
        <f aca="false">IF($D$2="settle",H116,IF($D$2="straddles",K116,IF($D$2="custom",H116+I116,0)))</f>
        <v>#VALUE!</v>
      </c>
      <c r="H116" s="168" t="n">
        <f aca="false">VLOOKUP($B116,curvesettle,3,FALSE())</f>
        <v>0.2025</v>
      </c>
      <c r="I116" s="168" t="n">
        <v>0</v>
      </c>
      <c r="J116" s="166" t="n">
        <v>0.28</v>
      </c>
      <c r="K116" s="168" t="e">
        <f aca="true">bsd(6,1,$F116,$F116,$O116-TODAY(),$H116,$P116,J116/2)</f>
        <v>#VALUE!</v>
      </c>
      <c r="N116" s="2" t="n">
        <f aca="false">A116</f>
        <v>94</v>
      </c>
      <c r="O116" s="169" t="n">
        <f aca="false">VLOOKUP(B116,expiration,3,FALSE())</f>
        <v>40113</v>
      </c>
      <c r="P116" s="123" t="n">
        <f aca="false">VLOOKUP($B116,curvesettle,4,FALSE())</f>
        <v>0.0565407394388062</v>
      </c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W116" s="168" t="n">
        <v>0</v>
      </c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</row>
    <row r="117" customFormat="false" ht="12.75" hidden="false" customHeight="false" outlineLevel="0" collapsed="false">
      <c r="A117" s="136" t="n">
        <f aca="false">A116+1</f>
        <v>95</v>
      </c>
      <c r="B117" s="165" t="n">
        <f aca="false">DATE(YEAR(B116),MONTH(B116)+1,1)</f>
        <v>40148</v>
      </c>
      <c r="C117" s="0"/>
      <c r="D117" s="136" t="n">
        <f aca="false">VLOOKUP($B117,curvesettle,2,FALSE())</f>
        <v>3.694</v>
      </c>
      <c r="E117" s="166" t="n">
        <f aca="false">K$12</f>
        <v>-0.00691666666666668</v>
      </c>
      <c r="F117" s="167" t="n">
        <f aca="false">IF(D$1="settle",D117,IF(D$1="EOL",D117+E117,IF(ISNUMBER(C117),C117,D117)))</f>
        <v>3.694</v>
      </c>
      <c r="G117" s="168" t="e">
        <f aca="false">IF($D$2="settle",H117,IF($D$2="straddles",K117,IF($D$2="custom",H117+I117,0)))</f>
        <v>#VALUE!</v>
      </c>
      <c r="H117" s="168" t="n">
        <f aca="false">VLOOKUP($B117,curvesettle,3,FALSE())</f>
        <v>0.2025</v>
      </c>
      <c r="I117" s="168" t="n">
        <v>0</v>
      </c>
      <c r="J117" s="166" t="n">
        <v>0.28</v>
      </c>
      <c r="K117" s="168" t="e">
        <f aca="true">bsd(6,1,$F117,$F117,$O117-TODAY(),$H117,$P117,J117/2)</f>
        <v>#VALUE!</v>
      </c>
      <c r="N117" s="2" t="n">
        <f aca="false">A117</f>
        <v>95</v>
      </c>
      <c r="O117" s="169" t="n">
        <f aca="false">VLOOKUP(B117,expiration,3,FALSE())</f>
        <v>40141</v>
      </c>
      <c r="P117" s="123" t="n">
        <f aca="false">VLOOKUP($B117,curvesettle,4,FALSE())</f>
        <v>0.0566442378538001</v>
      </c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W117" s="168" t="n">
        <v>0</v>
      </c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</row>
    <row r="118" customFormat="false" ht="12.75" hidden="false" customHeight="false" outlineLevel="0" collapsed="false">
      <c r="A118" s="136" t="n">
        <f aca="false">A117+1</f>
        <v>96</v>
      </c>
      <c r="B118" s="165" t="n">
        <f aca="false">DATE(YEAR(B117),MONTH(B117)+1,1)</f>
        <v>40179</v>
      </c>
      <c r="C118" s="0"/>
      <c r="D118" s="136" t="n">
        <f aca="false">VLOOKUP($B118,curvesettle,2,FALSE())</f>
        <v>3.749</v>
      </c>
      <c r="E118" s="166" t="n">
        <f aca="false">K$12</f>
        <v>-0.00691666666666668</v>
      </c>
      <c r="F118" s="167" t="n">
        <f aca="false">IF(D$1="settle",D118,IF(D$1="EOL",D118+E118,IF(ISNUMBER(C118),C118,D118)))</f>
        <v>3.749</v>
      </c>
      <c r="G118" s="168" t="e">
        <f aca="false">IF($D$2="settle",H118,IF($D$2="straddles",K118,IF($D$2="custom",H118+I118,0)))</f>
        <v>#VALUE!</v>
      </c>
      <c r="H118" s="168" t="n">
        <f aca="false">VLOOKUP($B118,curvesettle,3,FALSE())</f>
        <v>0.2025</v>
      </c>
      <c r="I118" s="168" t="n">
        <v>0</v>
      </c>
      <c r="J118" s="166" t="n">
        <v>0.28</v>
      </c>
      <c r="K118" s="168" t="e">
        <f aca="true">bsd(6,1,$F118,$F118,$O118-TODAY(),$H118,$P118,J118/2)</f>
        <v>#VALUE!</v>
      </c>
      <c r="N118" s="2" t="n">
        <f aca="false">A118</f>
        <v>96</v>
      </c>
      <c r="O118" s="169" t="n">
        <f aca="false">VLOOKUP(B118,expiration,3,FALSE())</f>
        <v>40175</v>
      </c>
      <c r="P118" s="123" t="n">
        <f aca="false">VLOOKUP($B118,curvesettle,4,FALSE())</f>
        <v>0.0567443976136408</v>
      </c>
      <c r="R118" s="168"/>
      <c r="S118" s="168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W118" s="168" t="n">
        <v>0</v>
      </c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</row>
    <row r="119" customFormat="false" ht="12.75" hidden="false" customHeight="false" outlineLevel="0" collapsed="false">
      <c r="A119" s="136" t="n">
        <f aca="false">A118+1</f>
        <v>97</v>
      </c>
      <c r="B119" s="165" t="n">
        <f aca="false">DATE(YEAR(B118),MONTH(B118)+1,1)</f>
        <v>40210</v>
      </c>
      <c r="C119" s="0"/>
      <c r="D119" s="136" t="n">
        <f aca="false">VLOOKUP($B119,curvesettle,2,FALSE())</f>
        <v>3.601</v>
      </c>
      <c r="E119" s="166" t="n">
        <f aca="false">K$12</f>
        <v>-0.00691666666666668</v>
      </c>
      <c r="F119" s="167" t="n">
        <f aca="false">IF(D$1="settle",D119,IF(D$1="EOL",D119+E119,IF(ISNUMBER(C119),C119,D119)))</f>
        <v>3.601</v>
      </c>
      <c r="G119" s="168" t="e">
        <f aca="false">IF($D$2="settle",H119,IF($D$2="straddles",K119,IF($D$2="custom",H119+I119,0)))</f>
        <v>#VALUE!</v>
      </c>
      <c r="H119" s="168" t="n">
        <f aca="false">VLOOKUP($B119,curvesettle,3,FALSE())</f>
        <v>0.2025</v>
      </c>
      <c r="I119" s="168" t="n">
        <v>0</v>
      </c>
      <c r="J119" s="166" t="n">
        <v>0.28</v>
      </c>
      <c r="K119" s="168" t="e">
        <f aca="true">bsd(6,1,$F119,$F119,$O119-TODAY(),$H119,$P119,J119/2)</f>
        <v>#VALUE!</v>
      </c>
      <c r="N119" s="2" t="n">
        <f aca="false">A119</f>
        <v>97</v>
      </c>
      <c r="O119" s="169" t="n">
        <f aca="false">VLOOKUP(B119,expiration,3,FALSE())</f>
        <v>40204</v>
      </c>
      <c r="P119" s="123" t="n">
        <f aca="false">VLOOKUP($B119,curvesettle,4,FALSE())</f>
        <v>0.0568478960356496</v>
      </c>
      <c r="R119" s="168"/>
      <c r="S119" s="168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W119" s="168" t="n">
        <v>0</v>
      </c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</row>
    <row r="120" customFormat="false" ht="12.75" hidden="false" customHeight="false" outlineLevel="0" collapsed="false">
      <c r="A120" s="136" t="n">
        <f aca="false">A119+1</f>
        <v>98</v>
      </c>
      <c r="B120" s="165" t="n">
        <f aca="false">DATE(YEAR(B119),MONTH(B119)+1,1)</f>
        <v>40238</v>
      </c>
      <c r="C120" s="0"/>
      <c r="D120" s="136" t="n">
        <f aca="false">VLOOKUP($B120,curvesettle,2,FALSE())</f>
        <v>3.55</v>
      </c>
      <c r="E120" s="166" t="n">
        <f aca="false">K$12</f>
        <v>-0.00691666666666668</v>
      </c>
      <c r="F120" s="167" t="n">
        <f aca="false">IF(D$1="settle",D120,IF(D$1="EOL",D120+E120,IF(ISNUMBER(C120),C120,D120)))</f>
        <v>3.55</v>
      </c>
      <c r="G120" s="168" t="e">
        <f aca="false">IF($D$2="settle",H120,IF($D$2="straddles",K120,IF($D$2="custom",H120+I120,0)))</f>
        <v>#VALUE!</v>
      </c>
      <c r="H120" s="168" t="n">
        <f aca="false">VLOOKUP($B120,curvesettle,3,FALSE())</f>
        <v>0.2</v>
      </c>
      <c r="I120" s="168" t="n">
        <v>0</v>
      </c>
      <c r="J120" s="166" t="n">
        <v>0.28</v>
      </c>
      <c r="K120" s="168" t="e">
        <f aca="true">bsd(6,1,$F120,$F120,$O120-TODAY(),$H120,$P120,J120/2)</f>
        <v>#VALUE!</v>
      </c>
      <c r="N120" s="2" t="n">
        <f aca="false">A120</f>
        <v>98</v>
      </c>
      <c r="O120" s="169" t="n">
        <f aca="false">VLOOKUP(B120,expiration,3,FALSE())</f>
        <v>40232</v>
      </c>
      <c r="P120" s="123" t="n">
        <f aca="false">VLOOKUP($B120,curvesettle,4,FALSE())</f>
        <v>0.056951394461223</v>
      </c>
      <c r="R120" s="168"/>
      <c r="S120" s="168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W120" s="168" t="n">
        <v>0</v>
      </c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</row>
    <row r="121" customFormat="false" ht="12.75" hidden="false" customHeight="false" outlineLevel="0" collapsed="false">
      <c r="A121" s="136" t="n">
        <f aca="false">A120+1</f>
        <v>99</v>
      </c>
      <c r="B121" s="165" t="n">
        <f aca="false">DATE(YEAR(B120),MONTH(B120)+1,1)</f>
        <v>40269</v>
      </c>
      <c r="C121" s="0"/>
      <c r="D121" s="136" t="n">
        <f aca="false">VLOOKUP($B121,curvesettle,2,FALSE())</f>
        <v>3.331</v>
      </c>
      <c r="E121" s="166" t="n">
        <f aca="false">K$12</f>
        <v>-0.00691666666666668</v>
      </c>
      <c r="F121" s="167" t="n">
        <f aca="false">IF(D$1="settle",D121,IF(D$1="EOL",D121+E121,IF(ISNUMBER(C121),C121,D121)))</f>
        <v>3.331</v>
      </c>
      <c r="G121" s="168" t="e">
        <f aca="false">IF($D$2="settle",H121,IF($D$2="straddles",K121,IF($D$2="custom",H121+I121,0)))</f>
        <v>#VALUE!</v>
      </c>
      <c r="H121" s="168" t="n">
        <f aca="false">VLOOKUP($B121,curvesettle,3,FALSE())</f>
        <v>0.195</v>
      </c>
      <c r="I121" s="168" t="n">
        <v>0</v>
      </c>
      <c r="J121" s="166" t="n">
        <v>0.28</v>
      </c>
      <c r="K121" s="168" t="e">
        <f aca="true">bsd(6,1,$F121,$F121,$O121-TODAY(),$H121,$P121,J121/2)</f>
        <v>#VALUE!</v>
      </c>
      <c r="N121" s="2" t="n">
        <f aca="false">A121</f>
        <v>99</v>
      </c>
      <c r="O121" s="169" t="n">
        <f aca="false">VLOOKUP(B121,expiration,3,FALSE())</f>
        <v>40263</v>
      </c>
      <c r="P121" s="123" t="n">
        <f aca="false">VLOOKUP($B121,curvesettle,4,FALSE())</f>
        <v>0.0570448769131922</v>
      </c>
      <c r="R121" s="168"/>
      <c r="S121" s="168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W121" s="168" t="n">
        <v>0</v>
      </c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</row>
    <row r="122" customFormat="false" ht="12.75" hidden="false" customHeight="false" outlineLevel="0" collapsed="false">
      <c r="A122" s="136" t="n">
        <f aca="false">A121+1</f>
        <v>100</v>
      </c>
      <c r="B122" s="165" t="n">
        <f aca="false">DATE(YEAR(B121),MONTH(B121)+1,1)</f>
        <v>40299</v>
      </c>
      <c r="C122" s="0"/>
      <c r="D122" s="136" t="n">
        <f aca="false">VLOOKUP($B122,curvesettle,2,FALSE())</f>
        <v>3.334</v>
      </c>
      <c r="E122" s="166" t="n">
        <f aca="false">K$12</f>
        <v>-0.00691666666666668</v>
      </c>
      <c r="F122" s="167" t="n">
        <f aca="false">IF(D$1="settle",D122,IF(D$1="EOL",D122+E122,IF(ISNUMBER(C122),C122,D122)))</f>
        <v>3.334</v>
      </c>
      <c r="G122" s="168" t="e">
        <f aca="false">IF($D$2="settle",H122,IF($D$2="straddles",K122,IF($D$2="custom",H122+I122,0)))</f>
        <v>#VALUE!</v>
      </c>
      <c r="H122" s="168" t="n">
        <f aca="false">VLOOKUP($B122,curvesettle,3,FALSE())</f>
        <v>0.19</v>
      </c>
      <c r="I122" s="168" t="n">
        <v>0</v>
      </c>
      <c r="J122" s="166" t="n">
        <v>0.28</v>
      </c>
      <c r="K122" s="168" t="e">
        <f aca="true">bsd(6,1,$F122,$F122,$O122-TODAY(),$H122,$P122,J122/2)</f>
        <v>#VALUE!</v>
      </c>
      <c r="N122" s="2" t="n">
        <f aca="false">A122</f>
        <v>100</v>
      </c>
      <c r="O122" s="169" t="n">
        <f aca="false">VLOOKUP(B122,expiration,3,FALSE())</f>
        <v>40295</v>
      </c>
      <c r="P122" s="123" t="n">
        <f aca="false">VLOOKUP($B122,curvesettle,4,FALSE())</f>
        <v>0.0571483753455491</v>
      </c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W122" s="168" t="n">
        <v>0</v>
      </c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</row>
    <row r="123" customFormat="false" ht="12.75" hidden="false" customHeight="false" outlineLevel="0" collapsed="false">
      <c r="A123" s="136" t="n">
        <f aca="false">A122+1</f>
        <v>101</v>
      </c>
      <c r="B123" s="165" t="n">
        <f aca="false">DATE(YEAR(B122),MONTH(B122)+1,1)</f>
        <v>40330</v>
      </c>
      <c r="C123" s="0"/>
      <c r="D123" s="136" t="n">
        <f aca="false">VLOOKUP($B123,curvesettle,2,FALSE())</f>
        <v>3.374</v>
      </c>
      <c r="E123" s="166" t="n">
        <f aca="false">K$12</f>
        <v>-0.00691666666666668</v>
      </c>
      <c r="F123" s="167" t="n">
        <f aca="false">IF(D$1="settle",D123,IF(D$1="EOL",D123+E123,IF(ISNUMBER(C123),C123,D123)))</f>
        <v>3.374</v>
      </c>
      <c r="G123" s="168" t="e">
        <f aca="false">IF($D$2="settle",H123,IF($D$2="straddles",K123,IF($D$2="custom",H123+I123,0)))</f>
        <v>#VALUE!</v>
      </c>
      <c r="H123" s="168" t="n">
        <f aca="false">VLOOKUP($B123,curvesettle,3,FALSE())</f>
        <v>0.185</v>
      </c>
      <c r="I123" s="168" t="n">
        <v>0</v>
      </c>
      <c r="J123" s="166" t="n">
        <v>0.28</v>
      </c>
      <c r="K123" s="168" t="e">
        <f aca="true">bsd(6,1,$F123,$F123,$O123-TODAY(),$H123,$P123,J123/2)</f>
        <v>#VALUE!</v>
      </c>
      <c r="N123" s="2" t="n">
        <f aca="false">A123</f>
        <v>101</v>
      </c>
      <c r="O123" s="169" t="n">
        <f aca="false">VLOOKUP(B123,expiration,3,FALSE())</f>
        <v>40323</v>
      </c>
      <c r="P123" s="123" t="n">
        <f aca="false">VLOOKUP($B123,curvesettle,4,FALSE())</f>
        <v>0.0572485351221919</v>
      </c>
      <c r="R123" s="168"/>
      <c r="S123" s="168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W123" s="168" t="n">
        <v>0</v>
      </c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</row>
    <row r="124" customFormat="false" ht="12.75" hidden="false" customHeight="false" outlineLevel="0" collapsed="false">
      <c r="A124" s="136" t="n">
        <f aca="false">A123+1</f>
        <v>102</v>
      </c>
      <c r="B124" s="165" t="n">
        <f aca="false">DATE(YEAR(B123),MONTH(B123)+1,1)</f>
        <v>40360</v>
      </c>
      <c r="C124" s="0"/>
      <c r="D124" s="136" t="n">
        <f aca="false">VLOOKUP($B124,curvesettle,2,FALSE())</f>
        <v>3.414</v>
      </c>
      <c r="E124" s="166" t="n">
        <f aca="false">K$12</f>
        <v>-0.00691666666666668</v>
      </c>
      <c r="F124" s="167" t="n">
        <f aca="false">IF(D$1="settle",D124,IF(D$1="EOL",D124+E124,IF(ISNUMBER(C124),C124,D124)))</f>
        <v>3.414</v>
      </c>
      <c r="G124" s="168" t="e">
        <f aca="false">IF($D$2="settle",H124,IF($D$2="straddles",K124,IF($D$2="custom",H124+I124,0)))</f>
        <v>#VALUE!</v>
      </c>
      <c r="H124" s="168" t="n">
        <f aca="false">VLOOKUP($B124,curvesettle,3,FALSE())</f>
        <v>0.185</v>
      </c>
      <c r="I124" s="168" t="n">
        <v>0</v>
      </c>
      <c r="J124" s="166" t="n">
        <v>0.28</v>
      </c>
      <c r="K124" s="168" t="e">
        <f aca="true">bsd(6,1,$F124,$F124,$O124-TODAY(),$H124,$P124,J124/2)</f>
        <v>#VALUE!</v>
      </c>
      <c r="N124" s="2" t="n">
        <f aca="false">A124</f>
        <v>102</v>
      </c>
      <c r="O124" s="169" t="n">
        <f aca="false">VLOOKUP(B124,expiration,3,FALSE())</f>
        <v>40354</v>
      </c>
      <c r="P124" s="123" t="n">
        <f aca="false">VLOOKUP($B124,curvesettle,4,FALSE())</f>
        <v>0.0573520335615627</v>
      </c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W124" s="168" t="n">
        <v>0</v>
      </c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</row>
    <row r="125" customFormat="false" ht="12.75" hidden="false" customHeight="false" outlineLevel="0" collapsed="false">
      <c r="A125" s="136" t="n">
        <f aca="false">A124+1</f>
        <v>103</v>
      </c>
      <c r="B125" s="165" t="n">
        <f aca="false">DATE(YEAR(B124),MONTH(B124)+1,1)</f>
        <v>40391</v>
      </c>
      <c r="C125" s="0"/>
      <c r="D125" s="136" t="n">
        <f aca="false">VLOOKUP($B125,curvesettle,2,FALSE())</f>
        <v>3.464</v>
      </c>
      <c r="E125" s="166" t="n">
        <f aca="false">K$12</f>
        <v>-0.00691666666666668</v>
      </c>
      <c r="F125" s="167" t="n">
        <f aca="false">IF(D$1="settle",D125,IF(D$1="EOL",D125+E125,IF(ISNUMBER(C125),C125,D125)))</f>
        <v>3.464</v>
      </c>
      <c r="G125" s="168" t="e">
        <f aca="false">IF($D$2="settle",H125,IF($D$2="straddles",K125,IF($D$2="custom",H125+I125,0)))</f>
        <v>#VALUE!</v>
      </c>
      <c r="H125" s="168" t="n">
        <f aca="false">VLOOKUP($B125,curvesettle,3,FALSE())</f>
        <v>0.185</v>
      </c>
      <c r="I125" s="168" t="n">
        <v>0</v>
      </c>
      <c r="J125" s="166" t="n">
        <v>0.28</v>
      </c>
      <c r="K125" s="168" t="e">
        <f aca="true">bsd(6,1,$F125,$F125,$O125-TODAY(),$H125,$P125,J125/2)</f>
        <v>#VALUE!</v>
      </c>
      <c r="N125" s="2" t="n">
        <f aca="false">A125</f>
        <v>103</v>
      </c>
      <c r="O125" s="169" t="n">
        <f aca="false">VLOOKUP(B125,expiration,3,FALSE())</f>
        <v>40386</v>
      </c>
      <c r="P125" s="123" t="n">
        <f aca="false">VLOOKUP($B125,curvesettle,4,FALSE())</f>
        <v>0.0574521933449916</v>
      </c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W125" s="168" t="n">
        <v>0</v>
      </c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</row>
    <row r="126" customFormat="false" ht="12.75" hidden="false" customHeight="false" outlineLevel="0" collapsed="false">
      <c r="A126" s="136" t="n">
        <f aca="false">A125+1</f>
        <v>104</v>
      </c>
      <c r="B126" s="165" t="n">
        <f aca="false">DATE(YEAR(B125),MONTH(B125)+1,1)</f>
        <v>40422</v>
      </c>
      <c r="C126" s="0"/>
      <c r="D126" s="136" t="n">
        <f aca="false">VLOOKUP($B126,curvesettle,2,FALSE())</f>
        <v>3.449</v>
      </c>
      <c r="E126" s="166" t="n">
        <f aca="false">K$12</f>
        <v>-0.00691666666666668</v>
      </c>
      <c r="F126" s="167" t="n">
        <f aca="false">IF(D$1="settle",D126,IF(D$1="EOL",D126+E126,IF(ISNUMBER(C126),C126,D126)))</f>
        <v>3.449</v>
      </c>
      <c r="G126" s="168" t="e">
        <f aca="false">IF($D$2="settle",H126,IF($D$2="straddles",K126,IF($D$2="custom",H126+I126,0)))</f>
        <v>#VALUE!</v>
      </c>
      <c r="H126" s="168" t="n">
        <f aca="false">VLOOKUP($B126,curvesettle,3,FALSE())</f>
        <v>0.185</v>
      </c>
      <c r="I126" s="168" t="n">
        <v>0</v>
      </c>
      <c r="J126" s="166" t="n">
        <v>0.28</v>
      </c>
      <c r="K126" s="168" t="e">
        <f aca="true">bsd(6,1,$F126,$F126,$O126-TODAY(),$H126,$P126,J126/2)</f>
        <v>#VALUE!</v>
      </c>
      <c r="N126" s="2" t="n">
        <f aca="false">A126</f>
        <v>104</v>
      </c>
      <c r="O126" s="169" t="n">
        <f aca="false">VLOOKUP(B126,expiration,3,FALSE())</f>
        <v>40416</v>
      </c>
      <c r="P126" s="123" t="n">
        <f aca="false">VLOOKUP($B126,curvesettle,4,FALSE())</f>
        <v>0.0575556917913746</v>
      </c>
      <c r="R126" s="168"/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W126" s="168" t="n">
        <v>0</v>
      </c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</row>
    <row r="127" customFormat="false" ht="12.75" hidden="false" customHeight="false" outlineLevel="0" collapsed="false">
      <c r="A127" s="136" t="n">
        <f aca="false">A126+1</f>
        <v>105</v>
      </c>
      <c r="B127" s="165" t="n">
        <f aca="false">DATE(YEAR(B126),MONTH(B126)+1,1)</f>
        <v>40452</v>
      </c>
      <c r="C127" s="0"/>
      <c r="D127" s="136" t="n">
        <f aca="false">VLOOKUP($B127,curvesettle,2,FALSE())</f>
        <v>3.464</v>
      </c>
      <c r="E127" s="166" t="n">
        <f aca="false">K$12</f>
        <v>-0.00691666666666668</v>
      </c>
      <c r="F127" s="167" t="n">
        <f aca="false">IF(D$1="settle",D127,IF(D$1="EOL",D127+E127,IF(ISNUMBER(C127),C127,D127)))</f>
        <v>3.464</v>
      </c>
      <c r="G127" s="168" t="e">
        <f aca="false">IF($D$2="settle",H127,IF($D$2="straddles",K127,IF($D$2="custom",H127+I127,0)))</f>
        <v>#VALUE!</v>
      </c>
      <c r="H127" s="168" t="n">
        <f aca="false">VLOOKUP($B127,curvesettle,3,FALSE())</f>
        <v>0.185</v>
      </c>
      <c r="I127" s="168" t="n">
        <v>0</v>
      </c>
      <c r="J127" s="166" t="n">
        <v>0.28</v>
      </c>
      <c r="K127" s="168" t="e">
        <f aca="true">bsd(6,1,$F127,$F127,$O127-TODAY(),$H127,$P127,J127/2)</f>
        <v>#VALUE!</v>
      </c>
      <c r="N127" s="2" t="n">
        <f aca="false">A127</f>
        <v>105</v>
      </c>
      <c r="O127" s="169" t="n">
        <f aca="false">VLOOKUP(B127,expiration,3,FALSE())</f>
        <v>40448</v>
      </c>
      <c r="P127" s="123" t="n">
        <f aca="false">VLOOKUP($B127,curvesettle,4,FALSE())</f>
        <v>0.0576591902413206</v>
      </c>
      <c r="R127" s="168"/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W127" s="168" t="n">
        <v>0</v>
      </c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</row>
    <row r="128" customFormat="false" ht="12.75" hidden="false" customHeight="false" outlineLevel="0" collapsed="false">
      <c r="A128" s="136" t="n">
        <f aca="false">A127+1</f>
        <v>106</v>
      </c>
      <c r="B128" s="165" t="n">
        <f aca="false">DATE(YEAR(B127),MONTH(B127)+1,1)</f>
        <v>40483</v>
      </c>
      <c r="C128" s="0"/>
      <c r="D128" s="136" t="n">
        <f aca="false">VLOOKUP($B128,curvesettle,2,FALSE())</f>
        <v>3.609</v>
      </c>
      <c r="E128" s="166" t="n">
        <f aca="false">K$12</f>
        <v>-0.00691666666666668</v>
      </c>
      <c r="F128" s="167" t="n">
        <f aca="false">IF(D$1="settle",D128,IF(D$1="EOL",D128+E128,IF(ISNUMBER(C128),C128,D128)))</f>
        <v>3.609</v>
      </c>
      <c r="G128" s="168" t="e">
        <f aca="false">IF($D$2="settle",H128,IF($D$2="straddles",K128,IF($D$2="custom",H128+I128,0)))</f>
        <v>#VALUE!</v>
      </c>
      <c r="H128" s="168" t="n">
        <f aca="false">VLOOKUP($B128,curvesettle,3,FALSE())</f>
        <v>0.185</v>
      </c>
      <c r="I128" s="168" t="n">
        <v>0</v>
      </c>
      <c r="J128" s="166" t="n">
        <v>0.28</v>
      </c>
      <c r="K128" s="168" t="e">
        <f aca="true">bsd(6,1,$F128,$F128,$O128-TODAY(),$H128,$P128,J128/2)</f>
        <v>#VALUE!</v>
      </c>
      <c r="N128" s="2" t="n">
        <f aca="false">A128</f>
        <v>106</v>
      </c>
      <c r="O128" s="169" t="n">
        <f aca="false">VLOOKUP(B128,expiration,3,FALSE())</f>
        <v>40477</v>
      </c>
      <c r="P128" s="123" t="n">
        <f aca="false">VLOOKUP($B128,curvesettle,4,FALSE())</f>
        <v>0.057759350034984</v>
      </c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W128" s="168" t="n">
        <v>0</v>
      </c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</row>
    <row r="129" customFormat="false" ht="12.75" hidden="false" customHeight="false" outlineLevel="0" collapsed="false">
      <c r="A129" s="136" t="n">
        <f aca="false">A128+1</f>
        <v>107</v>
      </c>
      <c r="B129" s="165" t="n">
        <f aca="false">DATE(YEAR(B128),MONTH(B128)+1,1)</f>
        <v>40513</v>
      </c>
      <c r="C129" s="0"/>
      <c r="D129" s="136" t="n">
        <f aca="false">VLOOKUP($B129,curvesettle,2,FALSE())</f>
        <v>3.744</v>
      </c>
      <c r="E129" s="166" t="n">
        <f aca="false">K$12</f>
        <v>-0.00691666666666668</v>
      </c>
      <c r="F129" s="167" t="n">
        <f aca="false">IF(D$1="settle",D129,IF(D$1="EOL",D129+E129,IF(ISNUMBER(C129),C129,D129)))</f>
        <v>3.744</v>
      </c>
      <c r="G129" s="168" t="e">
        <f aca="false">IF($D$2="settle",H129,IF($D$2="straddles",K129,IF($D$2="custom",H129+I129,0)))</f>
        <v>#VALUE!</v>
      </c>
      <c r="H129" s="168" t="n">
        <f aca="false">VLOOKUP($B129,curvesettle,3,FALSE())</f>
        <v>0.185</v>
      </c>
      <c r="I129" s="168" t="n">
        <v>0</v>
      </c>
      <c r="J129" s="166" t="n">
        <v>0.28</v>
      </c>
      <c r="K129" s="168" t="e">
        <f aca="true">bsd(6,1,$F129,$F129,$O129-TODAY(),$H129,$P129,J129/2)</f>
        <v>#VALUE!</v>
      </c>
      <c r="N129" s="2" t="n">
        <f aca="false">A129</f>
        <v>107</v>
      </c>
      <c r="O129" s="169" t="n">
        <f aca="false">VLOOKUP(B129,expiration,3,FALSE())</f>
        <v>40506</v>
      </c>
      <c r="P129" s="123" t="n">
        <f aca="false">VLOOKUP($B129,curvesettle,4,FALSE())</f>
        <v>0.0578628484919417</v>
      </c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W129" s="168" t="n">
        <v>0</v>
      </c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</row>
    <row r="130" customFormat="false" ht="12.75" hidden="false" customHeight="false" outlineLevel="0" collapsed="false">
      <c r="A130" s="136" t="n">
        <f aca="false">A129+1</f>
        <v>108</v>
      </c>
      <c r="B130" s="165" t="n">
        <f aca="false">DATE(YEAR(B129),MONTH(B129)+1,1)</f>
        <v>40544</v>
      </c>
      <c r="C130" s="0"/>
      <c r="D130" s="136" t="n">
        <f aca="false">VLOOKUP($B130,curvesettle,2,FALSE())</f>
        <v>3.799</v>
      </c>
      <c r="E130" s="166" t="n">
        <f aca="false">K$12</f>
        <v>-0.00691666666666668</v>
      </c>
      <c r="F130" s="167" t="n">
        <f aca="false">IF(D$1="settle",D130,IF(D$1="EOL",D130+E130,IF(ISNUMBER(C130),C130,D130)))</f>
        <v>3.799</v>
      </c>
      <c r="G130" s="168" t="e">
        <f aca="false">IF($D$2="settle",H130,IF($D$2="straddles",K130,IF($D$2="custom",H130+I130,0)))</f>
        <v>#VALUE!</v>
      </c>
      <c r="H130" s="168" t="n">
        <f aca="false">VLOOKUP($B130,curvesettle,3,FALSE())</f>
        <v>0.185</v>
      </c>
      <c r="I130" s="168" t="n">
        <v>0</v>
      </c>
      <c r="J130" s="166" t="n">
        <v>0.28</v>
      </c>
      <c r="K130" s="168" t="e">
        <f aca="true">bsd(6,1,$F130,$F130,$O130-TODAY(),$H130,$P130,J130/2)</f>
        <v>#VALUE!</v>
      </c>
      <c r="N130" s="2" t="n">
        <f aca="false">A130</f>
        <v>108</v>
      </c>
      <c r="O130" s="169" t="n">
        <f aca="false">VLOOKUP(B130,expiration,3,FALSE())</f>
        <v>40539</v>
      </c>
      <c r="P130" s="123" t="n">
        <f aca="false">VLOOKUP($B130,curvesettle,4,FALSE())</f>
        <v>0.0579630082923899</v>
      </c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W130" s="168" t="n">
        <v>0</v>
      </c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</row>
    <row r="131" customFormat="false" ht="12.75" hidden="false" customHeight="false" outlineLevel="0" collapsed="false">
      <c r="A131" s="136" t="n">
        <f aca="false">A130+1</f>
        <v>109</v>
      </c>
      <c r="B131" s="165" t="n">
        <f aca="false">DATE(YEAR(B130),MONTH(B130)+1,1)</f>
        <v>40575</v>
      </c>
      <c r="C131" s="0"/>
      <c r="D131" s="136" t="n">
        <f aca="false">VLOOKUP($B131,curvesettle,2,FALSE())</f>
        <v>3.651</v>
      </c>
      <c r="E131" s="166" t="n">
        <f aca="false">K$12</f>
        <v>-0.00691666666666668</v>
      </c>
      <c r="F131" s="167" t="n">
        <f aca="false">IF(D$1="settle",D131,IF(D$1="EOL",D131+E131,IF(ISNUMBER(C131),C131,D131)))</f>
        <v>3.651</v>
      </c>
      <c r="G131" s="168" t="e">
        <f aca="false">IF($D$2="settle",H131,IF($D$2="straddles",K131,IF($D$2="custom",H131+I131,0)))</f>
        <v>#VALUE!</v>
      </c>
      <c r="H131" s="168" t="n">
        <f aca="false">VLOOKUP($B131,curvesettle,3,FALSE())</f>
        <v>0.185</v>
      </c>
      <c r="I131" s="168" t="n">
        <v>0</v>
      </c>
      <c r="J131" s="166" t="n">
        <v>0.28</v>
      </c>
      <c r="K131" s="168" t="e">
        <f aca="true">bsd(6,1,$F131,$F131,$O131-TODAY(),$H131,$P131,J131/2)</f>
        <v>#VALUE!</v>
      </c>
      <c r="N131" s="2" t="n">
        <f aca="false">A131</f>
        <v>109</v>
      </c>
      <c r="O131" s="169" t="n">
        <f aca="false">VLOOKUP(B131,expiration,3,FALSE())</f>
        <v>40569</v>
      </c>
      <c r="P131" s="123" t="n">
        <f aca="false">VLOOKUP($B131,curvesettle,4,FALSE())</f>
        <v>0.0580665067563584</v>
      </c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W131" s="168" t="n">
        <v>0</v>
      </c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</row>
    <row r="132" customFormat="false" ht="12.75" hidden="false" customHeight="false" outlineLevel="0" collapsed="false">
      <c r="A132" s="136" t="n">
        <f aca="false">A131+1</f>
        <v>110</v>
      </c>
      <c r="B132" s="165" t="n">
        <f aca="false">DATE(YEAR(B131),MONTH(B131)+1,1)</f>
        <v>40603</v>
      </c>
      <c r="C132" s="0"/>
      <c r="D132" s="136" t="n">
        <f aca="false">VLOOKUP($B132,curvesettle,2,FALSE())</f>
        <v>3.6</v>
      </c>
      <c r="E132" s="166" t="n">
        <f aca="false">K$12</f>
        <v>-0.00691666666666668</v>
      </c>
      <c r="F132" s="167" t="n">
        <f aca="false">IF(D$1="settle",D132,IF(D$1="EOL",D132+E132,IF(ISNUMBER(C132),C132,D132)))</f>
        <v>3.6</v>
      </c>
      <c r="G132" s="168" t="e">
        <f aca="false">IF($D$2="settle",H132,IF($D$2="straddles",K132,IF($D$2="custom",H132+I132,0)))</f>
        <v>#VALUE!</v>
      </c>
      <c r="H132" s="168" t="n">
        <f aca="false">VLOOKUP($B132,curvesettle,3,FALSE())</f>
        <v>0.185</v>
      </c>
      <c r="I132" s="168" t="n">
        <v>0</v>
      </c>
      <c r="J132" s="166" t="n">
        <v>0.28</v>
      </c>
      <c r="K132" s="168" t="e">
        <f aca="true">bsd(6,1,$F132,$F132,$O132-TODAY(),$H132,$P132,J132/2)</f>
        <v>#VALUE!</v>
      </c>
      <c r="N132" s="2" t="n">
        <f aca="false">A132</f>
        <v>110</v>
      </c>
      <c r="O132" s="169" t="n">
        <f aca="false">VLOOKUP(B132,expiration,3,FALSE())</f>
        <v>40597</v>
      </c>
      <c r="P132" s="123" t="n">
        <f aca="false">VLOOKUP($B132,curvesettle,4,FALSE())</f>
        <v>0.0581700052238889</v>
      </c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W132" s="168" t="n">
        <v>0</v>
      </c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</row>
    <row r="133" customFormat="false" ht="12.75" hidden="false" customHeight="false" outlineLevel="0" collapsed="false">
      <c r="A133" s="136" t="n">
        <f aca="false">A132+1</f>
        <v>111</v>
      </c>
      <c r="B133" s="165" t="n">
        <f aca="false">DATE(YEAR(B132),MONTH(B132)+1,1)</f>
        <v>40634</v>
      </c>
      <c r="C133" s="0"/>
      <c r="D133" s="136" t="n">
        <f aca="false">VLOOKUP($B133,curvesettle,2,FALSE())</f>
        <v>3.381</v>
      </c>
      <c r="E133" s="166" t="n">
        <f aca="false">K$12</f>
        <v>-0.00691666666666668</v>
      </c>
      <c r="F133" s="167" t="n">
        <f aca="false">IF(D$1="settle",D133,IF(D$1="EOL",D133+E133,IF(ISNUMBER(C133),C133,D133)))</f>
        <v>3.381</v>
      </c>
      <c r="G133" s="168" t="e">
        <f aca="false">IF($D$2="settle",H133,IF($D$2="straddles",K133,IF($D$2="custom",H133+I133,0)))</f>
        <v>#VALUE!</v>
      </c>
      <c r="H133" s="168" t="n">
        <f aca="false">VLOOKUP($B133,curvesettle,3,FALSE())</f>
        <v>0.18</v>
      </c>
      <c r="I133" s="168" t="n">
        <v>0</v>
      </c>
      <c r="J133" s="166" t="n">
        <v>0.28</v>
      </c>
      <c r="K133" s="168" t="e">
        <f aca="true">bsd(6,1,$F133,$F133,$O133-TODAY(),$H133,$P133,J133/2)</f>
        <v>#VALUE!</v>
      </c>
      <c r="N133" s="2" t="n">
        <f aca="false">A133</f>
        <v>111</v>
      </c>
      <c r="O133" s="169" t="n">
        <f aca="false">VLOOKUP(B133,expiration,3,FALSE())</f>
        <v>40630</v>
      </c>
      <c r="P133" s="123" t="n">
        <f aca="false">VLOOKUP($B133,curvesettle,4,FALSE())</f>
        <v>0.0582634877137527</v>
      </c>
      <c r="R133" s="168"/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W133" s="168" t="n">
        <v>0</v>
      </c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</row>
    <row r="134" customFormat="false" ht="12.75" hidden="false" customHeight="false" outlineLevel="0" collapsed="false">
      <c r="A134" s="136" t="n">
        <f aca="false">A133+1</f>
        <v>112</v>
      </c>
      <c r="B134" s="165" t="n">
        <f aca="false">DATE(YEAR(B133),MONTH(B133)+1,1)</f>
        <v>40664</v>
      </c>
      <c r="C134" s="0"/>
      <c r="D134" s="136" t="n">
        <f aca="false">VLOOKUP($B134,curvesettle,2,FALSE())</f>
        <v>3.384</v>
      </c>
      <c r="E134" s="166" t="n">
        <f aca="false">K$12</f>
        <v>-0.00691666666666668</v>
      </c>
      <c r="F134" s="167" t="n">
        <f aca="false">IF(D$1="settle",D134,IF(D$1="EOL",D134+E134,IF(ISNUMBER(C134),C134,D134)))</f>
        <v>3.384</v>
      </c>
      <c r="G134" s="168" t="e">
        <f aca="false">IF($D$2="settle",H134,IF($D$2="straddles",K134,IF($D$2="custom",H134+I134,0)))</f>
        <v>#VALUE!</v>
      </c>
      <c r="H134" s="168" t="n">
        <f aca="false">VLOOKUP($B134,curvesettle,3,FALSE())</f>
        <v>0.18</v>
      </c>
      <c r="I134" s="168" t="n">
        <v>0</v>
      </c>
      <c r="J134" s="166" t="n">
        <v>0.28</v>
      </c>
      <c r="K134" s="168" t="e">
        <f aca="true">bsd(6,1,$F134,$F134,$O134-TODAY(),$H134,$P134,J134/2)</f>
        <v>#VALUE!</v>
      </c>
      <c r="N134" s="2" t="n">
        <f aca="false">A134</f>
        <v>112</v>
      </c>
      <c r="O134" s="169" t="n">
        <f aca="false">VLOOKUP(B134,expiration,3,FALSE())</f>
        <v>40659</v>
      </c>
      <c r="P134" s="123" t="n">
        <f aca="false">VLOOKUP($B134,curvesettle,4,FALSE())</f>
        <v>0.0583669861880636</v>
      </c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W134" s="168" t="n">
        <v>0</v>
      </c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</row>
    <row r="135" customFormat="false" ht="12.75" hidden="false" customHeight="false" outlineLevel="0" collapsed="false">
      <c r="A135" s="136" t="n">
        <f aca="false">A134+1</f>
        <v>113</v>
      </c>
      <c r="B135" s="165" t="n">
        <f aca="false">DATE(YEAR(B134),MONTH(B134)+1,1)</f>
        <v>40695</v>
      </c>
      <c r="C135" s="0"/>
      <c r="D135" s="136" t="n">
        <f aca="false">VLOOKUP($B135,curvesettle,2,FALSE())</f>
        <v>3.424</v>
      </c>
      <c r="E135" s="166" t="n">
        <f aca="false">K$12</f>
        <v>-0.00691666666666668</v>
      </c>
      <c r="F135" s="167" t="n">
        <f aca="false">IF(D$1="settle",D135,IF(D$1="EOL",D135+E135,IF(ISNUMBER(C135),C135,D135)))</f>
        <v>3.424</v>
      </c>
      <c r="G135" s="168" t="e">
        <f aca="false">IF($D$2="settle",H135,IF($D$2="straddles",K135,IF($D$2="custom",H135+I135,0)))</f>
        <v>#VALUE!</v>
      </c>
      <c r="H135" s="168" t="n">
        <f aca="false">VLOOKUP($B135,curvesettle,3,FALSE())</f>
        <v>0.18</v>
      </c>
      <c r="I135" s="168" t="n">
        <v>0</v>
      </c>
      <c r="J135" s="166" t="n">
        <v>0.28</v>
      </c>
      <c r="K135" s="168" t="e">
        <f aca="true">bsd(6,1,$F135,$F135,$O135-TODAY(),$H135,$P135,J135/2)</f>
        <v>#VALUE!</v>
      </c>
      <c r="N135" s="2" t="n">
        <f aca="false">A135</f>
        <v>113</v>
      </c>
      <c r="O135" s="169" t="n">
        <f aca="false">VLOOKUP(B135,expiration,3,FALSE())</f>
        <v>40688</v>
      </c>
      <c r="P135" s="123" t="n">
        <f aca="false">VLOOKUP($B135,curvesettle,4,FALSE())</f>
        <v>0.0584671460053037</v>
      </c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W135" s="168" t="n">
        <v>0</v>
      </c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</row>
    <row r="136" customFormat="false" ht="12.75" hidden="false" customHeight="false" outlineLevel="0" collapsed="false">
      <c r="A136" s="136" t="n">
        <f aca="false">A135+1</f>
        <v>114</v>
      </c>
      <c r="B136" s="165" t="n">
        <f aca="false">DATE(YEAR(B135),MONTH(B135)+1,1)</f>
        <v>40725</v>
      </c>
      <c r="C136" s="0"/>
      <c r="D136" s="136" t="n">
        <f aca="false">VLOOKUP($B136,curvesettle,2,FALSE())</f>
        <v>3.464</v>
      </c>
      <c r="E136" s="166" t="n">
        <f aca="false">K$12</f>
        <v>-0.00691666666666668</v>
      </c>
      <c r="F136" s="167" t="n">
        <f aca="false">IF(D$1="settle",D136,IF(D$1="EOL",D136+E136,IF(ISNUMBER(C136),C136,D136)))</f>
        <v>3.464</v>
      </c>
      <c r="G136" s="168" t="e">
        <f aca="false">IF($D$2="settle",H136,IF($D$2="straddles",K136,IF($D$2="custom",H136+I136,0)))</f>
        <v>#VALUE!</v>
      </c>
      <c r="H136" s="168" t="n">
        <f aca="false">VLOOKUP($B136,curvesettle,3,FALSE())</f>
        <v>0.18</v>
      </c>
      <c r="I136" s="168" t="n">
        <v>0</v>
      </c>
      <c r="J136" s="166" t="n">
        <v>0.28</v>
      </c>
      <c r="K136" s="168" t="e">
        <f aca="true">bsd(6,1,$F136,$F136,$O136-TODAY(),$H136,$P136,J136/2)</f>
        <v>#VALUE!</v>
      </c>
      <c r="N136" s="2" t="n">
        <f aca="false">A136</f>
        <v>114</v>
      </c>
      <c r="O136" s="169" t="n">
        <f aca="false">VLOOKUP(B136,expiration,3,FALSE())</f>
        <v>40721</v>
      </c>
      <c r="P136" s="123" t="n">
        <f aca="false">VLOOKUP($B136,curvesettle,4,FALSE())</f>
        <v>0.0585706444866236</v>
      </c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W136" s="168" t="n">
        <v>0</v>
      </c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</row>
    <row r="137" customFormat="false" ht="12.75" hidden="false" customHeight="false" outlineLevel="0" collapsed="false">
      <c r="A137" s="136" t="n">
        <f aca="false">A136+1</f>
        <v>115</v>
      </c>
      <c r="B137" s="165" t="n">
        <f aca="false">DATE(YEAR(B136),MONTH(B136)+1,1)</f>
        <v>40756</v>
      </c>
      <c r="C137" s="0"/>
      <c r="D137" s="136" t="n">
        <f aca="false">VLOOKUP($B137,curvesettle,2,FALSE())</f>
        <v>3.514</v>
      </c>
      <c r="E137" s="166" t="n">
        <f aca="false">K$12</f>
        <v>-0.00691666666666668</v>
      </c>
      <c r="F137" s="167" t="n">
        <f aca="false">IF(D$1="settle",D137,IF(D$1="EOL",D137+E137,IF(ISNUMBER(C137),C137,D137)))</f>
        <v>3.514</v>
      </c>
      <c r="G137" s="168" t="e">
        <f aca="false">IF($D$2="settle",H137,IF($D$2="straddles",K137,IF($D$2="custom",H137+I137,0)))</f>
        <v>#VALUE!</v>
      </c>
      <c r="H137" s="168" t="n">
        <f aca="false">VLOOKUP($B137,curvesettle,3,FALSE())</f>
        <v>0.18</v>
      </c>
      <c r="I137" s="168" t="n">
        <v>0</v>
      </c>
      <c r="J137" s="166" t="n">
        <v>0.28</v>
      </c>
      <c r="K137" s="168" t="e">
        <f aca="true">bsd(6,1,$F137,$F137,$O137-TODAY(),$H137,$P137,J137/2)</f>
        <v>#VALUE!</v>
      </c>
      <c r="N137" s="2" t="n">
        <f aca="false">A137</f>
        <v>115</v>
      </c>
      <c r="O137" s="169" t="n">
        <f aca="false">VLOOKUP(B137,expiration,3,FALSE())</f>
        <v>40750</v>
      </c>
      <c r="P137" s="123" t="n">
        <f aca="false">VLOOKUP($B137,curvesettle,4,FALSE())</f>
        <v>0.0586708043106468</v>
      </c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W137" s="168" t="n">
        <v>0</v>
      </c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</row>
    <row r="138" customFormat="false" ht="12.75" hidden="false" customHeight="false" outlineLevel="0" collapsed="false">
      <c r="A138" s="136" t="n">
        <f aca="false">A137+1</f>
        <v>116</v>
      </c>
      <c r="B138" s="165" t="n">
        <f aca="false">DATE(YEAR(B137),MONTH(B137)+1,1)</f>
        <v>40787</v>
      </c>
      <c r="C138" s="0"/>
      <c r="D138" s="136" t="n">
        <f aca="false">VLOOKUP($B138,curvesettle,2,FALSE())</f>
        <v>3.499</v>
      </c>
      <c r="E138" s="166" t="n">
        <f aca="false">K$12</f>
        <v>-0.00691666666666668</v>
      </c>
      <c r="F138" s="167" t="n">
        <f aca="false">IF(D$1="settle",D138,IF(D$1="EOL",D138+E138,IF(ISNUMBER(C138),C138,D138)))</f>
        <v>3.499</v>
      </c>
      <c r="G138" s="168" t="e">
        <f aca="false">IF($D$2="settle",H138,IF($D$2="straddles",K138,IF($D$2="custom",H138+I138,0)))</f>
        <v>#VALUE!</v>
      </c>
      <c r="H138" s="168" t="n">
        <f aca="false">VLOOKUP($B138,curvesettle,3,FALSE())</f>
        <v>0.18</v>
      </c>
      <c r="I138" s="168" t="n">
        <v>0</v>
      </c>
      <c r="J138" s="166" t="n">
        <v>0.28</v>
      </c>
      <c r="K138" s="168" t="e">
        <f aca="true">bsd(6,1,$F138,$F138,$O138-TODAY(),$H138,$P138,J138/2)</f>
        <v>#VALUE!</v>
      </c>
      <c r="N138" s="2" t="n">
        <f aca="false">A138</f>
        <v>116</v>
      </c>
      <c r="O138" s="169" t="n">
        <f aca="false">VLOOKUP(B138,expiration,3,FALSE())</f>
        <v>40781</v>
      </c>
      <c r="P138" s="123" t="n">
        <f aca="false">VLOOKUP($B138,curvesettle,4,FALSE())</f>
        <v>0.0587743027989744</v>
      </c>
      <c r="R138" s="168"/>
      <c r="S138" s="168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W138" s="168" t="n">
        <v>0</v>
      </c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</row>
    <row r="139" customFormat="false" ht="12.75" hidden="false" customHeight="false" outlineLevel="0" collapsed="false">
      <c r="A139" s="136" t="n">
        <f aca="false">A138+1</f>
        <v>117</v>
      </c>
      <c r="B139" s="165" t="n">
        <f aca="false">DATE(YEAR(B138),MONTH(B138)+1,1)</f>
        <v>40817</v>
      </c>
      <c r="C139" s="0"/>
      <c r="D139" s="136" t="n">
        <f aca="false">VLOOKUP($B139,curvesettle,2,FALSE())</f>
        <v>3.514</v>
      </c>
      <c r="E139" s="166" t="n">
        <f aca="false">K$12</f>
        <v>-0.00691666666666668</v>
      </c>
      <c r="F139" s="167" t="n">
        <f aca="false">IF(D$1="settle",D139,IF(D$1="EOL",D139+E139,IF(ISNUMBER(C139),C139,D139)))</f>
        <v>3.514</v>
      </c>
      <c r="G139" s="168" t="e">
        <f aca="false">IF($D$2="settle",H139,IF($D$2="straddles",K139,IF($D$2="custom",H139+I139,0)))</f>
        <v>#VALUE!</v>
      </c>
      <c r="H139" s="168" t="n">
        <f aca="false">VLOOKUP($B139,curvesettle,3,FALSE())</f>
        <v>0.18</v>
      </c>
      <c r="I139" s="168" t="n">
        <v>0</v>
      </c>
      <c r="J139" s="166" t="n">
        <v>0.28</v>
      </c>
      <c r="K139" s="168" t="e">
        <f aca="true">bsd(6,1,$F139,$F139,$O139-TODAY(),$H139,$P139,J139/2)</f>
        <v>#VALUE!</v>
      </c>
      <c r="N139" s="2" t="n">
        <f aca="false">A139</f>
        <v>117</v>
      </c>
      <c r="O139" s="169" t="n">
        <f aca="false">VLOOKUP(B139,expiration,3,FALSE())</f>
        <v>40813</v>
      </c>
      <c r="P139" s="123" t="n">
        <f aca="false">VLOOKUP($B139,curvesettle,4,FALSE())</f>
        <v>0.0588778012908637</v>
      </c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W139" s="168" t="n">
        <v>0</v>
      </c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</row>
    <row r="140" customFormat="false" ht="12.75" hidden="false" customHeight="false" outlineLevel="0" collapsed="false">
      <c r="A140" s="136" t="n">
        <f aca="false">A139+1</f>
        <v>118</v>
      </c>
      <c r="B140" s="165" t="n">
        <f aca="false">DATE(YEAR(B139),MONTH(B139)+1,1)</f>
        <v>40848</v>
      </c>
      <c r="C140" s="0"/>
      <c r="D140" s="136" t="n">
        <f aca="false">VLOOKUP($B140,curvesettle,2,FALSE())</f>
        <v>3.659</v>
      </c>
      <c r="E140" s="166" t="n">
        <f aca="false">K$12</f>
        <v>-0.00691666666666668</v>
      </c>
      <c r="F140" s="167" t="n">
        <f aca="false">IF(D$1="settle",D140,IF(D$1="EOL",D140+E140,IF(ISNUMBER(C140),C140,D140)))</f>
        <v>3.659</v>
      </c>
      <c r="G140" s="168" t="e">
        <f aca="false">IF($D$2="settle",H140,IF($D$2="straddles",K140,IF($D$2="custom",H140+I140,0)))</f>
        <v>#VALUE!</v>
      </c>
      <c r="H140" s="168" t="n">
        <f aca="false">VLOOKUP($B140,curvesettle,3,FALSE())</f>
        <v>0.18</v>
      </c>
      <c r="I140" s="168" t="n">
        <v>0</v>
      </c>
      <c r="J140" s="166" t="n">
        <v>0.28</v>
      </c>
      <c r="K140" s="168" t="e">
        <f aca="true">bsd(6,1,$F140,$F140,$O140-TODAY(),$H140,$P140,J140/2)</f>
        <v>#VALUE!</v>
      </c>
      <c r="N140" s="2" t="n">
        <f aca="false">A140</f>
        <v>118</v>
      </c>
      <c r="O140" s="169" t="n">
        <f aca="false">VLOOKUP(B140,expiration,3,FALSE())</f>
        <v>40842</v>
      </c>
      <c r="P140" s="123" t="n">
        <f aca="false">VLOOKUP($B140,curvesettle,4,FALSE())</f>
        <v>0.0589779611251142</v>
      </c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W140" s="168" t="n">
        <v>0</v>
      </c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</row>
    <row r="141" customFormat="false" ht="12.75" hidden="false" customHeight="false" outlineLevel="0" collapsed="false">
      <c r="A141" s="136" t="n">
        <f aca="false">A140+1</f>
        <v>119</v>
      </c>
      <c r="B141" s="165" t="n">
        <f aca="false">DATE(YEAR(B140),MONTH(B140)+1,1)</f>
        <v>40878</v>
      </c>
      <c r="C141" s="0"/>
      <c r="D141" s="136" t="n">
        <f aca="false">VLOOKUP($B141,curvesettle,2,FALSE())</f>
        <v>3.794</v>
      </c>
      <c r="E141" s="166" t="n">
        <f aca="false">K$12</f>
        <v>-0.00691666666666668</v>
      </c>
      <c r="F141" s="167" t="n">
        <f aca="false">IF(D$1="settle",D141,IF(D$1="EOL",D141+E141,IF(ISNUMBER(C141),C141,D141)))</f>
        <v>3.794</v>
      </c>
      <c r="G141" s="168" t="e">
        <f aca="false">IF($D$2="settle",H141,IF($D$2="straddles",K141,IF($D$2="custom",H141+I141,0)))</f>
        <v>#VALUE!</v>
      </c>
      <c r="H141" s="168" t="n">
        <f aca="false">VLOOKUP($B141,curvesettle,3,FALSE())</f>
        <v>0.18</v>
      </c>
      <c r="I141" s="168" t="n">
        <v>0</v>
      </c>
      <c r="J141" s="166" t="n">
        <v>0.28</v>
      </c>
      <c r="K141" s="168" t="e">
        <f aca="true">bsd(6,1,$F141,$F141,$O141-TODAY(),$H141,$P141,J141/2)</f>
        <v>#VALUE!</v>
      </c>
      <c r="N141" s="2" t="n">
        <f aca="false">A141</f>
        <v>119</v>
      </c>
      <c r="O141" s="169" t="n">
        <f aca="false">VLOOKUP(B141,expiration,3,FALSE())</f>
        <v>40872</v>
      </c>
      <c r="P141" s="123" t="n">
        <f aca="false">VLOOKUP($B141,curvesettle,4,FALSE())</f>
        <v>0.0590814596240108</v>
      </c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W141" s="168" t="n">
        <v>0</v>
      </c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</row>
    <row r="142" customFormat="false" ht="12.75" hidden="false" customHeight="false" outlineLevel="0" collapsed="false">
      <c r="A142" s="136" t="n">
        <f aca="false">A141+1</f>
        <v>120</v>
      </c>
      <c r="B142" s="165" t="n">
        <f aca="false">DATE(YEAR(B141),MONTH(B141)+1,1)</f>
        <v>40909</v>
      </c>
      <c r="C142" s="0"/>
      <c r="D142" s="136" t="n">
        <f aca="false">VLOOKUP($B142,curvesettle,2,FALSE())</f>
        <v>3.849</v>
      </c>
      <c r="E142" s="166" t="n">
        <f aca="false">K$12</f>
        <v>-0.00691666666666668</v>
      </c>
      <c r="F142" s="167" t="n">
        <f aca="false">IF(D$1="settle",D142,IF(D$1="EOL",D142+E142,IF(ISNUMBER(C142),C142,D142)))</f>
        <v>3.849</v>
      </c>
      <c r="G142" s="168" t="e">
        <f aca="false">IF($D$2="settle",H142,IF($D$2="straddles",K142,IF($D$2="custom",H142+I142,0)))</f>
        <v>#VALUE!</v>
      </c>
      <c r="H142" s="168" t="n">
        <f aca="false">VLOOKUP($B142,curvesettle,3,FALSE())</f>
        <v>0.18</v>
      </c>
      <c r="I142" s="168" t="n">
        <v>0</v>
      </c>
      <c r="J142" s="166" t="n">
        <v>0.28</v>
      </c>
      <c r="K142" s="168" t="e">
        <f aca="true">bsd(6,1,$F142,$F142,$O142-TODAY(),$H142,$P142,J142/2)</f>
        <v>#VALUE!</v>
      </c>
      <c r="N142" s="2" t="n">
        <f aca="false">A142</f>
        <v>120</v>
      </c>
      <c r="O142" s="169" t="n">
        <f aca="false">VLOOKUP(B142,expiration,3,FALSE())</f>
        <v>40904</v>
      </c>
      <c r="P142" s="123" t="n">
        <f aca="false">VLOOKUP($B142,curvesettle,4,FALSE())</f>
        <v>0.0591816194650425</v>
      </c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W142" s="168" t="n">
        <v>0</v>
      </c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168" t="n">
        <v>0</v>
      </c>
      <c r="J143" s="0"/>
      <c r="K143" s="0"/>
      <c r="L143" s="168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168" t="n">
        <v>0</v>
      </c>
      <c r="J144" s="0"/>
      <c r="K144" s="0"/>
      <c r="L144" s="168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168" t="n">
        <v>0</v>
      </c>
      <c r="J145" s="0"/>
      <c r="K145" s="0"/>
      <c r="L145" s="168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168" t="n">
        <v>0</v>
      </c>
      <c r="J146" s="0"/>
      <c r="K146" s="0"/>
      <c r="L146" s="168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168" t="n">
        <v>0</v>
      </c>
      <c r="J147" s="0"/>
      <c r="K147" s="0"/>
      <c r="L147" s="168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168" t="n">
        <v>0</v>
      </c>
      <c r="J148" s="0"/>
      <c r="K148" s="0"/>
      <c r="L148" s="168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168" t="n">
        <v>0</v>
      </c>
      <c r="J149" s="0"/>
      <c r="K149" s="0"/>
      <c r="L149" s="168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168" t="n">
        <v>0</v>
      </c>
      <c r="J150" s="0"/>
      <c r="K150" s="0"/>
      <c r="L150" s="168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168" t="n">
        <v>0</v>
      </c>
      <c r="J151" s="0"/>
      <c r="K151" s="0"/>
      <c r="L151" s="168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168" t="n">
        <v>0</v>
      </c>
      <c r="J152" s="0"/>
      <c r="K152" s="0"/>
      <c r="L152" s="168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168" t="n">
        <v>0</v>
      </c>
      <c r="J153" s="0"/>
      <c r="K153" s="0"/>
      <c r="L153" s="168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168" t="n">
        <v>0</v>
      </c>
      <c r="J154" s="0"/>
      <c r="K154" s="0"/>
      <c r="L154" s="168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168" t="n">
        <v>0</v>
      </c>
      <c r="J155" s="0"/>
      <c r="K155" s="0"/>
      <c r="L155" s="168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168" t="n">
        <v>0</v>
      </c>
      <c r="J156" s="0"/>
      <c r="K156" s="0"/>
      <c r="L156" s="168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168" t="n">
        <v>0</v>
      </c>
      <c r="J157" s="0"/>
      <c r="K157" s="0"/>
      <c r="L157" s="168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168" t="n">
        <v>0</v>
      </c>
      <c r="J158" s="0"/>
      <c r="K158" s="0"/>
      <c r="L158" s="168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168" t="n">
        <v>0</v>
      </c>
      <c r="J159" s="0"/>
      <c r="K159" s="0"/>
      <c r="L159" s="168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168" t="n">
        <v>0</v>
      </c>
      <c r="J160" s="0"/>
      <c r="K160" s="0"/>
      <c r="L160" s="168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168" t="n">
        <v>0</v>
      </c>
      <c r="J161" s="0"/>
      <c r="K161" s="0"/>
      <c r="L161" s="168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168" t="n">
        <v>0</v>
      </c>
      <c r="J162" s="0"/>
      <c r="K162" s="0"/>
      <c r="L162" s="168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168" t="n">
        <v>0</v>
      </c>
      <c r="J163" s="0"/>
      <c r="K163" s="0"/>
      <c r="L163" s="168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168" t="n">
        <v>0</v>
      </c>
      <c r="J164" s="0"/>
      <c r="K164" s="0"/>
      <c r="L164" s="168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168" t="n">
        <v>0</v>
      </c>
      <c r="J165" s="0"/>
      <c r="K165" s="0"/>
      <c r="L165" s="168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168" t="n">
        <v>0</v>
      </c>
      <c r="J166" s="0"/>
      <c r="K166" s="0"/>
      <c r="L166" s="168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168" t="n">
        <v>0</v>
      </c>
      <c r="J167" s="0"/>
      <c r="K167" s="0"/>
      <c r="L167" s="168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168" t="n">
        <v>0</v>
      </c>
      <c r="J168" s="0"/>
      <c r="K168" s="0"/>
      <c r="L168" s="168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168" t="n">
        <v>0</v>
      </c>
      <c r="J169" s="0"/>
      <c r="K169" s="0"/>
      <c r="L169" s="168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168" t="n">
        <v>0</v>
      </c>
      <c r="J170" s="0"/>
      <c r="K170" s="0"/>
      <c r="L170" s="168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168" t="n">
        <v>0</v>
      </c>
      <c r="J171" s="0"/>
      <c r="K171" s="0"/>
      <c r="L171" s="168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168" t="n">
        <v>0</v>
      </c>
      <c r="J172" s="0"/>
      <c r="K172" s="0"/>
      <c r="L172" s="168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168" t="n">
        <v>0</v>
      </c>
      <c r="J173" s="0"/>
      <c r="K173" s="0"/>
      <c r="L173" s="168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168" t="n">
        <v>0</v>
      </c>
      <c r="J174" s="0"/>
      <c r="K174" s="0"/>
      <c r="L174" s="168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168" t="n">
        <v>0</v>
      </c>
      <c r="J175" s="0"/>
      <c r="K175" s="0"/>
      <c r="L175" s="168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168" t="n">
        <v>0</v>
      </c>
      <c r="J176" s="0"/>
      <c r="K176" s="0"/>
      <c r="L176" s="168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</row>
    <row r="177" customFormat="false" ht="12.75" hidden="false" customHeight="false" outlineLevel="0" collapsed="false">
      <c r="A177" s="0"/>
      <c r="B177" s="0"/>
      <c r="C177" s="0"/>
      <c r="D177" s="0"/>
      <c r="E177" s="0"/>
      <c r="F177" s="0"/>
      <c r="G177" s="0"/>
      <c r="H177" s="0"/>
      <c r="I177" s="168" t="n">
        <v>0</v>
      </c>
      <c r="J177" s="0"/>
      <c r="K177" s="0"/>
      <c r="L177" s="168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</row>
    <row r="178" customFormat="false" ht="12.75" hidden="false" customHeight="false" outlineLevel="0" collapsed="false">
      <c r="A178" s="0"/>
      <c r="B178" s="0"/>
      <c r="C178" s="0"/>
      <c r="D178" s="0"/>
      <c r="E178" s="0"/>
      <c r="F178" s="0"/>
      <c r="G178" s="0"/>
      <c r="H178" s="0"/>
      <c r="I178" s="168" t="n">
        <v>0</v>
      </c>
      <c r="J178" s="0"/>
      <c r="K178" s="0"/>
      <c r="L178" s="168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</row>
    <row r="179" customFormat="false" ht="12.75" hidden="false" customHeight="false" outlineLevel="0" collapsed="false">
      <c r="A179" s="0"/>
      <c r="B179" s="0"/>
      <c r="C179" s="0"/>
      <c r="D179" s="0"/>
      <c r="E179" s="0"/>
      <c r="F179" s="0"/>
      <c r="G179" s="0"/>
      <c r="H179" s="0"/>
      <c r="I179" s="168" t="n">
        <v>0</v>
      </c>
      <c r="J179" s="0"/>
      <c r="K179" s="0"/>
      <c r="L179" s="168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</row>
    <row r="180" customFormat="false" ht="12.75" hidden="false" customHeight="false" outlineLevel="0" collapsed="false">
      <c r="A180" s="0"/>
      <c r="B180" s="0"/>
      <c r="C180" s="0"/>
      <c r="D180" s="0"/>
      <c r="E180" s="0"/>
      <c r="F180" s="0"/>
      <c r="G180" s="0"/>
      <c r="H180" s="0"/>
      <c r="I180" s="168" t="n">
        <v>0</v>
      </c>
      <c r="J180" s="0"/>
      <c r="K180" s="0"/>
      <c r="L180" s="168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</row>
    <row r="181" customFormat="false" ht="12.75" hidden="false" customHeight="false" outlineLevel="0" collapsed="false">
      <c r="A181" s="0"/>
      <c r="B181" s="0"/>
      <c r="C181" s="0"/>
      <c r="D181" s="0"/>
      <c r="E181" s="0"/>
      <c r="F181" s="0"/>
      <c r="G181" s="0"/>
      <c r="H181" s="0"/>
      <c r="I181" s="168" t="n">
        <v>0</v>
      </c>
      <c r="J181" s="0"/>
      <c r="K181" s="0"/>
      <c r="L181" s="168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</row>
    <row r="182" customFormat="false" ht="12.75" hidden="false" customHeight="false" outlineLevel="0" collapsed="false">
      <c r="A182" s="0"/>
      <c r="B182" s="0"/>
      <c r="C182" s="0"/>
      <c r="D182" s="0"/>
      <c r="E182" s="0"/>
      <c r="F182" s="0"/>
      <c r="G182" s="0"/>
      <c r="H182" s="0"/>
      <c r="I182" s="168" t="n">
        <v>0</v>
      </c>
      <c r="J182" s="0"/>
      <c r="K182" s="0"/>
      <c r="L182" s="168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</row>
    <row r="183" customFormat="false" ht="12.75" hidden="false" customHeight="false" outlineLevel="0" collapsed="false">
      <c r="A183" s="0"/>
      <c r="B183" s="0"/>
      <c r="C183" s="0"/>
      <c r="D183" s="0"/>
      <c r="E183" s="0"/>
      <c r="F183" s="0"/>
      <c r="G183" s="0"/>
      <c r="H183" s="0"/>
      <c r="I183" s="168" t="n">
        <v>0</v>
      </c>
      <c r="J183" s="0"/>
      <c r="K183" s="0"/>
      <c r="L183" s="168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</row>
    <row r="184" customFormat="false" ht="12.75" hidden="false" customHeight="false" outlineLevel="0" collapsed="false">
      <c r="A184" s="0"/>
      <c r="B184" s="0"/>
      <c r="C184" s="0"/>
      <c r="D184" s="0"/>
      <c r="E184" s="0"/>
      <c r="F184" s="0"/>
      <c r="G184" s="0"/>
      <c r="H184" s="0"/>
      <c r="I184" s="168" t="n">
        <v>0</v>
      </c>
      <c r="J184" s="0"/>
      <c r="K184" s="0"/>
      <c r="L184" s="168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</row>
    <row r="185" customFormat="false" ht="12.75" hidden="false" customHeight="false" outlineLevel="0" collapsed="false">
      <c r="A185" s="0"/>
      <c r="B185" s="0"/>
      <c r="C185" s="0"/>
      <c r="D185" s="0"/>
      <c r="E185" s="0"/>
      <c r="F185" s="0"/>
      <c r="G185" s="0"/>
      <c r="H185" s="0"/>
      <c r="I185" s="168" t="n">
        <v>0</v>
      </c>
      <c r="J185" s="0"/>
      <c r="K185" s="0"/>
      <c r="L185" s="168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</row>
    <row r="186" customFormat="false" ht="12.75" hidden="false" customHeight="false" outlineLevel="0" collapsed="false">
      <c r="A186" s="0"/>
      <c r="B186" s="0"/>
      <c r="C186" s="0"/>
      <c r="D186" s="0"/>
      <c r="E186" s="0"/>
      <c r="F186" s="0"/>
      <c r="G186" s="0"/>
      <c r="H186" s="0"/>
      <c r="I186" s="168" t="n">
        <v>0</v>
      </c>
      <c r="J186" s="0"/>
      <c r="K186" s="0"/>
      <c r="L186" s="168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</row>
    <row r="187" customFormat="false" ht="12.75" hidden="false" customHeight="false" outlineLevel="0" collapsed="false">
      <c r="A187" s="0"/>
      <c r="B187" s="0"/>
      <c r="C187" s="0"/>
      <c r="D187" s="0"/>
      <c r="E187" s="0"/>
      <c r="F187" s="0"/>
      <c r="G187" s="0"/>
      <c r="H187" s="0"/>
      <c r="I187" s="168" t="n">
        <v>0</v>
      </c>
      <c r="J187" s="0"/>
      <c r="K187" s="0"/>
      <c r="L187" s="168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</row>
    <row r="188" customFormat="false" ht="12.75" hidden="false" customHeight="false" outlineLevel="0" collapsed="false">
      <c r="A188" s="0"/>
      <c r="B188" s="0"/>
      <c r="C188" s="0"/>
      <c r="D188" s="0"/>
      <c r="E188" s="0"/>
      <c r="F188" s="0"/>
      <c r="G188" s="0"/>
      <c r="H188" s="0"/>
      <c r="I188" s="168" t="n">
        <v>0</v>
      </c>
      <c r="J188" s="0"/>
      <c r="K188" s="0"/>
      <c r="L188" s="168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</row>
    <row r="189" customFormat="false" ht="12.75" hidden="false" customHeight="false" outlineLevel="0" collapsed="false">
      <c r="A189" s="0"/>
      <c r="B189" s="0"/>
      <c r="C189" s="0"/>
      <c r="D189" s="0"/>
      <c r="E189" s="0"/>
      <c r="F189" s="0"/>
      <c r="G189" s="0"/>
      <c r="H189" s="0"/>
      <c r="I189" s="168" t="n">
        <v>0</v>
      </c>
      <c r="J189" s="0"/>
      <c r="K189" s="0"/>
      <c r="L189" s="168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</row>
    <row r="190" customFormat="false" ht="12.75" hidden="false" customHeight="false" outlineLevel="0" collapsed="false">
      <c r="A190" s="0"/>
      <c r="B190" s="0"/>
      <c r="C190" s="0"/>
      <c r="D190" s="0"/>
      <c r="E190" s="0"/>
      <c r="F190" s="0"/>
      <c r="G190" s="0"/>
      <c r="H190" s="0"/>
      <c r="I190" s="168" t="n">
        <v>0</v>
      </c>
      <c r="J190" s="0"/>
      <c r="K190" s="0"/>
      <c r="L190" s="168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</row>
    <row r="191" customFormat="false" ht="12.75" hidden="false" customHeight="false" outlineLevel="0" collapsed="false">
      <c r="A191" s="0"/>
      <c r="B191" s="0"/>
      <c r="C191" s="0"/>
      <c r="D191" s="0"/>
      <c r="E191" s="0"/>
      <c r="F191" s="0"/>
      <c r="G191" s="0"/>
      <c r="H191" s="0"/>
      <c r="I191" s="168" t="n">
        <v>0</v>
      </c>
      <c r="J191" s="0"/>
      <c r="K191" s="0"/>
      <c r="L191" s="168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</row>
    <row r="192" customFormat="false" ht="12.75" hidden="false" customHeight="false" outlineLevel="0" collapsed="false">
      <c r="A192" s="0"/>
      <c r="B192" s="0"/>
      <c r="C192" s="0"/>
      <c r="D192" s="0"/>
      <c r="E192" s="0"/>
      <c r="F192" s="0"/>
      <c r="G192" s="0"/>
      <c r="H192" s="0"/>
      <c r="I192" s="168" t="n">
        <v>0</v>
      </c>
      <c r="J192" s="0"/>
      <c r="K192" s="0"/>
      <c r="L192" s="168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</row>
    <row r="193" customFormat="false" ht="12.75" hidden="false" customHeight="false" outlineLevel="0" collapsed="false">
      <c r="A193" s="0"/>
      <c r="B193" s="0"/>
      <c r="C193" s="0"/>
      <c r="D193" s="0"/>
      <c r="E193" s="0"/>
      <c r="F193" s="0"/>
      <c r="G193" s="0"/>
      <c r="H193" s="0"/>
      <c r="I193" s="168" t="n">
        <v>0</v>
      </c>
      <c r="J193" s="0"/>
      <c r="K193" s="0"/>
      <c r="L193" s="168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</row>
    <row r="194" customFormat="false" ht="12.75" hidden="false" customHeight="false" outlineLevel="0" collapsed="false">
      <c r="A194" s="0"/>
      <c r="B194" s="0"/>
      <c r="C194" s="0"/>
      <c r="D194" s="0"/>
      <c r="E194" s="0"/>
      <c r="F194" s="0"/>
      <c r="G194" s="0"/>
      <c r="H194" s="0"/>
      <c r="I194" s="168" t="n">
        <v>0</v>
      </c>
      <c r="J194" s="0"/>
      <c r="K194" s="0"/>
      <c r="L194" s="168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</row>
    <row r="195" customFormat="false" ht="12.75" hidden="false" customHeight="false" outlineLevel="0" collapsed="false">
      <c r="A195" s="0"/>
      <c r="B195" s="0"/>
      <c r="C195" s="0"/>
      <c r="D195" s="0"/>
      <c r="E195" s="0"/>
      <c r="F195" s="0"/>
      <c r="G195" s="0"/>
      <c r="H195" s="0"/>
      <c r="I195" s="168" t="n">
        <v>0</v>
      </c>
      <c r="J195" s="0"/>
      <c r="K195" s="0"/>
      <c r="L195" s="168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</row>
    <row r="196" customFormat="false" ht="12.75" hidden="false" customHeight="false" outlineLevel="0" collapsed="false">
      <c r="A196" s="0"/>
      <c r="B196" s="0"/>
      <c r="C196" s="0"/>
      <c r="D196" s="0"/>
      <c r="E196" s="0"/>
      <c r="F196" s="0"/>
      <c r="G196" s="0"/>
      <c r="H196" s="0"/>
      <c r="I196" s="168" t="n">
        <v>0</v>
      </c>
      <c r="J196" s="0"/>
      <c r="K196" s="0"/>
      <c r="L196" s="168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</row>
    <row r="197" customFormat="false" ht="12.75" hidden="false" customHeight="false" outlineLevel="0" collapsed="false">
      <c r="A197" s="0"/>
      <c r="B197" s="0"/>
      <c r="C197" s="0"/>
      <c r="D197" s="0"/>
      <c r="E197" s="0"/>
      <c r="F197" s="0"/>
      <c r="G197" s="0"/>
      <c r="H197" s="0"/>
      <c r="I197" s="168" t="n">
        <v>0</v>
      </c>
      <c r="J197" s="0"/>
      <c r="K197" s="0"/>
      <c r="L197" s="168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</row>
    <row r="198" customFormat="false" ht="12.75" hidden="false" customHeight="false" outlineLevel="0" collapsed="false">
      <c r="A198" s="0"/>
      <c r="B198" s="0"/>
      <c r="C198" s="0"/>
      <c r="D198" s="0"/>
      <c r="E198" s="0"/>
      <c r="F198" s="0"/>
      <c r="G198" s="0"/>
      <c r="H198" s="0"/>
      <c r="I198" s="168" t="n">
        <v>0</v>
      </c>
      <c r="J198" s="0"/>
      <c r="K198" s="0"/>
      <c r="L198" s="168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</row>
    <row r="199" customFormat="false" ht="12.75" hidden="false" customHeight="false" outlineLevel="0" collapsed="false">
      <c r="A199" s="0"/>
      <c r="B199" s="0"/>
      <c r="C199" s="0"/>
      <c r="D199" s="0"/>
      <c r="E199" s="0"/>
      <c r="F199" s="0"/>
      <c r="G199" s="0"/>
      <c r="H199" s="0"/>
      <c r="I199" s="168" t="n">
        <v>0</v>
      </c>
      <c r="J199" s="0"/>
      <c r="K199" s="0"/>
      <c r="L199" s="168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</row>
    <row r="200" customFormat="false" ht="12.75" hidden="false" customHeight="false" outlineLevel="0" collapsed="false">
      <c r="A200" s="0"/>
      <c r="B200" s="0"/>
      <c r="C200" s="0"/>
      <c r="D200" s="0"/>
      <c r="E200" s="0"/>
      <c r="F200" s="0"/>
      <c r="G200" s="0"/>
      <c r="H200" s="0"/>
      <c r="I200" s="168" t="n">
        <v>0</v>
      </c>
      <c r="J200" s="0"/>
      <c r="K200" s="0"/>
      <c r="L200" s="168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</row>
    <row r="201" customFormat="false" ht="12.75" hidden="false" customHeight="false" outlineLevel="0" collapsed="false">
      <c r="A201" s="0"/>
      <c r="B201" s="0"/>
      <c r="C201" s="0"/>
      <c r="D201" s="0"/>
      <c r="E201" s="0"/>
      <c r="F201" s="0"/>
      <c r="G201" s="0"/>
      <c r="H201" s="0"/>
      <c r="I201" s="168" t="n">
        <v>0</v>
      </c>
      <c r="J201" s="0"/>
      <c r="K201" s="0"/>
      <c r="L201" s="168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</row>
    <row r="202" customFormat="false" ht="12.75" hidden="false" customHeight="false" outlineLevel="0" collapsed="false">
      <c r="A202" s="0"/>
      <c r="B202" s="0"/>
      <c r="C202" s="0"/>
      <c r="D202" s="0"/>
      <c r="E202" s="0"/>
      <c r="F202" s="0"/>
      <c r="G202" s="0"/>
      <c r="H202" s="0"/>
      <c r="I202" s="168" t="n">
        <v>0</v>
      </c>
      <c r="J202" s="0"/>
      <c r="K202" s="0"/>
      <c r="L202" s="168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</row>
    <row r="203" customFormat="false" ht="12.75" hidden="false" customHeight="false" outlineLevel="0" collapsed="false">
      <c r="A203" s="0"/>
      <c r="B203" s="0"/>
      <c r="C203" s="0"/>
      <c r="D203" s="0"/>
      <c r="E203" s="0"/>
      <c r="F203" s="0"/>
      <c r="G203" s="0"/>
      <c r="H203" s="0"/>
      <c r="I203" s="168" t="n">
        <v>0</v>
      </c>
      <c r="J203" s="0"/>
      <c r="K203" s="0"/>
      <c r="L203" s="168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</row>
    <row r="204" customFormat="false" ht="12.75" hidden="false" customHeight="false" outlineLevel="0" collapsed="false">
      <c r="A204" s="0"/>
      <c r="B204" s="0"/>
      <c r="C204" s="0"/>
      <c r="D204" s="0"/>
      <c r="E204" s="0"/>
      <c r="F204" s="0"/>
      <c r="G204" s="0"/>
      <c r="H204" s="0"/>
      <c r="I204" s="168" t="n">
        <v>0</v>
      </c>
      <c r="J204" s="0"/>
      <c r="K204" s="0"/>
      <c r="L204" s="168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</row>
    <row r="205" customFormat="false" ht="12.75" hidden="false" customHeight="false" outlineLevel="0" collapsed="false">
      <c r="A205" s="0"/>
      <c r="B205" s="0"/>
      <c r="C205" s="0"/>
      <c r="D205" s="0"/>
      <c r="E205" s="0"/>
      <c r="F205" s="0"/>
      <c r="G205" s="0"/>
      <c r="H205" s="0"/>
      <c r="I205" s="168" t="n">
        <v>0</v>
      </c>
      <c r="J205" s="0"/>
      <c r="K205" s="0"/>
      <c r="L205" s="168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</row>
    <row r="206" customFormat="false" ht="12.75" hidden="false" customHeight="false" outlineLevel="0" collapsed="false">
      <c r="A206" s="0"/>
      <c r="B206" s="0"/>
      <c r="C206" s="0"/>
      <c r="D206" s="0"/>
      <c r="E206" s="0"/>
      <c r="F206" s="0"/>
      <c r="G206" s="0"/>
      <c r="H206" s="0"/>
      <c r="I206" s="168" t="n">
        <v>0</v>
      </c>
      <c r="J206" s="0"/>
      <c r="K206" s="0"/>
      <c r="L206" s="168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</row>
    <row r="207" customFormat="false" ht="12.75" hidden="false" customHeight="false" outlineLevel="0" collapsed="false">
      <c r="A207" s="0"/>
      <c r="B207" s="0"/>
      <c r="C207" s="0"/>
      <c r="D207" s="0"/>
      <c r="E207" s="0"/>
      <c r="F207" s="0"/>
      <c r="G207" s="0"/>
      <c r="H207" s="0"/>
      <c r="I207" s="168" t="n">
        <v>0</v>
      </c>
      <c r="J207" s="0"/>
      <c r="K207" s="0"/>
      <c r="L207" s="168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</row>
    <row r="208" customFormat="false" ht="12.75" hidden="false" customHeight="false" outlineLevel="0" collapsed="false">
      <c r="A208" s="0"/>
      <c r="B208" s="0"/>
      <c r="C208" s="0"/>
      <c r="D208" s="0"/>
      <c r="E208" s="0"/>
      <c r="F208" s="0"/>
      <c r="G208" s="0"/>
      <c r="H208" s="0"/>
      <c r="I208" s="168" t="n">
        <v>0</v>
      </c>
      <c r="J208" s="0"/>
      <c r="K208" s="0"/>
      <c r="L208" s="168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</row>
    <row r="209" customFormat="false" ht="12.75" hidden="false" customHeight="false" outlineLevel="0" collapsed="false">
      <c r="A209" s="0"/>
      <c r="B209" s="0"/>
      <c r="C209" s="0"/>
      <c r="D209" s="0"/>
      <c r="E209" s="0"/>
      <c r="F209" s="0"/>
      <c r="G209" s="0"/>
      <c r="H209" s="0"/>
      <c r="I209" s="168" t="n">
        <v>0</v>
      </c>
      <c r="J209" s="0"/>
      <c r="K209" s="0"/>
      <c r="L209" s="168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</row>
    <row r="210" customFormat="false" ht="12.75" hidden="false" customHeight="false" outlineLevel="0" collapsed="false">
      <c r="A210" s="0"/>
      <c r="B210" s="0"/>
      <c r="C210" s="0"/>
      <c r="D210" s="0"/>
      <c r="E210" s="0"/>
      <c r="F210" s="0"/>
      <c r="G210" s="0"/>
      <c r="H210" s="0"/>
      <c r="I210" s="168" t="n">
        <v>0</v>
      </c>
      <c r="J210" s="0"/>
      <c r="K210" s="0"/>
      <c r="L210" s="168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</row>
    <row r="211" customFormat="false" ht="12.75" hidden="false" customHeight="false" outlineLevel="0" collapsed="false">
      <c r="A211" s="0"/>
      <c r="B211" s="0"/>
      <c r="C211" s="0"/>
      <c r="D211" s="0"/>
      <c r="E211" s="0"/>
      <c r="F211" s="0"/>
      <c r="G211" s="0"/>
      <c r="H211" s="0"/>
      <c r="I211" s="168" t="n">
        <v>0</v>
      </c>
      <c r="J211" s="0"/>
      <c r="K211" s="0"/>
      <c r="L211" s="168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</row>
    <row r="212" customFormat="false" ht="12.75" hidden="false" customHeight="false" outlineLevel="0" collapsed="false">
      <c r="A212" s="0"/>
      <c r="B212" s="0"/>
      <c r="C212" s="0"/>
      <c r="D212" s="0"/>
      <c r="E212" s="0"/>
      <c r="F212" s="0"/>
      <c r="G212" s="0"/>
      <c r="H212" s="0"/>
      <c r="I212" s="168" t="n">
        <v>0</v>
      </c>
      <c r="J212" s="0"/>
      <c r="K212" s="0"/>
      <c r="L212" s="168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</row>
    <row r="213" customFormat="false" ht="12.75" hidden="false" customHeight="false" outlineLevel="0" collapsed="false">
      <c r="A213" s="0"/>
      <c r="B213" s="0"/>
      <c r="C213" s="0"/>
      <c r="D213" s="0"/>
      <c r="E213" s="0"/>
      <c r="F213" s="0"/>
      <c r="G213" s="0"/>
      <c r="H213" s="0"/>
      <c r="I213" s="168" t="n">
        <v>0</v>
      </c>
      <c r="J213" s="0"/>
      <c r="K213" s="0"/>
      <c r="L213" s="168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</row>
    <row r="214" customFormat="false" ht="12.75" hidden="false" customHeight="false" outlineLevel="0" collapsed="false">
      <c r="A214" s="0"/>
      <c r="B214" s="0"/>
      <c r="C214" s="0"/>
      <c r="D214" s="0"/>
      <c r="E214" s="0"/>
      <c r="F214" s="0"/>
      <c r="G214" s="0"/>
      <c r="H214" s="0"/>
      <c r="I214" s="168" t="n">
        <v>0</v>
      </c>
      <c r="J214" s="0"/>
      <c r="K214" s="0"/>
      <c r="L214" s="168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</row>
    <row r="215" customFormat="false" ht="12.75" hidden="false" customHeight="false" outlineLevel="0" collapsed="false">
      <c r="A215" s="0"/>
      <c r="B215" s="0"/>
      <c r="C215" s="0"/>
      <c r="D215" s="0"/>
      <c r="E215" s="0"/>
      <c r="F215" s="0"/>
      <c r="G215" s="0"/>
      <c r="H215" s="0"/>
      <c r="I215" s="168" t="n">
        <v>0</v>
      </c>
      <c r="J215" s="0"/>
      <c r="K215" s="0"/>
      <c r="L215" s="168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</row>
    <row r="216" customFormat="false" ht="12.75" hidden="false" customHeight="false" outlineLevel="0" collapsed="false">
      <c r="A216" s="0"/>
      <c r="B216" s="0"/>
      <c r="C216" s="0"/>
      <c r="D216" s="0"/>
      <c r="E216" s="0"/>
      <c r="F216" s="0"/>
      <c r="G216" s="0"/>
      <c r="H216" s="0"/>
      <c r="I216" s="168" t="n">
        <v>0</v>
      </c>
      <c r="J216" s="0"/>
      <c r="K216" s="0"/>
      <c r="L216" s="168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</row>
    <row r="217" customFormat="false" ht="12.75" hidden="false" customHeight="false" outlineLevel="0" collapsed="false">
      <c r="A217" s="0"/>
      <c r="B217" s="0"/>
      <c r="C217" s="0"/>
      <c r="D217" s="0"/>
      <c r="E217" s="0"/>
      <c r="F217" s="0"/>
      <c r="G217" s="0"/>
      <c r="H217" s="0"/>
      <c r="I217" s="168" t="n">
        <v>0</v>
      </c>
      <c r="J217" s="0"/>
      <c r="K217" s="0"/>
      <c r="L217" s="168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</row>
    <row r="218" customFormat="false" ht="12.75" hidden="false" customHeight="false" outlineLevel="0" collapsed="false">
      <c r="A218" s="0"/>
      <c r="B218" s="0"/>
      <c r="C218" s="0"/>
      <c r="D218" s="0"/>
      <c r="E218" s="0"/>
      <c r="F218" s="0"/>
      <c r="G218" s="0"/>
      <c r="H218" s="0"/>
      <c r="I218" s="168" t="n">
        <v>0</v>
      </c>
      <c r="J218" s="0"/>
      <c r="K218" s="0"/>
      <c r="L218" s="168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</row>
    <row r="219" customFormat="false" ht="12.75" hidden="false" customHeight="false" outlineLevel="0" collapsed="false">
      <c r="A219" s="0"/>
      <c r="B219" s="0"/>
      <c r="C219" s="0"/>
      <c r="D219" s="0"/>
      <c r="E219" s="0"/>
      <c r="F219" s="0"/>
      <c r="G219" s="0"/>
      <c r="H219" s="0"/>
      <c r="I219" s="168" t="n">
        <v>0</v>
      </c>
      <c r="J219" s="0"/>
      <c r="K219" s="0"/>
      <c r="L219" s="168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</row>
    <row r="220" customFormat="false" ht="12.75" hidden="false" customHeight="false" outlineLevel="0" collapsed="false">
      <c r="A220" s="0"/>
      <c r="B220" s="0"/>
      <c r="C220" s="0"/>
      <c r="D220" s="0"/>
      <c r="E220" s="0"/>
      <c r="F220" s="0"/>
      <c r="G220" s="0"/>
      <c r="H220" s="0"/>
      <c r="I220" s="168" t="n">
        <v>0</v>
      </c>
      <c r="J220" s="0"/>
      <c r="K220" s="0"/>
      <c r="L220" s="168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</row>
    <row r="221" customFormat="false" ht="12.75" hidden="false" customHeight="false" outlineLevel="0" collapsed="false">
      <c r="A221" s="0"/>
      <c r="B221" s="0"/>
      <c r="C221" s="0"/>
      <c r="D221" s="0"/>
      <c r="E221" s="0"/>
      <c r="F221" s="0"/>
      <c r="G221" s="0"/>
      <c r="H221" s="0"/>
      <c r="I221" s="168" t="n">
        <v>0</v>
      </c>
      <c r="J221" s="0"/>
      <c r="K221" s="0"/>
      <c r="L221" s="168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</row>
    <row r="222" customFormat="false" ht="12.75" hidden="false" customHeight="false" outlineLevel="0" collapsed="false">
      <c r="A222" s="0"/>
      <c r="B222" s="0"/>
      <c r="C222" s="0"/>
      <c r="D222" s="0"/>
      <c r="E222" s="0"/>
      <c r="F222" s="0"/>
      <c r="G222" s="0"/>
      <c r="H222" s="0"/>
      <c r="I222" s="168" t="n">
        <v>0</v>
      </c>
      <c r="J222" s="0"/>
      <c r="K222" s="0"/>
      <c r="L222" s="168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</row>
    <row r="223" customFormat="false" ht="12.75" hidden="false" customHeight="false" outlineLevel="0" collapsed="false">
      <c r="A223" s="0"/>
      <c r="B223" s="0"/>
      <c r="C223" s="0"/>
      <c r="D223" s="0"/>
      <c r="E223" s="0"/>
      <c r="F223" s="0"/>
      <c r="G223" s="0"/>
      <c r="H223" s="0"/>
      <c r="I223" s="168" t="n">
        <v>0</v>
      </c>
      <c r="J223" s="0"/>
      <c r="K223" s="0"/>
      <c r="L223" s="168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</row>
    <row r="224" customFormat="false" ht="12.75" hidden="false" customHeight="false" outlineLevel="0" collapsed="false">
      <c r="A224" s="0"/>
      <c r="B224" s="0"/>
      <c r="C224" s="0"/>
      <c r="D224" s="0"/>
      <c r="E224" s="0"/>
      <c r="F224" s="0"/>
      <c r="G224" s="0"/>
      <c r="H224" s="0"/>
      <c r="I224" s="168" t="n">
        <v>0</v>
      </c>
      <c r="J224" s="0"/>
      <c r="K224" s="0"/>
      <c r="L224" s="168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</row>
    <row r="225" customFormat="false" ht="12.75" hidden="false" customHeight="false" outlineLevel="0" collapsed="false">
      <c r="A225" s="0"/>
      <c r="B225" s="0"/>
      <c r="C225" s="0"/>
      <c r="D225" s="0"/>
      <c r="E225" s="0"/>
      <c r="F225" s="0"/>
      <c r="G225" s="0"/>
      <c r="H225" s="0"/>
      <c r="I225" s="168" t="n">
        <v>0</v>
      </c>
      <c r="J225" s="0"/>
      <c r="K225" s="0"/>
      <c r="L225" s="168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</row>
    <row r="226" customFormat="false" ht="12.75" hidden="false" customHeight="false" outlineLevel="0" collapsed="false">
      <c r="A226" s="0"/>
      <c r="B226" s="0"/>
      <c r="C226" s="0"/>
      <c r="D226" s="0"/>
      <c r="E226" s="0"/>
      <c r="F226" s="0"/>
      <c r="G226" s="0"/>
      <c r="H226" s="0"/>
      <c r="I226" s="168" t="n">
        <v>0</v>
      </c>
      <c r="J226" s="0"/>
      <c r="K226" s="0"/>
      <c r="L226" s="168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</row>
    <row r="227" customFormat="false" ht="12.75" hidden="false" customHeight="false" outlineLevel="0" collapsed="false">
      <c r="A227" s="0"/>
      <c r="B227" s="0"/>
      <c r="C227" s="0"/>
      <c r="D227" s="0"/>
      <c r="E227" s="0"/>
      <c r="F227" s="0"/>
      <c r="G227" s="0"/>
      <c r="H227" s="0"/>
      <c r="I227" s="168" t="n">
        <v>0</v>
      </c>
      <c r="J227" s="0"/>
      <c r="K227" s="0"/>
      <c r="L227" s="168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</row>
    <row r="228" customFormat="false" ht="12.75" hidden="false" customHeight="false" outlineLevel="0" collapsed="false">
      <c r="A228" s="0"/>
      <c r="B228" s="0"/>
      <c r="C228" s="0"/>
      <c r="D228" s="0"/>
      <c r="E228" s="0"/>
      <c r="F228" s="0"/>
      <c r="G228" s="0"/>
      <c r="H228" s="0"/>
      <c r="I228" s="168" t="n">
        <v>0</v>
      </c>
      <c r="J228" s="0"/>
      <c r="K228" s="0"/>
      <c r="L228" s="168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</row>
    <row r="229" customFormat="false" ht="12.75" hidden="false" customHeight="false" outlineLevel="0" collapsed="false">
      <c r="A229" s="0"/>
      <c r="B229" s="0"/>
      <c r="C229" s="0"/>
      <c r="D229" s="0"/>
      <c r="E229" s="0"/>
      <c r="F229" s="0"/>
      <c r="G229" s="0"/>
      <c r="H229" s="0"/>
      <c r="I229" s="168" t="n">
        <v>0</v>
      </c>
      <c r="J229" s="0"/>
      <c r="K229" s="0"/>
      <c r="L229" s="168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</row>
    <row r="230" customFormat="false" ht="12.75" hidden="false" customHeight="false" outlineLevel="0" collapsed="false">
      <c r="A230" s="0"/>
      <c r="B230" s="0"/>
      <c r="C230" s="0"/>
      <c r="D230" s="0"/>
      <c r="E230" s="0"/>
      <c r="F230" s="0"/>
      <c r="G230" s="0"/>
      <c r="H230" s="0"/>
      <c r="I230" s="168" t="n">
        <v>0</v>
      </c>
      <c r="J230" s="0"/>
      <c r="K230" s="0"/>
      <c r="L230" s="168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</row>
    <row r="231" customFormat="false" ht="12.75" hidden="false" customHeight="false" outlineLevel="0" collapsed="false">
      <c r="A231" s="0"/>
      <c r="B231" s="0"/>
      <c r="C231" s="0"/>
      <c r="D231" s="0"/>
      <c r="E231" s="0"/>
      <c r="F231" s="0"/>
      <c r="G231" s="0"/>
      <c r="H231" s="0"/>
      <c r="I231" s="168" t="n">
        <v>0</v>
      </c>
      <c r="J231" s="0"/>
      <c r="K231" s="0"/>
      <c r="L231" s="168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</row>
    <row r="232" customFormat="false" ht="12.75" hidden="false" customHeight="false" outlineLevel="0" collapsed="false">
      <c r="A232" s="0"/>
      <c r="B232" s="0"/>
      <c r="C232" s="0"/>
      <c r="D232" s="0"/>
      <c r="E232" s="0"/>
      <c r="F232" s="0"/>
      <c r="G232" s="0"/>
      <c r="H232" s="0"/>
      <c r="I232" s="168" t="n">
        <v>0</v>
      </c>
      <c r="J232" s="0"/>
      <c r="K232" s="0"/>
      <c r="L232" s="168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</row>
    <row r="233" customFormat="false" ht="12.75" hidden="false" customHeight="false" outlineLevel="0" collapsed="false">
      <c r="A233" s="0"/>
      <c r="B233" s="0"/>
      <c r="C233" s="0"/>
      <c r="D233" s="0"/>
      <c r="E233" s="0"/>
      <c r="F233" s="0"/>
      <c r="G233" s="0"/>
      <c r="H233" s="0"/>
      <c r="I233" s="168" t="n">
        <v>0</v>
      </c>
      <c r="J233" s="0"/>
      <c r="K233" s="0"/>
      <c r="L233" s="168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</row>
    <row r="234" customFormat="false" ht="12.75" hidden="false" customHeight="false" outlineLevel="0" collapsed="false">
      <c r="A234" s="0"/>
      <c r="B234" s="0"/>
      <c r="C234" s="0"/>
      <c r="D234" s="0"/>
      <c r="E234" s="0"/>
      <c r="F234" s="0"/>
      <c r="G234" s="0"/>
      <c r="H234" s="0"/>
      <c r="I234" s="168" t="n">
        <v>0</v>
      </c>
      <c r="J234" s="0"/>
      <c r="K234" s="0"/>
      <c r="L234" s="168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</row>
    <row r="235" customFormat="false" ht="12.75" hidden="false" customHeight="false" outlineLevel="0" collapsed="false">
      <c r="A235" s="0"/>
      <c r="B235" s="0"/>
      <c r="C235" s="0"/>
      <c r="D235" s="0"/>
      <c r="E235" s="0"/>
      <c r="F235" s="0"/>
      <c r="G235" s="0"/>
      <c r="H235" s="0"/>
      <c r="I235" s="168" t="n">
        <v>0</v>
      </c>
      <c r="J235" s="0"/>
      <c r="K235" s="0"/>
      <c r="L235" s="168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</row>
    <row r="236" customFormat="false" ht="12.75" hidden="false" customHeight="false" outlineLevel="0" collapsed="false">
      <c r="A236" s="0"/>
      <c r="B236" s="0"/>
      <c r="C236" s="0"/>
      <c r="D236" s="0"/>
      <c r="E236" s="0"/>
      <c r="F236" s="0"/>
      <c r="G236" s="0"/>
      <c r="H236" s="0"/>
      <c r="I236" s="168" t="n">
        <v>0</v>
      </c>
      <c r="J236" s="0"/>
      <c r="K236" s="0"/>
      <c r="L236" s="168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</row>
    <row r="237" customFormat="false" ht="12.75" hidden="false" customHeight="false" outlineLevel="0" collapsed="false">
      <c r="A237" s="0"/>
      <c r="B237" s="0"/>
      <c r="C237" s="0"/>
      <c r="D237" s="0"/>
      <c r="E237" s="0"/>
      <c r="F237" s="0"/>
      <c r="G237" s="0"/>
      <c r="H237" s="0"/>
      <c r="I237" s="168" t="n">
        <v>0</v>
      </c>
      <c r="J237" s="0"/>
      <c r="K237" s="0"/>
      <c r="L237" s="168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</row>
    <row r="238" customFormat="false" ht="12.75" hidden="false" customHeight="false" outlineLevel="0" collapsed="false">
      <c r="A238" s="0"/>
      <c r="B238" s="0"/>
      <c r="C238" s="0"/>
      <c r="D238" s="0"/>
      <c r="E238" s="0"/>
      <c r="F238" s="0"/>
      <c r="G238" s="0"/>
      <c r="H238" s="0"/>
      <c r="I238" s="168" t="n">
        <v>0</v>
      </c>
      <c r="J238" s="0"/>
      <c r="K238" s="0"/>
      <c r="L238" s="168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</row>
    <row r="239" customFormat="false" ht="12.75" hidden="false" customHeight="false" outlineLevel="0" collapsed="false">
      <c r="A239" s="0"/>
      <c r="B239" s="0"/>
      <c r="C239" s="0"/>
      <c r="D239" s="0"/>
      <c r="E239" s="0"/>
      <c r="F239" s="0"/>
      <c r="G239" s="0"/>
      <c r="H239" s="0"/>
      <c r="I239" s="168" t="n">
        <v>0</v>
      </c>
      <c r="J239" s="0"/>
      <c r="K239" s="0"/>
      <c r="L239" s="168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</row>
    <row r="240" customFormat="false" ht="12.75" hidden="false" customHeight="false" outlineLevel="0" collapsed="false">
      <c r="A240" s="0"/>
      <c r="B240" s="0"/>
      <c r="C240" s="0"/>
      <c r="D240" s="0"/>
      <c r="E240" s="0"/>
      <c r="F240" s="0"/>
      <c r="G240" s="0"/>
      <c r="H240" s="0"/>
      <c r="I240" s="168" t="n">
        <v>0</v>
      </c>
      <c r="J240" s="0"/>
      <c r="K240" s="0"/>
      <c r="L240" s="168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</row>
    <row r="241" customFormat="false" ht="12.75" hidden="false" customHeight="false" outlineLevel="0" collapsed="false">
      <c r="A241" s="0"/>
      <c r="B241" s="0"/>
      <c r="C241" s="0"/>
      <c r="D241" s="0"/>
      <c r="E241" s="0"/>
      <c r="F241" s="0"/>
      <c r="G241" s="0"/>
      <c r="H241" s="0"/>
      <c r="I241" s="168" t="n">
        <v>0</v>
      </c>
      <c r="J241" s="0"/>
      <c r="K241" s="0"/>
      <c r="L241" s="168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</row>
    <row r="242" customFormat="false" ht="12.75" hidden="false" customHeight="false" outlineLevel="0" collapsed="false">
      <c r="A242" s="0"/>
      <c r="B242" s="0"/>
      <c r="C242" s="0"/>
      <c r="D242" s="0"/>
      <c r="E242" s="0"/>
      <c r="F242" s="0"/>
      <c r="G242" s="0"/>
      <c r="H242" s="0"/>
      <c r="I242" s="168" t="n">
        <v>0</v>
      </c>
      <c r="J242" s="0"/>
      <c r="K242" s="0"/>
      <c r="L242" s="168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</row>
    <row r="243" customFormat="false" ht="12.75" hidden="false" customHeight="false" outlineLevel="0" collapsed="false">
      <c r="A243" s="0"/>
      <c r="B243" s="0"/>
      <c r="C243" s="0"/>
      <c r="D243" s="0"/>
      <c r="E243" s="0"/>
      <c r="F243" s="0"/>
      <c r="G243" s="0"/>
      <c r="H243" s="0"/>
      <c r="I243" s="168" t="n">
        <v>0</v>
      </c>
      <c r="J243" s="0"/>
      <c r="K243" s="0"/>
      <c r="L243" s="168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</row>
    <row r="244" customFormat="false" ht="12.75" hidden="false" customHeight="false" outlineLevel="0" collapsed="false">
      <c r="A244" s="0"/>
      <c r="B244" s="0"/>
      <c r="C244" s="0"/>
      <c r="D244" s="0"/>
      <c r="E244" s="0"/>
      <c r="F244" s="0"/>
      <c r="G244" s="0"/>
      <c r="H244" s="0"/>
      <c r="I244" s="168" t="n">
        <v>0</v>
      </c>
      <c r="J244" s="0"/>
      <c r="K244" s="0"/>
      <c r="L244" s="168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</row>
    <row r="245" customFormat="false" ht="12.75" hidden="false" customHeight="false" outlineLevel="0" collapsed="false">
      <c r="A245" s="0"/>
      <c r="B245" s="0"/>
      <c r="C245" s="0"/>
      <c r="D245" s="0"/>
      <c r="E245" s="0"/>
      <c r="F245" s="0"/>
      <c r="G245" s="0"/>
      <c r="H245" s="0"/>
      <c r="I245" s="168" t="n">
        <v>0</v>
      </c>
      <c r="J245" s="0"/>
      <c r="K245" s="0"/>
      <c r="L245" s="168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</row>
    <row r="246" customFormat="false" ht="12.75" hidden="false" customHeight="false" outlineLevel="0" collapsed="false">
      <c r="A246" s="0"/>
      <c r="B246" s="0"/>
      <c r="C246" s="0"/>
      <c r="D246" s="0"/>
      <c r="E246" s="0"/>
      <c r="F246" s="0"/>
      <c r="G246" s="0"/>
      <c r="H246" s="0"/>
      <c r="I246" s="168" t="n">
        <v>0</v>
      </c>
      <c r="J246" s="0"/>
      <c r="K246" s="0"/>
      <c r="L246" s="168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</row>
    <row r="247" customFormat="false" ht="12.75" hidden="false" customHeight="false" outlineLevel="0" collapsed="false">
      <c r="A247" s="0"/>
      <c r="B247" s="0"/>
      <c r="C247" s="0"/>
      <c r="D247" s="0"/>
      <c r="E247" s="0"/>
      <c r="F247" s="0"/>
      <c r="G247" s="0"/>
      <c r="H247" s="0"/>
      <c r="I247" s="168" t="n">
        <v>0</v>
      </c>
      <c r="J247" s="0"/>
      <c r="K247" s="0"/>
      <c r="L247" s="168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</row>
    <row r="248" customFormat="false" ht="12.75" hidden="false" customHeight="false" outlineLevel="0" collapsed="false">
      <c r="A248" s="0"/>
      <c r="B248" s="0"/>
      <c r="C248" s="0"/>
      <c r="D248" s="0"/>
      <c r="E248" s="0"/>
      <c r="F248" s="0"/>
      <c r="G248" s="0"/>
      <c r="H248" s="0"/>
      <c r="I248" s="168" t="n">
        <v>0</v>
      </c>
      <c r="J248" s="0"/>
      <c r="K248" s="0"/>
      <c r="L248" s="168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</row>
    <row r="249" customFormat="false" ht="12.75" hidden="false" customHeight="false" outlineLevel="0" collapsed="false">
      <c r="A249" s="0"/>
      <c r="B249" s="0"/>
      <c r="C249" s="0"/>
      <c r="D249" s="0"/>
      <c r="E249" s="0"/>
      <c r="F249" s="0"/>
      <c r="G249" s="0"/>
      <c r="H249" s="0"/>
      <c r="I249" s="168" t="n">
        <v>0</v>
      </c>
      <c r="J249" s="0"/>
      <c r="K249" s="0"/>
      <c r="L249" s="168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</row>
    <row r="250" customFormat="false" ht="12.75" hidden="false" customHeight="false" outlineLevel="0" collapsed="false">
      <c r="A250" s="0"/>
      <c r="B250" s="0"/>
      <c r="C250" s="0"/>
      <c r="D250" s="0"/>
      <c r="E250" s="0"/>
      <c r="F250" s="0"/>
      <c r="G250" s="0"/>
      <c r="H250" s="0"/>
      <c r="I250" s="168" t="n">
        <v>0</v>
      </c>
      <c r="J250" s="0"/>
      <c r="K250" s="0"/>
      <c r="L250" s="168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</row>
    <row r="251" customFormat="false" ht="12.75" hidden="false" customHeight="false" outlineLevel="0" collapsed="false">
      <c r="A251" s="0"/>
      <c r="B251" s="0"/>
      <c r="C251" s="0"/>
      <c r="D251" s="0"/>
      <c r="E251" s="0"/>
      <c r="F251" s="0"/>
      <c r="G251" s="0"/>
      <c r="H251" s="0"/>
      <c r="I251" s="168" t="n">
        <v>0</v>
      </c>
      <c r="J251" s="0"/>
      <c r="K251" s="0"/>
      <c r="L251" s="168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</row>
    <row r="252" customFormat="false" ht="12.75" hidden="false" customHeight="false" outlineLevel="0" collapsed="false">
      <c r="A252" s="0"/>
      <c r="B252" s="0"/>
      <c r="C252" s="0"/>
      <c r="D252" s="0"/>
      <c r="E252" s="0"/>
      <c r="F252" s="0"/>
      <c r="G252" s="0"/>
      <c r="H252" s="0"/>
      <c r="I252" s="168" t="n">
        <v>0</v>
      </c>
      <c r="J252" s="0"/>
      <c r="K252" s="0"/>
      <c r="L252" s="168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</row>
    <row r="253" customFormat="false" ht="12.75" hidden="false" customHeight="false" outlineLevel="0" collapsed="false">
      <c r="A253" s="0"/>
      <c r="B253" s="0"/>
      <c r="C253" s="0"/>
      <c r="D253" s="0"/>
      <c r="E253" s="0"/>
      <c r="F253" s="0"/>
      <c r="G253" s="0"/>
      <c r="H253" s="0"/>
      <c r="I253" s="168" t="n">
        <v>0</v>
      </c>
      <c r="J253" s="0"/>
      <c r="K253" s="0"/>
      <c r="L253" s="168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</row>
    <row r="254" customFormat="false" ht="12.75" hidden="false" customHeight="false" outlineLevel="0" collapsed="false">
      <c r="A254" s="0"/>
      <c r="B254" s="0"/>
      <c r="C254" s="0"/>
      <c r="D254" s="0"/>
      <c r="E254" s="0"/>
      <c r="F254" s="0"/>
      <c r="G254" s="0"/>
      <c r="H254" s="0"/>
      <c r="I254" s="168" t="n">
        <v>0</v>
      </c>
      <c r="J254" s="0"/>
      <c r="K254" s="0"/>
      <c r="L254" s="168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</row>
    <row r="255" customFormat="false" ht="12.75" hidden="false" customHeight="false" outlineLevel="0" collapsed="false">
      <c r="A255" s="0"/>
      <c r="B255" s="0"/>
      <c r="C255" s="0"/>
      <c r="D255" s="0"/>
      <c r="E255" s="0"/>
      <c r="F255" s="0"/>
      <c r="G255" s="0"/>
      <c r="H255" s="0"/>
      <c r="I255" s="168" t="n">
        <v>0</v>
      </c>
      <c r="J255" s="0"/>
      <c r="K255" s="0"/>
      <c r="L255" s="168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</row>
    <row r="256" customFormat="false" ht="12.75" hidden="false" customHeight="false" outlineLevel="0" collapsed="false">
      <c r="A256" s="0"/>
      <c r="B256" s="0"/>
      <c r="C256" s="0"/>
      <c r="D256" s="0"/>
      <c r="E256" s="0"/>
      <c r="F256" s="0"/>
      <c r="G256" s="0"/>
      <c r="H256" s="0"/>
      <c r="I256" s="168" t="n">
        <v>0</v>
      </c>
      <c r="J256" s="0"/>
      <c r="K256" s="0"/>
      <c r="L256" s="168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</row>
    <row r="257" customFormat="false" ht="12.75" hidden="false" customHeight="false" outlineLevel="0" collapsed="false">
      <c r="A257" s="0"/>
      <c r="B257" s="0"/>
      <c r="C257" s="0"/>
      <c r="D257" s="0"/>
      <c r="E257" s="0"/>
      <c r="F257" s="0"/>
      <c r="G257" s="0"/>
      <c r="H257" s="0"/>
      <c r="I257" s="168" t="n">
        <v>0</v>
      </c>
      <c r="J257" s="0"/>
      <c r="K257" s="0"/>
      <c r="L257" s="168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</row>
    <row r="258" customFormat="false" ht="12.75" hidden="false" customHeight="false" outlineLevel="0" collapsed="false">
      <c r="A258" s="0"/>
      <c r="B258" s="0"/>
      <c r="C258" s="0"/>
      <c r="D258" s="0"/>
      <c r="E258" s="0"/>
      <c r="F258" s="0"/>
      <c r="G258" s="0"/>
      <c r="H258" s="0"/>
      <c r="I258" s="168" t="n">
        <v>0</v>
      </c>
      <c r="J258" s="0"/>
      <c r="K258" s="0"/>
      <c r="L258" s="168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</row>
    <row r="259" customFormat="false" ht="12.75" hidden="false" customHeight="false" outlineLevel="0" collapsed="false">
      <c r="A259" s="0"/>
      <c r="B259" s="0"/>
      <c r="C259" s="0"/>
      <c r="D259" s="0"/>
      <c r="E259" s="0"/>
      <c r="F259" s="0"/>
      <c r="G259" s="0"/>
      <c r="H259" s="0"/>
      <c r="I259" s="168" t="n">
        <v>0</v>
      </c>
      <c r="J259" s="0"/>
      <c r="K259" s="0"/>
      <c r="L259" s="168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</row>
    <row r="260" customFormat="false" ht="12.75" hidden="false" customHeight="false" outlineLevel="0" collapsed="false">
      <c r="A260" s="0"/>
      <c r="B260" s="0"/>
      <c r="C260" s="0"/>
      <c r="D260" s="0"/>
      <c r="E260" s="0"/>
      <c r="F260" s="0"/>
      <c r="G260" s="0"/>
      <c r="H260" s="0"/>
      <c r="I260" s="168" t="n">
        <v>0</v>
      </c>
      <c r="J260" s="0"/>
      <c r="K260" s="0"/>
      <c r="L260" s="168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</row>
    <row r="261" customFormat="false" ht="12.75" hidden="false" customHeight="false" outlineLevel="0" collapsed="false">
      <c r="A261" s="0"/>
      <c r="B261" s="0"/>
      <c r="C261" s="0"/>
      <c r="D261" s="0"/>
      <c r="E261" s="0"/>
      <c r="F261" s="0"/>
      <c r="G261" s="0"/>
      <c r="H261" s="0"/>
      <c r="I261" s="168" t="n">
        <v>0</v>
      </c>
      <c r="J261" s="0"/>
      <c r="K261" s="0"/>
      <c r="L261" s="168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</row>
    <row r="262" customFormat="false" ht="12.75" hidden="false" customHeight="false" outlineLevel="0" collapsed="false">
      <c r="A262" s="0"/>
      <c r="B262" s="0"/>
      <c r="C262" s="0"/>
      <c r="D262" s="0"/>
      <c r="E262" s="0"/>
      <c r="F262" s="0"/>
      <c r="G262" s="0"/>
      <c r="H262" s="0"/>
      <c r="I262" s="168" t="n">
        <v>0</v>
      </c>
      <c r="J262" s="0"/>
      <c r="K262" s="0"/>
      <c r="L262" s="168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</row>
    <row r="263" customFormat="false" ht="12.75" hidden="false" customHeight="false" outlineLevel="0" collapsed="false">
      <c r="A263" s="0"/>
      <c r="B263" s="0"/>
      <c r="C263" s="0"/>
      <c r="D263" s="0"/>
      <c r="E263" s="0"/>
      <c r="F263" s="0"/>
      <c r="G263" s="0"/>
      <c r="H263" s="0"/>
      <c r="I263" s="168" t="n">
        <v>0</v>
      </c>
      <c r="J263" s="0"/>
      <c r="K263" s="0"/>
      <c r="L263" s="168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</row>
    <row r="264" customFormat="false" ht="12.75" hidden="false" customHeight="false" outlineLevel="0" collapsed="false">
      <c r="A264" s="0"/>
      <c r="B264" s="0"/>
      <c r="C264" s="0"/>
      <c r="D264" s="0"/>
      <c r="E264" s="0"/>
      <c r="F264" s="0"/>
      <c r="G264" s="0"/>
      <c r="H264" s="0"/>
      <c r="I264" s="168" t="n">
        <v>0</v>
      </c>
      <c r="J264" s="0"/>
      <c r="K264" s="0"/>
      <c r="L264" s="168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</row>
    <row r="265" customFormat="false" ht="12.75" hidden="false" customHeight="false" outlineLevel="0" collapsed="false">
      <c r="A265" s="0"/>
      <c r="B265" s="0"/>
      <c r="C265" s="0"/>
      <c r="D265" s="0"/>
      <c r="E265" s="0"/>
      <c r="F265" s="0"/>
      <c r="G265" s="0"/>
      <c r="H265" s="0"/>
      <c r="I265" s="168" t="n">
        <v>0</v>
      </c>
      <c r="J265" s="0"/>
      <c r="K265" s="0"/>
      <c r="L265" s="168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</row>
    <row r="266" customFormat="false" ht="12.75" hidden="false" customHeight="false" outlineLevel="0" collapsed="false">
      <c r="A266" s="0"/>
      <c r="B266" s="0"/>
      <c r="C266" s="0"/>
      <c r="D266" s="0"/>
      <c r="E266" s="0"/>
      <c r="F266" s="0"/>
      <c r="G266" s="0"/>
      <c r="H266" s="0"/>
      <c r="I266" s="168" t="n">
        <v>0</v>
      </c>
      <c r="J266" s="0"/>
      <c r="K266" s="0"/>
      <c r="L266" s="168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</row>
    <row r="267" customFormat="false" ht="12.75" hidden="false" customHeight="false" outlineLevel="0" collapsed="false">
      <c r="A267" s="0"/>
      <c r="B267" s="0"/>
      <c r="C267" s="0"/>
      <c r="D267" s="0"/>
      <c r="E267" s="0"/>
      <c r="F267" s="0"/>
      <c r="G267" s="0"/>
      <c r="H267" s="0"/>
      <c r="I267" s="168" t="n">
        <v>0</v>
      </c>
      <c r="J267" s="0"/>
      <c r="K267" s="0"/>
      <c r="L267" s="168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</row>
    <row r="268" customFormat="false" ht="12.75" hidden="false" customHeight="false" outlineLevel="0" collapsed="false">
      <c r="A268" s="0"/>
      <c r="B268" s="0"/>
      <c r="C268" s="0"/>
      <c r="D268" s="0"/>
      <c r="E268" s="0"/>
      <c r="F268" s="0"/>
      <c r="G268" s="0"/>
      <c r="H268" s="0"/>
      <c r="I268" s="168" t="n">
        <v>0</v>
      </c>
      <c r="J268" s="0"/>
      <c r="K268" s="0"/>
      <c r="L268" s="168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</row>
    <row r="269" customFormat="false" ht="12.75" hidden="false" customHeight="false" outlineLevel="0" collapsed="false">
      <c r="A269" s="0"/>
      <c r="B269" s="0"/>
      <c r="C269" s="0"/>
      <c r="D269" s="0"/>
      <c r="E269" s="0"/>
      <c r="F269" s="0"/>
      <c r="G269" s="0"/>
      <c r="H269" s="0"/>
      <c r="I269" s="168" t="n">
        <v>0</v>
      </c>
      <c r="J269" s="0"/>
      <c r="K269" s="0"/>
      <c r="L269" s="168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</row>
    <row r="270" customFormat="false" ht="12.75" hidden="false" customHeight="false" outlineLevel="0" collapsed="false">
      <c r="A270" s="0"/>
      <c r="B270" s="0"/>
      <c r="C270" s="0"/>
      <c r="D270" s="0"/>
      <c r="E270" s="0"/>
      <c r="F270" s="0"/>
      <c r="G270" s="0"/>
      <c r="H270" s="0"/>
      <c r="I270" s="168" t="n">
        <v>0</v>
      </c>
      <c r="J270" s="0"/>
      <c r="K270" s="0"/>
      <c r="L270" s="168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</row>
    <row r="271" customFormat="false" ht="12.75" hidden="false" customHeight="false" outlineLevel="0" collapsed="false">
      <c r="A271" s="0"/>
      <c r="B271" s="0"/>
      <c r="C271" s="0"/>
      <c r="D271" s="0"/>
      <c r="E271" s="0"/>
      <c r="F271" s="0"/>
      <c r="G271" s="0"/>
      <c r="H271" s="0"/>
      <c r="I271" s="168" t="n">
        <v>0</v>
      </c>
      <c r="J271" s="0"/>
      <c r="K271" s="0"/>
      <c r="L271" s="168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</row>
    <row r="272" customFormat="false" ht="12.75" hidden="false" customHeight="false" outlineLevel="0" collapsed="false">
      <c r="A272" s="0"/>
      <c r="B272" s="0"/>
      <c r="C272" s="0"/>
      <c r="D272" s="0"/>
      <c r="E272" s="0"/>
      <c r="F272" s="0"/>
      <c r="G272" s="0"/>
      <c r="H272" s="0"/>
      <c r="I272" s="168" t="n">
        <v>0</v>
      </c>
      <c r="J272" s="0"/>
      <c r="K272" s="0"/>
      <c r="L272" s="168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</row>
    <row r="273" customFormat="false" ht="12.75" hidden="false" customHeight="false" outlineLevel="0" collapsed="false">
      <c r="A273" s="0"/>
      <c r="B273" s="0"/>
      <c r="C273" s="0"/>
      <c r="D273" s="0"/>
      <c r="E273" s="0"/>
      <c r="F273" s="0"/>
      <c r="G273" s="0"/>
      <c r="H273" s="0"/>
      <c r="I273" s="168" t="n">
        <v>0</v>
      </c>
      <c r="J273" s="0"/>
      <c r="K273" s="0"/>
      <c r="L273" s="168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</row>
    <row r="274" customFormat="false" ht="12.75" hidden="false" customHeight="false" outlineLevel="0" collapsed="false">
      <c r="A274" s="0"/>
      <c r="B274" s="0"/>
      <c r="C274" s="0"/>
      <c r="D274" s="0"/>
      <c r="E274" s="0"/>
      <c r="F274" s="0"/>
      <c r="G274" s="0"/>
      <c r="H274" s="0"/>
      <c r="I274" s="168" t="n">
        <v>0</v>
      </c>
      <c r="J274" s="0"/>
      <c r="K274" s="0"/>
      <c r="L274" s="168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</row>
    <row r="275" customFormat="false" ht="12.75" hidden="false" customHeight="false" outlineLevel="0" collapsed="false">
      <c r="A275" s="0"/>
      <c r="B275" s="0"/>
      <c r="C275" s="0"/>
      <c r="D275" s="0"/>
      <c r="E275" s="0"/>
      <c r="F275" s="0"/>
      <c r="G275" s="0"/>
      <c r="H275" s="0"/>
      <c r="I275" s="168" t="n">
        <v>0</v>
      </c>
      <c r="J275" s="0"/>
      <c r="K275" s="0"/>
      <c r="L275" s="168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</row>
    <row r="276" customFormat="false" ht="12.75" hidden="false" customHeight="false" outlineLevel="0" collapsed="false">
      <c r="A276" s="0"/>
      <c r="B276" s="0"/>
      <c r="C276" s="0"/>
      <c r="D276" s="0"/>
      <c r="E276" s="0"/>
      <c r="F276" s="0"/>
      <c r="G276" s="0"/>
      <c r="H276" s="0"/>
      <c r="I276" s="168" t="n">
        <v>0</v>
      </c>
      <c r="J276" s="0"/>
      <c r="K276" s="0"/>
      <c r="L276" s="168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</row>
    <row r="277" customFormat="false" ht="12.75" hidden="false" customHeight="false" outlineLevel="0" collapsed="false">
      <c r="A277" s="0"/>
      <c r="B277" s="0"/>
      <c r="C277" s="0"/>
      <c r="D277" s="0"/>
      <c r="E277" s="0"/>
      <c r="F277" s="0"/>
      <c r="G277" s="0"/>
      <c r="H277" s="0"/>
      <c r="I277" s="168" t="n">
        <v>0</v>
      </c>
      <c r="J277" s="0"/>
      <c r="K277" s="0"/>
      <c r="L277" s="168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</row>
    <row r="278" customFormat="false" ht="12.75" hidden="false" customHeight="false" outlineLevel="0" collapsed="false">
      <c r="A278" s="0"/>
      <c r="B278" s="0"/>
      <c r="C278" s="0"/>
      <c r="D278" s="0"/>
      <c r="E278" s="0"/>
      <c r="F278" s="0"/>
      <c r="G278" s="0"/>
      <c r="H278" s="0"/>
      <c r="I278" s="168" t="n">
        <v>0</v>
      </c>
      <c r="J278" s="0"/>
      <c r="K278" s="0"/>
      <c r="L278" s="168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</row>
    <row r="279" customFormat="false" ht="12.75" hidden="false" customHeight="false" outlineLevel="0" collapsed="false">
      <c r="A279" s="0"/>
      <c r="B279" s="0"/>
      <c r="C279" s="0"/>
      <c r="D279" s="0"/>
      <c r="E279" s="0"/>
      <c r="F279" s="0"/>
      <c r="G279" s="0"/>
      <c r="H279" s="0"/>
      <c r="I279" s="168" t="n">
        <v>0</v>
      </c>
      <c r="J279" s="0"/>
      <c r="K279" s="0"/>
      <c r="L279" s="168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</row>
    <row r="280" customFormat="false" ht="12.75" hidden="false" customHeight="false" outlineLevel="0" collapsed="false">
      <c r="A280" s="0"/>
      <c r="B280" s="0"/>
      <c r="C280" s="0"/>
      <c r="D280" s="0"/>
      <c r="E280" s="0"/>
      <c r="F280" s="0"/>
      <c r="G280" s="0"/>
      <c r="H280" s="0"/>
      <c r="I280" s="168" t="n">
        <v>0</v>
      </c>
      <c r="J280" s="0"/>
      <c r="K280" s="0"/>
      <c r="L280" s="168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</row>
    <row r="281" customFormat="false" ht="12.75" hidden="false" customHeight="false" outlineLevel="0" collapsed="false">
      <c r="A281" s="0"/>
      <c r="B281" s="0"/>
      <c r="C281" s="0"/>
      <c r="D281" s="0"/>
      <c r="E281" s="0"/>
      <c r="F281" s="0"/>
      <c r="G281" s="0"/>
      <c r="H281" s="0"/>
      <c r="I281" s="168" t="n">
        <v>0</v>
      </c>
      <c r="J281" s="0"/>
      <c r="K281" s="0"/>
      <c r="L281" s="168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</row>
    <row r="282" customFormat="false" ht="12.75" hidden="false" customHeight="false" outlineLevel="0" collapsed="false">
      <c r="A282" s="0"/>
      <c r="B282" s="0"/>
      <c r="C282" s="0"/>
      <c r="D282" s="0"/>
      <c r="E282" s="0"/>
      <c r="F282" s="0"/>
      <c r="G282" s="0"/>
      <c r="H282" s="0"/>
      <c r="I282" s="168" t="n">
        <v>0</v>
      </c>
      <c r="J282" s="0"/>
      <c r="K282" s="0"/>
      <c r="L282" s="168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</row>
    <row r="283" customFormat="false" ht="12.75" hidden="false" customHeight="false" outlineLevel="0" collapsed="false">
      <c r="A283" s="0"/>
      <c r="B283" s="0"/>
      <c r="C283" s="0"/>
      <c r="D283" s="0"/>
      <c r="E283" s="0"/>
      <c r="F283" s="0"/>
      <c r="G283" s="0"/>
      <c r="H283" s="0"/>
      <c r="I283" s="168" t="n">
        <v>0</v>
      </c>
      <c r="J283" s="0"/>
      <c r="K283" s="0"/>
      <c r="L283" s="168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</row>
    <row r="284" customFormat="false" ht="12.75" hidden="false" customHeight="false" outlineLevel="0" collapsed="false">
      <c r="A284" s="0"/>
      <c r="B284" s="0"/>
      <c r="C284" s="0"/>
      <c r="D284" s="0"/>
      <c r="E284" s="0"/>
      <c r="F284" s="0"/>
      <c r="G284" s="0"/>
      <c r="H284" s="0"/>
      <c r="I284" s="168" t="n">
        <v>0</v>
      </c>
      <c r="J284" s="0"/>
      <c r="K284" s="0"/>
      <c r="L284" s="168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</row>
    <row r="285" customFormat="false" ht="12.75" hidden="false" customHeight="false" outlineLevel="0" collapsed="false">
      <c r="A285" s="0"/>
      <c r="B285" s="0"/>
      <c r="C285" s="0"/>
      <c r="D285" s="0"/>
      <c r="E285" s="0"/>
      <c r="F285" s="0"/>
      <c r="G285" s="0"/>
      <c r="H285" s="0"/>
      <c r="I285" s="168" t="n">
        <v>0</v>
      </c>
      <c r="J285" s="0"/>
      <c r="K285" s="0"/>
      <c r="L285" s="168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</row>
    <row r="286" customFormat="false" ht="12.75" hidden="false" customHeight="false" outlineLevel="0" collapsed="false">
      <c r="A286" s="0"/>
      <c r="B286" s="0"/>
      <c r="C286" s="0"/>
      <c r="D286" s="0"/>
      <c r="E286" s="0"/>
      <c r="F286" s="0"/>
      <c r="G286" s="0"/>
      <c r="H286" s="0"/>
      <c r="I286" s="168" t="n">
        <v>0</v>
      </c>
      <c r="J286" s="0"/>
      <c r="K286" s="0"/>
      <c r="L286" s="168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</row>
    <row r="287" customFormat="false" ht="12.75" hidden="false" customHeight="false" outlineLevel="0" collapsed="false">
      <c r="A287" s="0"/>
      <c r="B287" s="0"/>
      <c r="C287" s="0"/>
      <c r="D287" s="0"/>
      <c r="E287" s="0"/>
      <c r="F287" s="0"/>
      <c r="G287" s="0"/>
      <c r="H287" s="0"/>
      <c r="I287" s="168" t="n">
        <v>0</v>
      </c>
      <c r="J287" s="0"/>
      <c r="K287" s="0"/>
      <c r="L287" s="168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</row>
    <row r="288" customFormat="false" ht="12.75" hidden="false" customHeight="false" outlineLevel="0" collapsed="false">
      <c r="A288" s="0"/>
      <c r="B288" s="0"/>
      <c r="C288" s="0"/>
      <c r="D288" s="0"/>
      <c r="E288" s="0"/>
      <c r="F288" s="0"/>
      <c r="G288" s="0"/>
      <c r="H288" s="0"/>
      <c r="I288" s="168" t="n">
        <v>0</v>
      </c>
      <c r="J288" s="0"/>
      <c r="K288" s="0"/>
      <c r="L288" s="168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</row>
    <row r="289" customFormat="false" ht="12.75" hidden="false" customHeight="false" outlineLevel="0" collapsed="false">
      <c r="A289" s="0"/>
      <c r="B289" s="0"/>
      <c r="C289" s="0"/>
      <c r="D289" s="0"/>
      <c r="E289" s="0"/>
      <c r="F289" s="0"/>
      <c r="G289" s="0"/>
      <c r="H289" s="0"/>
      <c r="I289" s="168" t="n">
        <v>0</v>
      </c>
      <c r="J289" s="0"/>
      <c r="K289" s="0"/>
      <c r="L289" s="168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</row>
    <row r="290" customFormat="false" ht="12.75" hidden="false" customHeight="false" outlineLevel="0" collapsed="false">
      <c r="A290" s="0"/>
      <c r="B290" s="0"/>
      <c r="C290" s="0"/>
      <c r="D290" s="0"/>
      <c r="E290" s="0"/>
      <c r="F290" s="0"/>
      <c r="G290" s="0"/>
      <c r="H290" s="0"/>
      <c r="I290" s="168" t="n">
        <v>0</v>
      </c>
      <c r="J290" s="0"/>
      <c r="K290" s="0"/>
      <c r="L290" s="168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</row>
    <row r="291" customFormat="false" ht="12.75" hidden="false" customHeight="false" outlineLevel="0" collapsed="false">
      <c r="A291" s="0"/>
      <c r="B291" s="0"/>
      <c r="C291" s="0"/>
      <c r="D291" s="0"/>
      <c r="E291" s="0"/>
      <c r="F291" s="0"/>
      <c r="G291" s="0"/>
      <c r="H291" s="0"/>
      <c r="I291" s="168" t="n">
        <v>0</v>
      </c>
      <c r="J291" s="0"/>
      <c r="K291" s="0"/>
      <c r="L291" s="168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</row>
    <row r="292" customFormat="false" ht="12.75" hidden="false" customHeight="false" outlineLevel="0" collapsed="false">
      <c r="A292" s="0"/>
      <c r="B292" s="0"/>
      <c r="C292" s="0"/>
      <c r="D292" s="0"/>
      <c r="E292" s="0"/>
      <c r="F292" s="0"/>
      <c r="G292" s="0"/>
      <c r="H292" s="0"/>
      <c r="I292" s="168" t="n">
        <v>0</v>
      </c>
      <c r="J292" s="0"/>
      <c r="K292" s="0"/>
      <c r="L292" s="168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</row>
    <row r="293" customFormat="false" ht="12.75" hidden="false" customHeight="false" outlineLevel="0" collapsed="false">
      <c r="A293" s="0"/>
      <c r="B293" s="0"/>
      <c r="C293" s="0"/>
      <c r="D293" s="0"/>
      <c r="E293" s="0"/>
      <c r="F293" s="0"/>
      <c r="G293" s="0"/>
      <c r="H293" s="0"/>
      <c r="I293" s="168" t="n">
        <v>0</v>
      </c>
      <c r="J293" s="0"/>
      <c r="K293" s="0"/>
      <c r="L293" s="168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</row>
    <row r="294" customFormat="false" ht="12.75" hidden="false" customHeight="false" outlineLevel="0" collapsed="false">
      <c r="A294" s="0"/>
      <c r="B294" s="0"/>
      <c r="C294" s="0"/>
      <c r="D294" s="0"/>
      <c r="E294" s="0"/>
      <c r="F294" s="0"/>
      <c r="G294" s="0"/>
      <c r="H294" s="0"/>
      <c r="I294" s="168" t="n">
        <v>0</v>
      </c>
      <c r="J294" s="0"/>
      <c r="K294" s="0"/>
      <c r="L294" s="168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</row>
    <row r="295" customFormat="false" ht="12.75" hidden="false" customHeight="false" outlineLevel="0" collapsed="false">
      <c r="A295" s="0"/>
      <c r="B295" s="0"/>
      <c r="C295" s="0"/>
      <c r="D295" s="0"/>
      <c r="E295" s="0"/>
      <c r="F295" s="0"/>
      <c r="G295" s="0"/>
      <c r="H295" s="0"/>
      <c r="I295" s="168" t="n">
        <v>0</v>
      </c>
      <c r="J295" s="0"/>
      <c r="K295" s="0"/>
      <c r="L295" s="168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</row>
    <row r="296" customFormat="false" ht="12.75" hidden="false" customHeight="false" outlineLevel="0" collapsed="false">
      <c r="A296" s="0"/>
      <c r="B296" s="0"/>
      <c r="C296" s="0"/>
      <c r="D296" s="0"/>
      <c r="E296" s="0"/>
      <c r="F296" s="0"/>
      <c r="G296" s="0"/>
      <c r="H296" s="0"/>
      <c r="I296" s="168" t="n">
        <v>0</v>
      </c>
      <c r="J296" s="0"/>
      <c r="K296" s="0"/>
      <c r="L296" s="168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</row>
    <row r="297" customFormat="false" ht="12.75" hidden="false" customHeight="false" outlineLevel="0" collapsed="false">
      <c r="A297" s="0"/>
      <c r="B297" s="0"/>
      <c r="C297" s="0"/>
      <c r="D297" s="0"/>
      <c r="E297" s="0"/>
      <c r="F297" s="0"/>
      <c r="G297" s="0"/>
      <c r="H297" s="0"/>
      <c r="I297" s="168" t="n">
        <v>0</v>
      </c>
      <c r="J297" s="0"/>
      <c r="K297" s="0"/>
      <c r="L297" s="168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</row>
    <row r="298" customFormat="false" ht="12.75" hidden="false" customHeight="false" outlineLevel="0" collapsed="false">
      <c r="A298" s="0"/>
      <c r="B298" s="0"/>
      <c r="C298" s="0"/>
      <c r="D298" s="0"/>
      <c r="E298" s="0"/>
      <c r="F298" s="0"/>
      <c r="G298" s="0"/>
      <c r="H298" s="0"/>
      <c r="I298" s="168" t="n">
        <v>0</v>
      </c>
      <c r="J298" s="0"/>
      <c r="K298" s="0"/>
      <c r="L298" s="168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</row>
    <row r="299" customFormat="false" ht="12.75" hidden="false" customHeight="false" outlineLevel="0" collapsed="false">
      <c r="A299" s="0"/>
      <c r="B299" s="0"/>
      <c r="C299" s="0"/>
      <c r="D299" s="0"/>
      <c r="E299" s="0"/>
      <c r="F299" s="0"/>
      <c r="G299" s="0"/>
      <c r="H299" s="0"/>
      <c r="I299" s="168" t="n">
        <v>0</v>
      </c>
      <c r="J299" s="0"/>
      <c r="K299" s="0"/>
      <c r="L299" s="168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</row>
    <row r="300" customFormat="false" ht="12.75" hidden="false" customHeight="false" outlineLevel="0" collapsed="false">
      <c r="A300" s="0"/>
      <c r="B300" s="0"/>
      <c r="C300" s="0"/>
      <c r="D300" s="0"/>
      <c r="E300" s="0"/>
      <c r="F300" s="0"/>
      <c r="G300" s="0"/>
      <c r="H300" s="0"/>
      <c r="I300" s="168" t="n">
        <v>0</v>
      </c>
      <c r="J300" s="0"/>
      <c r="K300" s="0"/>
      <c r="L300" s="168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</row>
    <row r="301" customFormat="false" ht="12.75" hidden="false" customHeight="false" outlineLevel="0" collapsed="false">
      <c r="A301" s="0"/>
      <c r="B301" s="0"/>
      <c r="C301" s="0"/>
      <c r="D301" s="0"/>
      <c r="E301" s="0"/>
      <c r="F301" s="0"/>
      <c r="G301" s="0"/>
      <c r="H301" s="0"/>
      <c r="I301" s="168" t="n">
        <v>0</v>
      </c>
      <c r="J301" s="0"/>
      <c r="K301" s="0"/>
      <c r="L301" s="168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</row>
    <row r="302" customFormat="false" ht="12.75" hidden="false" customHeight="false" outlineLevel="0" collapsed="false">
      <c r="A302" s="0"/>
      <c r="B302" s="0"/>
      <c r="C302" s="0"/>
      <c r="D302" s="0"/>
      <c r="E302" s="0"/>
      <c r="F302" s="0"/>
      <c r="G302" s="0"/>
      <c r="H302" s="0"/>
      <c r="I302" s="168" t="n">
        <v>0</v>
      </c>
      <c r="J302" s="0"/>
      <c r="K302" s="0"/>
      <c r="L302" s="168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</row>
    <row r="303" customFormat="false" ht="12.75" hidden="false" customHeight="false" outlineLevel="0" collapsed="false">
      <c r="A303" s="0"/>
      <c r="B303" s="0"/>
      <c r="C303" s="0"/>
      <c r="D303" s="0"/>
      <c r="E303" s="0"/>
      <c r="F303" s="0"/>
      <c r="G303" s="0"/>
      <c r="H303" s="0"/>
      <c r="I303" s="168" t="n">
        <v>0</v>
      </c>
      <c r="J303" s="0"/>
      <c r="K303" s="0"/>
      <c r="L303" s="168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</row>
    <row r="304" customFormat="false" ht="12.75" hidden="false" customHeight="false" outlineLevel="0" collapsed="false">
      <c r="A304" s="0"/>
      <c r="B304" s="0"/>
      <c r="C304" s="0"/>
      <c r="D304" s="0"/>
      <c r="E304" s="0"/>
      <c r="F304" s="0"/>
      <c r="G304" s="0"/>
      <c r="H304" s="0"/>
      <c r="I304" s="168" t="n">
        <v>0</v>
      </c>
      <c r="J304" s="0"/>
      <c r="K304" s="0"/>
      <c r="L304" s="168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</row>
    <row r="305" customFormat="false" ht="12.75" hidden="false" customHeight="false" outlineLevel="0" collapsed="false">
      <c r="A305" s="0"/>
      <c r="B305" s="0"/>
      <c r="C305" s="0"/>
      <c r="D305" s="0"/>
      <c r="E305" s="0"/>
      <c r="F305" s="0"/>
      <c r="G305" s="0"/>
      <c r="H305" s="0"/>
      <c r="I305" s="168" t="n">
        <v>0</v>
      </c>
      <c r="J305" s="0"/>
      <c r="K305" s="0"/>
      <c r="L305" s="168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</row>
    <row r="306" customFormat="false" ht="12.75" hidden="false" customHeight="false" outlineLevel="0" collapsed="false">
      <c r="A306" s="0"/>
      <c r="B306" s="0"/>
      <c r="C306" s="0"/>
      <c r="D306" s="0"/>
      <c r="E306" s="0"/>
      <c r="F306" s="0"/>
      <c r="G306" s="0"/>
      <c r="H306" s="0"/>
      <c r="I306" s="168" t="n">
        <v>0</v>
      </c>
      <c r="J306" s="0"/>
      <c r="K306" s="0"/>
      <c r="L306" s="168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</row>
    <row r="307" customFormat="false" ht="12.75" hidden="false" customHeight="false" outlineLevel="0" collapsed="false">
      <c r="A307" s="0"/>
      <c r="B307" s="0"/>
      <c r="C307" s="0"/>
      <c r="D307" s="0"/>
      <c r="E307" s="0"/>
      <c r="F307" s="0"/>
      <c r="G307" s="0"/>
      <c r="H307" s="0"/>
      <c r="I307" s="168" t="n">
        <v>0</v>
      </c>
      <c r="J307" s="0"/>
      <c r="K307" s="0"/>
      <c r="L307" s="168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</row>
    <row r="308" customFormat="false" ht="12.75" hidden="false" customHeight="false" outlineLevel="0" collapsed="false">
      <c r="A308" s="0"/>
      <c r="B308" s="0"/>
      <c r="C308" s="0"/>
      <c r="D308" s="0"/>
      <c r="E308" s="0"/>
      <c r="F308" s="0"/>
      <c r="G308" s="0"/>
      <c r="H308" s="0"/>
      <c r="I308" s="168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</row>
    <row r="309" customFormat="false" ht="12.75" hidden="false" customHeight="false" outlineLevel="0" collapsed="false">
      <c r="A309" s="0"/>
      <c r="B309" s="0"/>
      <c r="C309" s="0"/>
      <c r="D309" s="0"/>
      <c r="E309" s="0"/>
      <c r="F309" s="0"/>
      <c r="G309" s="0"/>
      <c r="H309" s="0"/>
      <c r="I309" s="168" t="n">
        <v>0</v>
      </c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</row>
    <row r="310" customFormat="false" ht="12.75" hidden="false" customHeight="false" outlineLevel="0" collapsed="false">
      <c r="A310" s="0"/>
      <c r="B310" s="0"/>
      <c r="C310" s="0"/>
      <c r="D310" s="0"/>
      <c r="E310" s="0"/>
      <c r="F310" s="0"/>
      <c r="G310" s="0"/>
      <c r="H310" s="0"/>
      <c r="I310" s="168" t="n">
        <v>0</v>
      </c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</row>
    <row r="311" customFormat="false" ht="12.75" hidden="false" customHeight="false" outlineLevel="0" collapsed="false">
      <c r="A311" s="0"/>
      <c r="B311" s="0"/>
      <c r="C311" s="0"/>
      <c r="D311" s="0"/>
      <c r="E311" s="0"/>
      <c r="F311" s="0"/>
      <c r="G311" s="0"/>
      <c r="H311" s="0"/>
      <c r="I311" s="168" t="n">
        <v>0</v>
      </c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</row>
    <row r="312" customFormat="false" ht="12.75" hidden="false" customHeight="false" outlineLevel="0" collapsed="false">
      <c r="A312" s="0"/>
      <c r="B312" s="0"/>
      <c r="C312" s="0"/>
      <c r="D312" s="0"/>
      <c r="E312" s="0"/>
      <c r="F312" s="0"/>
      <c r="G312" s="0"/>
      <c r="H312" s="0"/>
      <c r="I312" s="168" t="n">
        <v>0</v>
      </c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</row>
    <row r="313" customFormat="false" ht="12.75" hidden="false" customHeight="false" outlineLevel="0" collapsed="false">
      <c r="A313" s="0"/>
      <c r="B313" s="0"/>
      <c r="C313" s="0"/>
      <c r="D313" s="0"/>
      <c r="E313" s="0"/>
      <c r="F313" s="0"/>
      <c r="G313" s="0"/>
      <c r="H313" s="0"/>
      <c r="I313" s="168" t="n">
        <v>0</v>
      </c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</row>
    <row r="314" customFormat="false" ht="12.75" hidden="false" customHeight="false" outlineLevel="0" collapsed="false">
      <c r="A314" s="0"/>
      <c r="B314" s="0"/>
      <c r="C314" s="0"/>
      <c r="D314" s="0"/>
      <c r="E314" s="0"/>
      <c r="F314" s="0"/>
      <c r="G314" s="0"/>
      <c r="H314" s="0"/>
      <c r="I314" s="168" t="n">
        <v>0</v>
      </c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</row>
    <row r="315" customFormat="false" ht="12.75" hidden="false" customHeight="false" outlineLevel="0" collapsed="false">
      <c r="A315" s="0"/>
      <c r="B315" s="0"/>
      <c r="C315" s="0"/>
      <c r="D315" s="0"/>
      <c r="E315" s="0"/>
      <c r="F315" s="0"/>
      <c r="G315" s="0"/>
      <c r="H315" s="0"/>
      <c r="I315" s="168" t="n">
        <v>0</v>
      </c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</row>
    <row r="316" customFormat="false" ht="12.75" hidden="false" customHeight="false" outlineLevel="0" collapsed="false">
      <c r="A316" s="0"/>
      <c r="B316" s="0"/>
      <c r="C316" s="0"/>
      <c r="D316" s="0"/>
      <c r="E316" s="0"/>
      <c r="F316" s="0"/>
      <c r="G316" s="0"/>
      <c r="H316" s="0"/>
      <c r="I316" s="168" t="n">
        <v>0</v>
      </c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</row>
    <row r="317" customFormat="false" ht="12.75" hidden="false" customHeight="false" outlineLevel="0" collapsed="false">
      <c r="A317" s="0"/>
      <c r="B317" s="0"/>
      <c r="C317" s="0"/>
      <c r="D317" s="0"/>
      <c r="E317" s="0"/>
      <c r="F317" s="0"/>
      <c r="G317" s="0"/>
      <c r="H317" s="0"/>
      <c r="I317" s="168" t="n">
        <v>0</v>
      </c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</row>
    <row r="318" customFormat="false" ht="12.75" hidden="false" customHeight="false" outlineLevel="0" collapsed="false">
      <c r="A318" s="0"/>
      <c r="B318" s="0"/>
      <c r="C318" s="0"/>
      <c r="D318" s="0"/>
      <c r="E318" s="0"/>
      <c r="F318" s="0"/>
      <c r="G318" s="0"/>
      <c r="H318" s="0"/>
      <c r="I318" s="168" t="n">
        <v>0</v>
      </c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</row>
    <row r="319" customFormat="false" ht="12.75" hidden="false" customHeight="false" outlineLevel="0" collapsed="false">
      <c r="A319" s="0"/>
      <c r="B319" s="0"/>
      <c r="C319" s="0"/>
      <c r="D319" s="0"/>
      <c r="E319" s="0"/>
      <c r="F319" s="0"/>
      <c r="G319" s="0"/>
      <c r="H319" s="0"/>
      <c r="I319" s="168" t="n">
        <v>0</v>
      </c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</row>
    <row r="320" customFormat="false" ht="12.75" hidden="false" customHeight="false" outlineLevel="0" collapsed="false">
      <c r="A320" s="0"/>
      <c r="B320" s="0"/>
      <c r="C320" s="0"/>
      <c r="D320" s="0"/>
      <c r="E320" s="0"/>
      <c r="F320" s="0"/>
      <c r="G320" s="0"/>
      <c r="H320" s="0"/>
      <c r="I320" s="168" t="n">
        <v>0</v>
      </c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</row>
    <row r="321" customFormat="false" ht="12.75" hidden="false" customHeight="false" outlineLevel="0" collapsed="false">
      <c r="A321" s="0"/>
      <c r="B321" s="0"/>
      <c r="C321" s="0"/>
      <c r="D321" s="0"/>
      <c r="E321" s="0"/>
      <c r="F321" s="0"/>
      <c r="G321" s="0"/>
      <c r="H321" s="0"/>
      <c r="I321" s="168" t="n">
        <v>0</v>
      </c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</row>
    <row r="322" customFormat="false" ht="12.75" hidden="false" customHeight="false" outlineLevel="0" collapsed="false">
      <c r="A322" s="0"/>
      <c r="B322" s="0"/>
      <c r="C322" s="0"/>
      <c r="D322" s="0"/>
      <c r="E322" s="0"/>
      <c r="F322" s="0"/>
      <c r="G322" s="0"/>
      <c r="H322" s="0"/>
      <c r="I322" s="168" t="n">
        <v>0</v>
      </c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</row>
    <row r="323" customFormat="false" ht="12.75" hidden="false" customHeight="false" outlineLevel="0" collapsed="false">
      <c r="A323" s="0"/>
      <c r="B323" s="0"/>
      <c r="C323" s="0"/>
      <c r="D323" s="0"/>
      <c r="E323" s="0"/>
      <c r="F323" s="0"/>
      <c r="G323" s="0"/>
      <c r="H323" s="0"/>
      <c r="I323" s="168" t="n">
        <v>0</v>
      </c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</row>
    <row r="324" customFormat="false" ht="12.75" hidden="false" customHeight="false" outlineLevel="0" collapsed="false">
      <c r="A324" s="0"/>
      <c r="B324" s="0"/>
      <c r="C324" s="0"/>
      <c r="D324" s="0"/>
      <c r="E324" s="0"/>
      <c r="F324" s="0"/>
      <c r="G324" s="0"/>
      <c r="H324" s="0"/>
      <c r="I324" s="168" t="n">
        <v>0</v>
      </c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</row>
    <row r="325" customFormat="false" ht="12.75" hidden="false" customHeight="false" outlineLevel="0" collapsed="false">
      <c r="A325" s="0"/>
      <c r="B325" s="0"/>
      <c r="C325" s="0"/>
      <c r="D325" s="0"/>
      <c r="E325" s="0"/>
      <c r="F325" s="0"/>
      <c r="G325" s="0"/>
      <c r="H325" s="0"/>
      <c r="I325" s="168" t="n">
        <v>0</v>
      </c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</row>
    <row r="326" customFormat="false" ht="12.75" hidden="false" customHeight="false" outlineLevel="0" collapsed="false">
      <c r="A326" s="0"/>
      <c r="B326" s="0"/>
      <c r="C326" s="0"/>
      <c r="D326" s="0"/>
      <c r="E326" s="0"/>
      <c r="F326" s="0"/>
      <c r="G326" s="0"/>
      <c r="H326" s="0"/>
      <c r="I326" s="168" t="n">
        <v>0</v>
      </c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</row>
    <row r="327" customFormat="false" ht="12.75" hidden="false" customHeight="false" outlineLevel="0" collapsed="false">
      <c r="A327" s="0"/>
      <c r="B327" s="0"/>
      <c r="C327" s="0"/>
      <c r="D327" s="0"/>
      <c r="E327" s="0"/>
      <c r="F327" s="0"/>
      <c r="G327" s="0"/>
      <c r="H327" s="0"/>
      <c r="I327" s="168" t="n">
        <v>0</v>
      </c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</row>
    <row r="328" customFormat="false" ht="12.75" hidden="false" customHeight="false" outlineLevel="0" collapsed="false">
      <c r="A328" s="0"/>
      <c r="B328" s="0"/>
      <c r="C328" s="0"/>
      <c r="D328" s="0"/>
      <c r="E328" s="0"/>
      <c r="F328" s="0"/>
      <c r="G328" s="0"/>
      <c r="H328" s="0"/>
      <c r="I328" s="168" t="n">
        <v>0</v>
      </c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</row>
    <row r="329" customFormat="false" ht="12.75" hidden="false" customHeight="false" outlineLevel="0" collapsed="false">
      <c r="A329" s="0"/>
      <c r="B329" s="0"/>
      <c r="C329" s="0"/>
      <c r="D329" s="0"/>
      <c r="E329" s="0"/>
      <c r="F329" s="0"/>
      <c r="G329" s="0"/>
      <c r="H329" s="0"/>
      <c r="I329" s="168" t="n">
        <v>0</v>
      </c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</row>
    <row r="330" customFormat="false" ht="12.75" hidden="false" customHeight="false" outlineLevel="0" collapsed="false">
      <c r="A330" s="0"/>
      <c r="B330" s="0"/>
      <c r="C330" s="0"/>
      <c r="D330" s="0"/>
      <c r="E330" s="0"/>
      <c r="F330" s="0"/>
      <c r="G330" s="0"/>
      <c r="H330" s="0"/>
      <c r="I330" s="168" t="n">
        <v>0</v>
      </c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</row>
    <row r="331" customFormat="false" ht="12.75" hidden="false" customHeight="false" outlineLevel="0" collapsed="false">
      <c r="A331" s="0"/>
      <c r="B331" s="0"/>
      <c r="C331" s="0"/>
      <c r="D331" s="0"/>
      <c r="E331" s="0"/>
      <c r="F331" s="0"/>
      <c r="G331" s="0"/>
      <c r="H331" s="0"/>
      <c r="I331" s="168" t="n">
        <v>0</v>
      </c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</row>
    <row r="332" customFormat="false" ht="12.75" hidden="false" customHeight="false" outlineLevel="0" collapsed="false">
      <c r="A332" s="0"/>
      <c r="B332" s="0"/>
      <c r="C332" s="0"/>
      <c r="D332" s="0"/>
      <c r="E332" s="0"/>
      <c r="F332" s="0"/>
      <c r="G332" s="0"/>
      <c r="H332" s="0"/>
      <c r="I332" s="168" t="n">
        <v>0</v>
      </c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</row>
    <row r="333" customFormat="false" ht="12.75" hidden="false" customHeight="false" outlineLevel="0" collapsed="false">
      <c r="A333" s="0"/>
      <c r="B333" s="0"/>
      <c r="C333" s="0"/>
      <c r="D333" s="0"/>
      <c r="E333" s="0"/>
      <c r="F333" s="0"/>
      <c r="G333" s="0"/>
      <c r="H333" s="0"/>
      <c r="I333" s="168" t="n">
        <v>0</v>
      </c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</row>
    <row r="334" customFormat="false" ht="12.75" hidden="false" customHeight="false" outlineLevel="0" collapsed="false">
      <c r="A334" s="0"/>
      <c r="B334" s="0"/>
      <c r="C334" s="0"/>
      <c r="D334" s="0"/>
      <c r="E334" s="0"/>
      <c r="F334" s="0"/>
      <c r="G334" s="0"/>
      <c r="H334" s="0"/>
      <c r="I334" s="168" t="n">
        <v>0</v>
      </c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</row>
    <row r="335" customFormat="false" ht="12.75" hidden="false" customHeight="false" outlineLevel="0" collapsed="false">
      <c r="A335" s="0"/>
      <c r="B335" s="0"/>
      <c r="C335" s="0"/>
      <c r="D335" s="0"/>
      <c r="E335" s="0"/>
      <c r="F335" s="0"/>
      <c r="G335" s="0"/>
      <c r="H335" s="0"/>
      <c r="I335" s="168" t="n">
        <v>0</v>
      </c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</row>
    <row r="336" customFormat="false" ht="12.75" hidden="false" customHeight="false" outlineLevel="0" collapsed="false">
      <c r="A336" s="0"/>
      <c r="B336" s="0"/>
      <c r="C336" s="0"/>
      <c r="D336" s="0"/>
      <c r="E336" s="0"/>
      <c r="F336" s="0"/>
      <c r="G336" s="0"/>
      <c r="H336" s="0"/>
      <c r="I336" s="168" t="n">
        <v>0</v>
      </c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</row>
    <row r="337" customFormat="false" ht="12.75" hidden="false" customHeight="false" outlineLevel="0" collapsed="false">
      <c r="A337" s="0"/>
      <c r="B337" s="0"/>
      <c r="C337" s="0"/>
      <c r="D337" s="0"/>
      <c r="E337" s="0"/>
      <c r="F337" s="0"/>
      <c r="G337" s="0"/>
      <c r="H337" s="0"/>
      <c r="I337" s="168" t="n">
        <v>0</v>
      </c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</row>
    <row r="338" customFormat="false" ht="12.75" hidden="false" customHeight="false" outlineLevel="0" collapsed="false">
      <c r="A338" s="0"/>
      <c r="B338" s="0"/>
      <c r="C338" s="0"/>
      <c r="D338" s="0"/>
      <c r="E338" s="0"/>
      <c r="F338" s="0"/>
      <c r="G338" s="0"/>
      <c r="H338" s="0"/>
      <c r="I338" s="168" t="n">
        <v>0</v>
      </c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</row>
    <row r="339" customFormat="false" ht="12.75" hidden="false" customHeight="false" outlineLevel="0" collapsed="false">
      <c r="A339" s="0"/>
      <c r="B339" s="0"/>
      <c r="C339" s="0"/>
      <c r="D339" s="0"/>
      <c r="E339" s="0"/>
      <c r="F339" s="0"/>
      <c r="G339" s="0"/>
      <c r="H339" s="0"/>
      <c r="I339" s="168" t="n">
        <v>0</v>
      </c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</row>
    <row r="340" customFormat="false" ht="12.75" hidden="false" customHeight="false" outlineLevel="0" collapsed="false">
      <c r="A340" s="0"/>
      <c r="B340" s="0"/>
      <c r="C340" s="0"/>
      <c r="D340" s="0"/>
      <c r="E340" s="0"/>
      <c r="F340" s="0"/>
      <c r="G340" s="0"/>
      <c r="H340" s="0"/>
      <c r="I340" s="168" t="n">
        <v>0</v>
      </c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</row>
    <row r="341" customFormat="false" ht="12.75" hidden="false" customHeight="false" outlineLevel="0" collapsed="false">
      <c r="A341" s="0"/>
      <c r="B341" s="0"/>
      <c r="C341" s="0"/>
      <c r="D341" s="0"/>
      <c r="E341" s="0"/>
      <c r="F341" s="0"/>
      <c r="G341" s="0"/>
      <c r="H341" s="0"/>
      <c r="I341" s="168" t="n">
        <v>0</v>
      </c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</row>
    <row r="342" customFormat="false" ht="12.75" hidden="false" customHeight="false" outlineLevel="0" collapsed="false">
      <c r="A342" s="0"/>
      <c r="B342" s="0"/>
      <c r="C342" s="0"/>
      <c r="D342" s="0"/>
      <c r="E342" s="0"/>
      <c r="F342" s="0"/>
      <c r="G342" s="0"/>
      <c r="H342" s="0"/>
      <c r="I342" s="168" t="n">
        <v>0</v>
      </c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</row>
    <row r="343" customFormat="false" ht="12.75" hidden="false" customHeight="false" outlineLevel="0" collapsed="false">
      <c r="A343" s="0"/>
      <c r="B343" s="0"/>
      <c r="C343" s="0"/>
      <c r="D343" s="0"/>
      <c r="E343" s="0"/>
      <c r="F343" s="0"/>
      <c r="G343" s="0"/>
      <c r="H343" s="0"/>
      <c r="I343" s="168" t="n">
        <v>0</v>
      </c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</row>
    <row r="344" customFormat="false" ht="12.75" hidden="false" customHeight="false" outlineLevel="0" collapsed="false">
      <c r="A344" s="0"/>
      <c r="B344" s="0"/>
      <c r="C344" s="0"/>
      <c r="D344" s="0"/>
      <c r="E344" s="0"/>
      <c r="F344" s="0"/>
      <c r="G344" s="0"/>
      <c r="H344" s="0"/>
      <c r="I344" s="168" t="n">
        <v>0</v>
      </c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</row>
    <row r="345" customFormat="false" ht="12.75" hidden="false" customHeight="false" outlineLevel="0" collapsed="false">
      <c r="A345" s="0"/>
      <c r="B345" s="0"/>
      <c r="C345" s="0"/>
      <c r="D345" s="0"/>
      <c r="E345" s="0"/>
      <c r="F345" s="0"/>
      <c r="G345" s="0"/>
      <c r="H345" s="0"/>
      <c r="I345" s="168" t="n">
        <v>0</v>
      </c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</row>
    <row r="346" customFormat="false" ht="12.75" hidden="false" customHeight="false" outlineLevel="0" collapsed="false">
      <c r="A346" s="0"/>
      <c r="B346" s="0"/>
      <c r="C346" s="0"/>
      <c r="D346" s="0"/>
      <c r="E346" s="0"/>
      <c r="F346" s="0"/>
      <c r="G346" s="0"/>
      <c r="H346" s="0"/>
      <c r="I346" s="168" t="n">
        <v>0</v>
      </c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</row>
    <row r="347" customFormat="false" ht="12.75" hidden="false" customHeight="false" outlineLevel="0" collapsed="false">
      <c r="A347" s="0"/>
      <c r="B347" s="0"/>
      <c r="C347" s="0"/>
      <c r="D347" s="0"/>
      <c r="E347" s="0"/>
      <c r="F347" s="0"/>
      <c r="G347" s="0"/>
      <c r="H347" s="0"/>
      <c r="I347" s="168" t="n">
        <v>0</v>
      </c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</row>
    <row r="348" customFormat="false" ht="12.75" hidden="false" customHeight="false" outlineLevel="0" collapsed="false">
      <c r="A348" s="0"/>
      <c r="B348" s="0"/>
      <c r="C348" s="0"/>
      <c r="D348" s="0"/>
      <c r="E348" s="0"/>
      <c r="F348" s="0"/>
      <c r="G348" s="0"/>
      <c r="H348" s="0"/>
      <c r="I348" s="168" t="n">
        <v>0</v>
      </c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</row>
    <row r="349" customFormat="false" ht="12.75" hidden="false" customHeight="false" outlineLevel="0" collapsed="false">
      <c r="A349" s="0"/>
      <c r="B349" s="0"/>
      <c r="C349" s="0"/>
      <c r="D349" s="0"/>
      <c r="E349" s="0"/>
      <c r="F349" s="0"/>
      <c r="G349" s="0"/>
      <c r="H349" s="0"/>
      <c r="I349" s="168" t="n">
        <v>0</v>
      </c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</row>
    <row r="350" customFormat="false" ht="12.75" hidden="false" customHeight="false" outlineLevel="0" collapsed="false">
      <c r="A350" s="0"/>
      <c r="B350" s="0"/>
      <c r="C350" s="0"/>
      <c r="D350" s="0"/>
      <c r="E350" s="0"/>
      <c r="F350" s="0"/>
      <c r="G350" s="0"/>
      <c r="H350" s="0"/>
      <c r="I350" s="168" t="n">
        <v>0</v>
      </c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</row>
    <row r="351" customFormat="false" ht="12.75" hidden="false" customHeight="false" outlineLevel="0" collapsed="false">
      <c r="A351" s="0"/>
      <c r="B351" s="0"/>
      <c r="C351" s="0"/>
      <c r="D351" s="0"/>
      <c r="E351" s="0"/>
      <c r="F351" s="0"/>
      <c r="G351" s="0"/>
      <c r="H351" s="0"/>
      <c r="I351" s="0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</row>
    <row r="352" customFormat="false" ht="12.75" hidden="false" customHeight="false" outlineLevel="0" collapsed="false">
      <c r="A352" s="0"/>
      <c r="B352" s="0"/>
      <c r="C352" s="0"/>
      <c r="D352" s="0"/>
      <c r="E352" s="0"/>
      <c r="F352" s="0"/>
      <c r="G352" s="0"/>
      <c r="H352" s="0"/>
      <c r="I352" s="0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</row>
    <row r="353" customFormat="false" ht="12.75" hidden="false" customHeight="false" outlineLevel="0" collapsed="false">
      <c r="A353" s="0"/>
      <c r="B353" s="0"/>
      <c r="C353" s="0"/>
      <c r="D353" s="0"/>
      <c r="E353" s="0"/>
      <c r="F353" s="0"/>
      <c r="G353" s="0"/>
      <c r="H353" s="0"/>
      <c r="I353" s="0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</row>
    <row r="354" customFormat="false" ht="12.75" hidden="false" customHeight="false" outlineLevel="0" collapsed="false">
      <c r="A354" s="0"/>
      <c r="B354" s="0"/>
      <c r="C354" s="0"/>
      <c r="D354" s="0"/>
      <c r="E354" s="0"/>
      <c r="F354" s="0"/>
      <c r="G354" s="0"/>
      <c r="H354" s="0"/>
      <c r="I354" s="0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</row>
    <row r="355" customFormat="false" ht="12.75" hidden="false" customHeight="false" outlineLevel="0" collapsed="false">
      <c r="A355" s="0"/>
      <c r="B355" s="0"/>
      <c r="C355" s="0"/>
      <c r="D355" s="0"/>
      <c r="E355" s="0"/>
      <c r="F355" s="0"/>
      <c r="G355" s="0"/>
      <c r="H355" s="0"/>
      <c r="I355" s="0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</row>
    <row r="356" customFormat="false" ht="12.75" hidden="false" customHeight="false" outlineLevel="0" collapsed="false">
      <c r="A356" s="0"/>
      <c r="B356" s="0"/>
      <c r="C356" s="0"/>
      <c r="D356" s="0"/>
      <c r="E356" s="0"/>
      <c r="F356" s="0"/>
      <c r="G356" s="0"/>
      <c r="H356" s="0"/>
      <c r="I356" s="0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</row>
    <row r="357" customFormat="false" ht="12.75" hidden="false" customHeight="false" outlineLevel="0" collapsed="false">
      <c r="A357" s="0"/>
      <c r="B357" s="0"/>
      <c r="C357" s="0"/>
      <c r="D357" s="0"/>
      <c r="E357" s="0"/>
      <c r="F357" s="0"/>
      <c r="G357" s="0"/>
      <c r="H357" s="0"/>
      <c r="I357" s="0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</row>
    <row r="358" customFormat="false" ht="12.75" hidden="false" customHeight="false" outlineLevel="0" collapsed="false">
      <c r="A358" s="0"/>
      <c r="B358" s="0"/>
      <c r="C358" s="0"/>
      <c r="D358" s="0"/>
      <c r="E358" s="0"/>
      <c r="F358" s="0"/>
      <c r="G358" s="0"/>
      <c r="H358" s="0"/>
      <c r="I358" s="0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</row>
    <row r="359" customFormat="false" ht="12.75" hidden="false" customHeight="false" outlineLevel="0" collapsed="false">
      <c r="A359" s="0"/>
      <c r="B359" s="0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</row>
    <row r="360" customFormat="false" ht="12.75" hidden="false" customHeight="false" outlineLevel="0" collapsed="false">
      <c r="A360" s="0"/>
      <c r="B360" s="0"/>
      <c r="C360" s="0"/>
      <c r="D360" s="0"/>
      <c r="E360" s="0"/>
      <c r="F360" s="0"/>
      <c r="G360" s="0"/>
      <c r="H360" s="0"/>
      <c r="I360" s="0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</row>
    <row r="361" customFormat="false" ht="12.75" hidden="false" customHeight="false" outlineLevel="0" collapsed="false">
      <c r="A361" s="0"/>
      <c r="B361" s="0"/>
      <c r="C361" s="0"/>
      <c r="D361" s="0"/>
      <c r="E361" s="0"/>
      <c r="F361" s="0"/>
      <c r="G361" s="0"/>
      <c r="H361" s="0"/>
      <c r="I361" s="0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</row>
    <row r="362" customFormat="false" ht="12.75" hidden="false" customHeight="false" outlineLevel="0" collapsed="false">
      <c r="A362" s="0"/>
      <c r="B362" s="0"/>
      <c r="C362" s="0"/>
      <c r="D362" s="0"/>
      <c r="E362" s="0"/>
      <c r="F362" s="0"/>
      <c r="G362" s="0"/>
      <c r="H362" s="0"/>
      <c r="I362" s="0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</row>
    <row r="363" customFormat="false" ht="12.75" hidden="false" customHeight="false" outlineLevel="0" collapsed="false">
      <c r="A363" s="0"/>
      <c r="B363" s="0"/>
      <c r="C363" s="0"/>
      <c r="D363" s="0"/>
      <c r="E363" s="0"/>
      <c r="F363" s="0"/>
      <c r="G363" s="0"/>
      <c r="H363" s="0"/>
      <c r="I363" s="0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</row>
    <row r="364" customFormat="false" ht="12.75" hidden="false" customHeight="false" outlineLevel="0" collapsed="false">
      <c r="A364" s="0"/>
      <c r="B364" s="0"/>
      <c r="C364" s="0"/>
      <c r="D364" s="0"/>
      <c r="E364" s="0"/>
      <c r="F364" s="0"/>
      <c r="G364" s="0"/>
      <c r="H364" s="0"/>
      <c r="I364" s="0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</row>
    <row r="365" customFormat="false" ht="12.75" hidden="false" customHeight="false" outlineLevel="0" collapsed="false">
      <c r="A365" s="0"/>
      <c r="B365" s="0"/>
      <c r="C365" s="0"/>
      <c r="D365" s="0"/>
      <c r="E365" s="0"/>
      <c r="F365" s="0"/>
      <c r="G365" s="0"/>
      <c r="H365" s="0"/>
      <c r="I365" s="0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</row>
    <row r="366" customFormat="false" ht="12.75" hidden="false" customHeight="false" outlineLevel="0" collapsed="false">
      <c r="A366" s="0"/>
      <c r="B366" s="0"/>
      <c r="C366" s="0"/>
      <c r="D366" s="0"/>
      <c r="E366" s="0"/>
      <c r="F366" s="0"/>
      <c r="G366" s="0"/>
      <c r="H366" s="0"/>
      <c r="I366" s="0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</row>
    <row r="367" customFormat="false" ht="12.75" hidden="false" customHeight="false" outlineLevel="0" collapsed="false">
      <c r="A367" s="0"/>
      <c r="B367" s="0"/>
      <c r="C367" s="0"/>
      <c r="D367" s="0"/>
      <c r="E367" s="0"/>
      <c r="F367" s="0"/>
      <c r="G367" s="0"/>
      <c r="H367" s="0"/>
      <c r="I367" s="0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</row>
    <row r="368" customFormat="false" ht="12.75" hidden="false" customHeight="false" outlineLevel="0" collapsed="false">
      <c r="A368" s="0"/>
      <c r="B368" s="0"/>
      <c r="C368" s="0"/>
      <c r="D368" s="0"/>
      <c r="E368" s="0"/>
      <c r="F368" s="0"/>
      <c r="G368" s="0"/>
      <c r="H368" s="0"/>
      <c r="I368" s="0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</row>
    <row r="369" customFormat="false" ht="12.75" hidden="false" customHeight="false" outlineLevel="0" collapsed="false">
      <c r="A369" s="0"/>
      <c r="B369" s="0"/>
      <c r="C369" s="0"/>
      <c r="D369" s="0"/>
      <c r="E369" s="0"/>
      <c r="F369" s="0"/>
      <c r="G369" s="0"/>
      <c r="H369" s="0"/>
      <c r="I369" s="0"/>
      <c r="J369" s="0"/>
      <c r="K369" s="0"/>
      <c r="L369" s="0"/>
      <c r="M369" s="0"/>
      <c r="N369" s="0"/>
      <c r="O369" s="0"/>
      <c r="P369" s="0"/>
      <c r="Q369" s="0"/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</row>
    <row r="370" customFormat="false" ht="12.75" hidden="false" customHeight="false" outlineLevel="0" collapsed="false">
      <c r="A370" s="0"/>
      <c r="B370" s="0"/>
      <c r="C370" s="0"/>
      <c r="D370" s="0"/>
      <c r="E370" s="0"/>
      <c r="F370" s="0"/>
      <c r="G370" s="0"/>
      <c r="H370" s="0"/>
      <c r="I370" s="0"/>
      <c r="J370" s="0"/>
      <c r="K370" s="0"/>
      <c r="L370" s="0"/>
      <c r="M370" s="0"/>
      <c r="N370" s="0"/>
      <c r="O370" s="0"/>
      <c r="P370" s="0"/>
      <c r="Q370" s="0"/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</row>
    <row r="371" customFormat="false" ht="12.75" hidden="false" customHeight="false" outlineLevel="0" collapsed="false">
      <c r="A371" s="0"/>
      <c r="B371" s="0"/>
      <c r="C371" s="0"/>
      <c r="D371" s="0"/>
      <c r="E371" s="0"/>
      <c r="F371" s="0"/>
      <c r="G371" s="0"/>
      <c r="H371" s="0"/>
      <c r="I371" s="0"/>
      <c r="J371" s="0"/>
      <c r="K371" s="0"/>
      <c r="L371" s="0"/>
      <c r="M371" s="0"/>
      <c r="N371" s="0"/>
      <c r="O371" s="0"/>
      <c r="P371" s="0"/>
      <c r="Q371" s="0"/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</row>
    <row r="372" customFormat="false" ht="12.75" hidden="false" customHeight="false" outlineLevel="0" collapsed="false">
      <c r="A372" s="0"/>
      <c r="B372" s="0"/>
      <c r="C372" s="0"/>
      <c r="D372" s="0"/>
      <c r="E372" s="0"/>
      <c r="F372" s="0"/>
      <c r="G372" s="0"/>
      <c r="H372" s="0"/>
      <c r="I372" s="0"/>
      <c r="J372" s="0"/>
      <c r="K372" s="0"/>
      <c r="L372" s="0"/>
      <c r="M372" s="0"/>
      <c r="N372" s="0"/>
      <c r="O372" s="0"/>
      <c r="P372" s="0"/>
      <c r="Q372" s="0"/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</row>
    <row r="373" customFormat="false" ht="12.75" hidden="false" customHeight="false" outlineLevel="0" collapsed="false">
      <c r="A373" s="0"/>
      <c r="B373" s="0"/>
      <c r="C373" s="0"/>
      <c r="D373" s="0"/>
      <c r="E373" s="0"/>
      <c r="F373" s="0"/>
      <c r="G373" s="0"/>
      <c r="H373" s="0"/>
      <c r="I373" s="0"/>
      <c r="J373" s="0"/>
      <c r="K373" s="0"/>
      <c r="L373" s="0"/>
      <c r="M373" s="0"/>
      <c r="N373" s="0"/>
      <c r="O373" s="0"/>
      <c r="P373" s="0"/>
      <c r="Q373" s="0"/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</row>
    <row r="374" customFormat="false" ht="12.75" hidden="false" customHeight="false" outlineLevel="0" collapsed="false">
      <c r="A374" s="0"/>
      <c r="B374" s="0"/>
      <c r="C374" s="0"/>
      <c r="D374" s="0"/>
      <c r="E374" s="0"/>
      <c r="F374" s="0"/>
      <c r="G374" s="0"/>
      <c r="H374" s="0"/>
      <c r="I374" s="0"/>
      <c r="J374" s="0"/>
      <c r="K374" s="0"/>
      <c r="L374" s="0"/>
      <c r="M374" s="0"/>
      <c r="N374" s="0"/>
      <c r="O374" s="0"/>
      <c r="P374" s="0"/>
      <c r="Q374" s="0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</row>
    <row r="375" customFormat="false" ht="12.75" hidden="false" customHeight="false" outlineLevel="0" collapsed="false">
      <c r="A375" s="0"/>
      <c r="B375" s="0"/>
      <c r="C375" s="0"/>
      <c r="D375" s="0"/>
      <c r="E375" s="0"/>
      <c r="F375" s="0"/>
      <c r="G375" s="0"/>
      <c r="H375" s="0"/>
      <c r="I375" s="0"/>
      <c r="J375" s="0"/>
      <c r="K375" s="0"/>
      <c r="L375" s="0"/>
      <c r="M375" s="0"/>
      <c r="N375" s="0"/>
      <c r="O375" s="0"/>
      <c r="P375" s="0"/>
      <c r="Q375" s="0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</row>
    <row r="376" customFormat="false" ht="12.75" hidden="false" customHeight="false" outlineLevel="0" collapsed="false">
      <c r="A376" s="0"/>
      <c r="B376" s="0"/>
      <c r="C376" s="0"/>
      <c r="D376" s="0"/>
      <c r="E376" s="0"/>
      <c r="F376" s="0"/>
      <c r="G376" s="0"/>
      <c r="H376" s="0"/>
      <c r="I376" s="0"/>
      <c r="J376" s="0"/>
      <c r="K376" s="0"/>
      <c r="L376" s="0"/>
      <c r="M376" s="0"/>
      <c r="N376" s="0"/>
      <c r="O376" s="0"/>
      <c r="P376" s="0"/>
      <c r="Q376" s="0"/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</row>
    <row r="377" customFormat="false" ht="12.75" hidden="false" customHeight="false" outlineLevel="0" collapsed="false">
      <c r="A377" s="0"/>
      <c r="B377" s="0"/>
      <c r="C377" s="0"/>
      <c r="D377" s="0"/>
      <c r="E377" s="0"/>
      <c r="F377" s="0"/>
      <c r="G377" s="0"/>
      <c r="H377" s="0"/>
      <c r="I377" s="0"/>
      <c r="J377" s="0"/>
      <c r="K377" s="0"/>
      <c r="L377" s="0"/>
      <c r="M377" s="0"/>
      <c r="N377" s="0"/>
      <c r="O377" s="0"/>
      <c r="P377" s="0"/>
      <c r="Q377" s="0"/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</row>
    <row r="378" customFormat="false" ht="12.75" hidden="false" customHeight="false" outlineLevel="0" collapsed="false">
      <c r="A378" s="0"/>
      <c r="B378" s="0"/>
      <c r="C378" s="0"/>
      <c r="D378" s="0"/>
      <c r="E378" s="0"/>
      <c r="F378" s="0"/>
      <c r="G378" s="0"/>
      <c r="H378" s="0"/>
      <c r="I378" s="0"/>
      <c r="J378" s="0"/>
      <c r="K378" s="0"/>
      <c r="L378" s="0"/>
      <c r="M378" s="0"/>
      <c r="N378" s="0"/>
      <c r="O378" s="0"/>
      <c r="P378" s="0"/>
      <c r="Q378" s="0"/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</row>
    <row r="379" customFormat="false" ht="12.75" hidden="false" customHeight="false" outlineLevel="0" collapsed="false">
      <c r="A379" s="0"/>
      <c r="B379" s="0"/>
      <c r="C379" s="0"/>
      <c r="D379" s="0"/>
      <c r="E379" s="0"/>
      <c r="F379" s="0"/>
      <c r="G379" s="0"/>
      <c r="H379" s="0"/>
      <c r="I379" s="0"/>
      <c r="J379" s="0"/>
      <c r="K379" s="0"/>
      <c r="L379" s="0"/>
      <c r="M379" s="0"/>
      <c r="N379" s="0"/>
      <c r="O379" s="0"/>
      <c r="P379" s="0"/>
      <c r="Q379" s="0"/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</row>
    <row r="380" customFormat="false" ht="12.75" hidden="false" customHeight="false" outlineLevel="0" collapsed="false">
      <c r="A380" s="0"/>
      <c r="B380" s="0"/>
      <c r="C380" s="0"/>
      <c r="D380" s="0"/>
      <c r="E380" s="0"/>
      <c r="F380" s="0"/>
      <c r="G380" s="0"/>
      <c r="H380" s="0"/>
      <c r="I380" s="0"/>
      <c r="J380" s="0"/>
      <c r="K380" s="0"/>
      <c r="L380" s="0"/>
      <c r="M380" s="0"/>
      <c r="N380" s="0"/>
      <c r="O380" s="0"/>
      <c r="P380" s="0"/>
      <c r="Q380" s="0"/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</row>
    <row r="381" customFormat="false" ht="12.75" hidden="false" customHeight="false" outlineLevel="0" collapsed="false">
      <c r="A381" s="0"/>
      <c r="B381" s="0"/>
      <c r="C381" s="0"/>
      <c r="D381" s="0"/>
      <c r="E381" s="0"/>
      <c r="F381" s="0"/>
      <c r="G381" s="0"/>
      <c r="H381" s="0"/>
      <c r="I381" s="0"/>
      <c r="J381" s="0"/>
      <c r="K381" s="0"/>
      <c r="L381" s="0"/>
      <c r="M381" s="0"/>
      <c r="N381" s="0"/>
      <c r="O381" s="0"/>
      <c r="P381" s="0"/>
      <c r="Q381" s="0"/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</row>
    <row r="382" customFormat="false" ht="12.75" hidden="false" customHeight="false" outlineLevel="0" collapsed="false">
      <c r="A382" s="0"/>
      <c r="B382" s="0"/>
      <c r="C382" s="0"/>
      <c r="D382" s="0"/>
      <c r="E382" s="0"/>
      <c r="F382" s="0"/>
      <c r="G382" s="0"/>
      <c r="H382" s="0"/>
      <c r="I382" s="0"/>
      <c r="J382" s="0"/>
      <c r="K382" s="0"/>
      <c r="L382" s="0"/>
      <c r="M382" s="0"/>
      <c r="N382" s="0"/>
      <c r="O382" s="0"/>
      <c r="P382" s="0"/>
      <c r="Q382" s="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</row>
    <row r="383" customFormat="false" ht="12.75" hidden="false" customHeight="false" outlineLevel="0" collapsed="false">
      <c r="A383" s="0"/>
      <c r="B383" s="0"/>
      <c r="C383" s="0"/>
      <c r="D383" s="0"/>
      <c r="E383" s="0"/>
      <c r="F383" s="0"/>
      <c r="G383" s="0"/>
      <c r="H383" s="0"/>
      <c r="I383" s="0"/>
      <c r="J383" s="0"/>
      <c r="K383" s="0"/>
      <c r="L383" s="0"/>
      <c r="M383" s="0"/>
      <c r="N383" s="0"/>
      <c r="O383" s="0"/>
      <c r="P383" s="0"/>
      <c r="Q383" s="0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</row>
    <row r="384" customFormat="false" ht="12.75" hidden="false" customHeight="false" outlineLevel="0" collapsed="false">
      <c r="A384" s="0"/>
      <c r="B384" s="0"/>
      <c r="C384" s="0"/>
      <c r="D384" s="0"/>
      <c r="E384" s="0"/>
      <c r="F384" s="0"/>
      <c r="G384" s="0"/>
      <c r="H384" s="0"/>
      <c r="I384" s="0"/>
      <c r="J384" s="0"/>
      <c r="K384" s="0"/>
      <c r="L384" s="0"/>
      <c r="M384" s="0"/>
      <c r="N384" s="0"/>
      <c r="O384" s="0"/>
      <c r="P384" s="0"/>
      <c r="Q384" s="0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</row>
    <row r="385" customFormat="false" ht="12.75" hidden="false" customHeight="false" outlineLevel="0" collapsed="false">
      <c r="A385" s="0"/>
      <c r="B385" s="0"/>
      <c r="C385" s="0"/>
      <c r="D385" s="0"/>
      <c r="E385" s="0"/>
      <c r="F385" s="0"/>
      <c r="G385" s="0"/>
      <c r="H385" s="0"/>
      <c r="I385" s="0"/>
      <c r="J385" s="0"/>
      <c r="K385" s="0"/>
      <c r="L385" s="0"/>
      <c r="M385" s="0"/>
      <c r="N385" s="0"/>
      <c r="O385" s="0"/>
      <c r="P385" s="0"/>
      <c r="Q385" s="0"/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</row>
    <row r="386" customFormat="false" ht="12.75" hidden="false" customHeight="false" outlineLevel="0" collapsed="false">
      <c r="A386" s="0"/>
      <c r="B386" s="0"/>
      <c r="C386" s="0"/>
      <c r="D386" s="0"/>
      <c r="E386" s="0"/>
      <c r="F386" s="0"/>
      <c r="G386" s="0"/>
      <c r="H386" s="0"/>
      <c r="I386" s="0"/>
      <c r="J386" s="0"/>
      <c r="K386" s="0"/>
      <c r="L386" s="0"/>
      <c r="M386" s="0"/>
      <c r="N386" s="0"/>
      <c r="O386" s="0"/>
      <c r="P386" s="0"/>
      <c r="Q386" s="0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</row>
    <row r="387" customFormat="false" ht="12.75" hidden="false" customHeight="false" outlineLevel="0" collapsed="false">
      <c r="A387" s="0"/>
      <c r="B387" s="0"/>
      <c r="C387" s="0"/>
      <c r="D387" s="0"/>
      <c r="E387" s="0"/>
      <c r="F387" s="0"/>
      <c r="G387" s="0"/>
      <c r="H387" s="0"/>
      <c r="I387" s="0"/>
      <c r="J387" s="0"/>
      <c r="K387" s="0"/>
      <c r="L387" s="0"/>
      <c r="M387" s="0"/>
      <c r="N387" s="0"/>
      <c r="O387" s="0"/>
      <c r="P387" s="0"/>
      <c r="Q387" s="0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</row>
    <row r="388" customFormat="false" ht="12.75" hidden="false" customHeight="false" outlineLevel="0" collapsed="false">
      <c r="A388" s="0"/>
      <c r="B388" s="0"/>
      <c r="C388" s="0"/>
      <c r="D388" s="0"/>
      <c r="E388" s="0"/>
      <c r="F388" s="0"/>
      <c r="G388" s="0"/>
      <c r="H388" s="0"/>
      <c r="I388" s="0"/>
      <c r="J388" s="0"/>
      <c r="K388" s="0"/>
      <c r="L388" s="0"/>
      <c r="M388" s="0"/>
      <c r="N388" s="0"/>
      <c r="O388" s="0"/>
      <c r="P388" s="0"/>
      <c r="Q388" s="0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</row>
    <row r="389" customFormat="false" ht="12.75" hidden="false" customHeight="false" outlineLevel="0" collapsed="false">
      <c r="A389" s="0"/>
      <c r="B389" s="0"/>
      <c r="C389" s="0"/>
      <c r="D389" s="0"/>
      <c r="E389" s="0"/>
      <c r="F389" s="0"/>
      <c r="G389" s="0"/>
      <c r="H389" s="0"/>
      <c r="I389" s="0"/>
      <c r="J389" s="0"/>
      <c r="K389" s="0"/>
      <c r="L389" s="0"/>
      <c r="M389" s="0"/>
      <c r="N389" s="0"/>
      <c r="O389" s="0"/>
      <c r="P389" s="0"/>
      <c r="Q389" s="0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</row>
    <row r="390" customFormat="false" ht="12.75" hidden="false" customHeight="false" outlineLevel="0" collapsed="false">
      <c r="A390" s="0"/>
      <c r="B390" s="0"/>
      <c r="C390" s="0"/>
      <c r="D390" s="0"/>
      <c r="E390" s="0"/>
      <c r="F390" s="0"/>
      <c r="G390" s="0"/>
      <c r="H390" s="0"/>
      <c r="I390" s="0"/>
      <c r="J390" s="0"/>
      <c r="K390" s="0"/>
      <c r="L390" s="0"/>
      <c r="M390" s="0"/>
      <c r="N390" s="0"/>
      <c r="O390" s="0"/>
      <c r="P390" s="0"/>
      <c r="Q390" s="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</row>
    <row r="391" customFormat="false" ht="12.75" hidden="false" customHeight="false" outlineLevel="0" collapsed="false">
      <c r="A391" s="0"/>
      <c r="B391" s="0"/>
      <c r="C391" s="0"/>
      <c r="D391" s="0"/>
      <c r="E391" s="0"/>
      <c r="F391" s="0"/>
      <c r="G391" s="0"/>
      <c r="H391" s="0"/>
      <c r="I391" s="0"/>
      <c r="J391" s="0"/>
      <c r="K391" s="0"/>
      <c r="L391" s="0"/>
      <c r="M391" s="0"/>
      <c r="N391" s="0"/>
      <c r="O391" s="0"/>
      <c r="P391" s="0"/>
      <c r="Q391" s="0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</row>
    <row r="392" customFormat="false" ht="12.75" hidden="false" customHeight="false" outlineLevel="0" collapsed="false">
      <c r="A392" s="0"/>
      <c r="B392" s="0"/>
      <c r="C392" s="0"/>
      <c r="D392" s="0"/>
      <c r="E392" s="0"/>
      <c r="F392" s="0"/>
      <c r="G392" s="0"/>
      <c r="H392" s="0"/>
      <c r="I392" s="0"/>
      <c r="J392" s="0"/>
      <c r="K392" s="0"/>
      <c r="L392" s="0"/>
      <c r="M392" s="0"/>
      <c r="N392" s="0"/>
      <c r="O392" s="0"/>
      <c r="P392" s="0"/>
      <c r="Q392" s="0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</row>
    <row r="393" customFormat="false" ht="12.75" hidden="false" customHeight="false" outlineLevel="0" collapsed="false">
      <c r="A393" s="0"/>
      <c r="B393" s="0"/>
      <c r="C393" s="0"/>
      <c r="D393" s="0"/>
      <c r="E393" s="0"/>
      <c r="F393" s="0"/>
      <c r="G393" s="0"/>
      <c r="H393" s="0"/>
      <c r="I393" s="0"/>
      <c r="J393" s="0"/>
      <c r="K393" s="0"/>
      <c r="L393" s="0"/>
      <c r="M393" s="0"/>
      <c r="N393" s="0"/>
      <c r="O393" s="0"/>
      <c r="P393" s="0"/>
      <c r="Q393" s="0"/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</row>
    <row r="394" customFormat="false" ht="12.75" hidden="false" customHeight="false" outlineLevel="0" collapsed="false">
      <c r="A394" s="0"/>
      <c r="B394" s="0"/>
      <c r="C394" s="0"/>
      <c r="D394" s="0"/>
      <c r="E394" s="0"/>
      <c r="F394" s="0"/>
      <c r="G394" s="0"/>
      <c r="H394" s="0"/>
      <c r="I394" s="0"/>
      <c r="J394" s="0"/>
      <c r="K394" s="0"/>
      <c r="L394" s="0"/>
      <c r="M394" s="0"/>
      <c r="N394" s="0"/>
      <c r="O394" s="0"/>
      <c r="P394" s="0"/>
      <c r="Q394" s="0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</row>
    <row r="395" customFormat="false" ht="12.75" hidden="false" customHeight="false" outlineLevel="0" collapsed="false">
      <c r="A395" s="0"/>
      <c r="B395" s="0"/>
      <c r="C395" s="0"/>
      <c r="D395" s="0"/>
      <c r="E395" s="0"/>
      <c r="F395" s="0"/>
      <c r="G395" s="0"/>
      <c r="H395" s="0"/>
      <c r="I395" s="0"/>
      <c r="J395" s="0"/>
      <c r="K395" s="0"/>
      <c r="L395" s="0"/>
      <c r="M395" s="0"/>
      <c r="N395" s="0"/>
      <c r="O395" s="0"/>
      <c r="P395" s="0"/>
      <c r="Q395" s="0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</row>
    <row r="396" customFormat="false" ht="12.75" hidden="false" customHeight="false" outlineLevel="0" collapsed="false">
      <c r="A396" s="0"/>
      <c r="B396" s="0"/>
      <c r="C396" s="0"/>
      <c r="D396" s="0"/>
      <c r="E396" s="0"/>
      <c r="F396" s="0"/>
      <c r="G396" s="0"/>
      <c r="H396" s="0"/>
      <c r="I396" s="0"/>
      <c r="J396" s="0"/>
      <c r="K396" s="0"/>
      <c r="L396" s="0"/>
      <c r="M396" s="0"/>
      <c r="N396" s="0"/>
      <c r="O396" s="0"/>
      <c r="P396" s="0"/>
      <c r="Q396" s="0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</row>
    <row r="397" customFormat="false" ht="12.75" hidden="false" customHeight="false" outlineLevel="0" collapsed="false">
      <c r="A397" s="0"/>
      <c r="B397" s="0"/>
      <c r="C397" s="0"/>
      <c r="D397" s="0"/>
      <c r="E397" s="0"/>
      <c r="F397" s="0"/>
      <c r="G397" s="0"/>
      <c r="H397" s="0"/>
      <c r="I397" s="0"/>
      <c r="J397" s="0"/>
      <c r="K397" s="0"/>
      <c r="L397" s="0"/>
      <c r="M397" s="0"/>
      <c r="N397" s="0"/>
      <c r="O397" s="0"/>
      <c r="P397" s="0"/>
      <c r="Q397" s="0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</row>
    <row r="398" customFormat="false" ht="12.75" hidden="false" customHeight="false" outlineLevel="0" collapsed="false">
      <c r="A398" s="0"/>
      <c r="B398" s="0"/>
      <c r="C398" s="0"/>
      <c r="D398" s="0"/>
      <c r="E398" s="0"/>
      <c r="F398" s="0"/>
      <c r="G398" s="0"/>
      <c r="H398" s="0"/>
      <c r="I398" s="0"/>
      <c r="J398" s="0"/>
      <c r="K398" s="0"/>
      <c r="L398" s="0"/>
      <c r="M398" s="0"/>
      <c r="N398" s="0"/>
      <c r="O398" s="0"/>
      <c r="P398" s="0"/>
      <c r="Q398" s="0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</row>
    <row r="399" customFormat="false" ht="12.75" hidden="false" customHeight="false" outlineLevel="0" collapsed="false">
      <c r="A399" s="0"/>
      <c r="B399" s="0"/>
      <c r="C399" s="0"/>
      <c r="D399" s="0"/>
      <c r="E399" s="0"/>
      <c r="F399" s="0"/>
      <c r="G399" s="0"/>
      <c r="H399" s="0"/>
      <c r="I399" s="0"/>
      <c r="J399" s="0"/>
      <c r="K399" s="0"/>
      <c r="L399" s="0"/>
      <c r="M399" s="0"/>
      <c r="N399" s="0"/>
      <c r="O399" s="0"/>
      <c r="P399" s="0"/>
      <c r="Q399" s="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</row>
    <row r="400" customFormat="false" ht="12.75" hidden="false" customHeight="false" outlineLevel="0" collapsed="false">
      <c r="A400" s="0"/>
      <c r="B400" s="0"/>
      <c r="C400" s="0"/>
      <c r="D400" s="0"/>
      <c r="E400" s="0"/>
      <c r="F400" s="0"/>
      <c r="G400" s="0"/>
      <c r="H400" s="0"/>
      <c r="I400" s="0"/>
      <c r="J400" s="0"/>
      <c r="K400" s="0"/>
      <c r="L400" s="0"/>
      <c r="M400" s="0"/>
      <c r="N400" s="0"/>
      <c r="O400" s="0"/>
      <c r="P400" s="0"/>
      <c r="Q400" s="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</row>
    <row r="401" customFormat="false" ht="12.75" hidden="false" customHeight="false" outlineLevel="0" collapsed="false">
      <c r="A401" s="0"/>
      <c r="B401" s="0"/>
      <c r="C401" s="0"/>
      <c r="D401" s="0"/>
      <c r="E401" s="0"/>
      <c r="F401" s="0"/>
      <c r="G401" s="0"/>
      <c r="H401" s="0"/>
      <c r="I401" s="0"/>
      <c r="J401" s="0"/>
      <c r="K401" s="0"/>
      <c r="L401" s="0"/>
      <c r="M401" s="0"/>
      <c r="N401" s="0"/>
      <c r="O401" s="0"/>
      <c r="P401" s="0"/>
      <c r="Q401" s="0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</row>
    <row r="402" customFormat="false" ht="12.75" hidden="false" customHeight="false" outlineLevel="0" collapsed="false">
      <c r="A402" s="0"/>
      <c r="B402" s="0"/>
      <c r="C402" s="0"/>
      <c r="D402" s="0"/>
      <c r="E402" s="0"/>
      <c r="F402" s="0"/>
      <c r="G402" s="0"/>
      <c r="H402" s="0"/>
      <c r="I402" s="0"/>
      <c r="J402" s="0"/>
      <c r="K402" s="0"/>
      <c r="L402" s="0"/>
      <c r="M402" s="0"/>
      <c r="N402" s="0"/>
      <c r="O402" s="0"/>
      <c r="P402" s="0"/>
      <c r="Q402" s="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</row>
    <row r="403" customFormat="false" ht="12.75" hidden="false" customHeight="false" outlineLevel="0" collapsed="false">
      <c r="A403" s="0"/>
      <c r="B403" s="0"/>
      <c r="C403" s="0"/>
      <c r="D403" s="0"/>
      <c r="E403" s="0"/>
      <c r="F403" s="0"/>
      <c r="G403" s="0"/>
      <c r="H403" s="0"/>
      <c r="I403" s="0"/>
      <c r="J403" s="0"/>
      <c r="K403" s="0"/>
      <c r="L403" s="0"/>
      <c r="M403" s="0"/>
      <c r="N403" s="0"/>
      <c r="O403" s="0"/>
      <c r="P403" s="0"/>
      <c r="Q403" s="0"/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</row>
    <row r="404" customFormat="false" ht="12.75" hidden="false" customHeight="false" outlineLevel="0" collapsed="false">
      <c r="A404" s="0"/>
      <c r="B404" s="0"/>
      <c r="C404" s="0"/>
      <c r="D404" s="0"/>
      <c r="E404" s="0"/>
      <c r="F404" s="0"/>
      <c r="G404" s="0"/>
      <c r="H404" s="0"/>
      <c r="I404" s="0"/>
      <c r="J404" s="0"/>
      <c r="K404" s="0"/>
      <c r="L404" s="0"/>
      <c r="M404" s="0"/>
      <c r="N404" s="0"/>
      <c r="O404" s="0"/>
      <c r="P404" s="0"/>
      <c r="Q404" s="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</row>
    <row r="405" customFormat="false" ht="12.75" hidden="false" customHeight="false" outlineLevel="0" collapsed="false">
      <c r="A405" s="0"/>
      <c r="B405" s="0"/>
      <c r="C405" s="0"/>
      <c r="D405" s="0"/>
      <c r="E405" s="0"/>
      <c r="F405" s="0"/>
      <c r="G405" s="0"/>
      <c r="H405" s="0"/>
      <c r="I405" s="0"/>
      <c r="J405" s="0"/>
      <c r="K405" s="0"/>
      <c r="L405" s="0"/>
      <c r="M405" s="0"/>
      <c r="N405" s="0"/>
      <c r="O405" s="0"/>
      <c r="P405" s="0"/>
      <c r="Q405" s="0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</row>
    <row r="406" customFormat="false" ht="12.75" hidden="false" customHeight="false" outlineLevel="0" collapsed="false">
      <c r="A406" s="0"/>
      <c r="B406" s="0"/>
      <c r="C406" s="0"/>
      <c r="D406" s="0"/>
      <c r="E406" s="0"/>
      <c r="F406" s="0"/>
      <c r="G406" s="0"/>
      <c r="H406" s="0"/>
      <c r="I406" s="0"/>
      <c r="J406" s="0"/>
      <c r="K406" s="0"/>
      <c r="L406" s="0"/>
      <c r="M406" s="0"/>
      <c r="N406" s="0"/>
      <c r="O406" s="0"/>
      <c r="P406" s="0"/>
      <c r="Q406" s="0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</row>
    <row r="407" customFormat="false" ht="12.75" hidden="false" customHeight="false" outlineLevel="0" collapsed="false">
      <c r="A407" s="0"/>
      <c r="B407" s="0"/>
      <c r="C407" s="0"/>
      <c r="D407" s="0"/>
      <c r="E407" s="0"/>
      <c r="F407" s="0"/>
      <c r="G407" s="0"/>
      <c r="H407" s="0"/>
      <c r="I407" s="0"/>
      <c r="J407" s="0"/>
      <c r="K407" s="0"/>
      <c r="L407" s="0"/>
      <c r="M407" s="0"/>
      <c r="N407" s="0"/>
      <c r="O407" s="0"/>
      <c r="P407" s="0"/>
      <c r="Q407" s="0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</row>
    <row r="408" customFormat="false" ht="12.75" hidden="false" customHeight="false" outlineLevel="0" collapsed="false">
      <c r="A408" s="0"/>
      <c r="B408" s="0"/>
      <c r="C408" s="0"/>
      <c r="D408" s="0"/>
      <c r="E408" s="0"/>
      <c r="F408" s="0"/>
      <c r="G408" s="0"/>
      <c r="H408" s="0"/>
      <c r="I408" s="0"/>
      <c r="J408" s="0"/>
      <c r="K408" s="0"/>
      <c r="L408" s="0"/>
      <c r="M408" s="0"/>
      <c r="N408" s="0"/>
      <c r="O408" s="0"/>
      <c r="P408" s="0"/>
      <c r="Q408" s="0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</row>
    <row r="409" customFormat="false" ht="12.75" hidden="false" customHeight="false" outlineLevel="0" collapsed="false">
      <c r="A409" s="0"/>
      <c r="B409" s="0"/>
      <c r="C409" s="0"/>
      <c r="D409" s="0"/>
      <c r="E409" s="0"/>
      <c r="F409" s="0"/>
      <c r="G409" s="0"/>
      <c r="H409" s="0"/>
      <c r="I409" s="0"/>
      <c r="J409" s="0"/>
      <c r="K409" s="0"/>
      <c r="L409" s="0"/>
      <c r="M409" s="0"/>
      <c r="N409" s="0"/>
      <c r="O409" s="0"/>
      <c r="P409" s="0"/>
      <c r="Q409" s="0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</row>
    <row r="410" customFormat="false" ht="12.75" hidden="false" customHeight="false" outlineLevel="0" collapsed="false">
      <c r="A410" s="0"/>
      <c r="B410" s="0"/>
      <c r="C410" s="0"/>
      <c r="D410" s="0"/>
      <c r="E410" s="0"/>
      <c r="F410" s="0"/>
      <c r="G410" s="0"/>
      <c r="H410" s="0"/>
      <c r="I410" s="0"/>
      <c r="J410" s="0"/>
      <c r="K410" s="0"/>
      <c r="L410" s="0"/>
      <c r="M410" s="0"/>
      <c r="N410" s="0"/>
      <c r="O410" s="0"/>
      <c r="P410" s="0"/>
      <c r="Q410" s="0"/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</row>
    <row r="411" customFormat="false" ht="12.75" hidden="false" customHeight="false" outlineLevel="0" collapsed="false">
      <c r="A411" s="0"/>
      <c r="B411" s="0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</row>
    <row r="412" customFormat="false" ht="12.75" hidden="false" customHeight="false" outlineLevel="0" collapsed="false">
      <c r="A412" s="0"/>
      <c r="B412" s="0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</row>
    <row r="413" customFormat="false" ht="12.75" hidden="false" customHeight="false" outlineLevel="0" collapsed="false">
      <c r="A413" s="0"/>
      <c r="B413" s="0"/>
      <c r="C413" s="0"/>
      <c r="D413" s="0"/>
      <c r="E413" s="0"/>
      <c r="F413" s="0"/>
      <c r="G413" s="0"/>
      <c r="H413" s="0"/>
      <c r="I413" s="0"/>
      <c r="J413" s="0"/>
      <c r="K413" s="0"/>
      <c r="L413" s="0"/>
      <c r="M413" s="0"/>
      <c r="N413" s="0"/>
      <c r="O413" s="0"/>
      <c r="P413" s="0"/>
      <c r="Q413" s="0"/>
      <c r="R413" s="0"/>
      <c r="S413" s="0"/>
      <c r="T413" s="0"/>
      <c r="U413" s="0"/>
      <c r="V413" s="0"/>
      <c r="W413" s="0"/>
      <c r="X413" s="0"/>
      <c r="Y413" s="0"/>
      <c r="Z413" s="0"/>
      <c r="AA413" s="0"/>
      <c r="AB413" s="0"/>
      <c r="AC413" s="0"/>
      <c r="AD413" s="0"/>
      <c r="AE413" s="0"/>
      <c r="AF413" s="0"/>
      <c r="AG413" s="0"/>
      <c r="AH413" s="0"/>
      <c r="AI413" s="0"/>
      <c r="AJ413" s="0"/>
      <c r="AK413" s="0"/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</row>
    <row r="414" customFormat="false" ht="12.75" hidden="false" customHeight="false" outlineLevel="0" collapsed="false">
      <c r="A414" s="0"/>
      <c r="B414" s="0"/>
      <c r="C414" s="0"/>
      <c r="D414" s="0"/>
      <c r="E414" s="0"/>
      <c r="F414" s="0"/>
      <c r="G414" s="0"/>
      <c r="H414" s="0"/>
      <c r="I414" s="0"/>
      <c r="J414" s="0"/>
      <c r="K414" s="0"/>
      <c r="L414" s="0"/>
      <c r="M414" s="0"/>
      <c r="N414" s="0"/>
      <c r="O414" s="0"/>
      <c r="P414" s="0"/>
      <c r="Q414" s="0"/>
      <c r="R414" s="0"/>
      <c r="S414" s="0"/>
      <c r="T414" s="0"/>
      <c r="U414" s="0"/>
      <c r="V414" s="0"/>
      <c r="W414" s="0"/>
      <c r="X414" s="0"/>
      <c r="Y414" s="0"/>
      <c r="Z414" s="0"/>
      <c r="AA414" s="0"/>
      <c r="AB414" s="0"/>
      <c r="AC414" s="0"/>
      <c r="AD414" s="0"/>
      <c r="AE414" s="0"/>
      <c r="AF414" s="0"/>
      <c r="AG414" s="0"/>
      <c r="AH414" s="0"/>
      <c r="AI414" s="0"/>
      <c r="AJ414" s="0"/>
      <c r="AK414" s="0"/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</row>
    <row r="415" customFormat="false" ht="12.75" hidden="false" customHeight="false" outlineLevel="0" collapsed="false">
      <c r="A415" s="0"/>
      <c r="B415" s="0"/>
      <c r="C415" s="0"/>
      <c r="D415" s="0"/>
      <c r="E415" s="0"/>
      <c r="F415" s="0"/>
      <c r="G415" s="0"/>
      <c r="H415" s="0"/>
      <c r="I415" s="0"/>
      <c r="J415" s="0"/>
      <c r="K415" s="0"/>
      <c r="L415" s="0"/>
      <c r="M415" s="0"/>
      <c r="N415" s="0"/>
      <c r="O415" s="0"/>
      <c r="P415" s="0"/>
      <c r="Q415" s="0"/>
      <c r="R415" s="0"/>
      <c r="S415" s="0"/>
      <c r="T415" s="0"/>
      <c r="U415" s="0"/>
      <c r="V415" s="0"/>
      <c r="W415" s="0"/>
      <c r="X415" s="0"/>
      <c r="Y415" s="0"/>
      <c r="Z415" s="0"/>
      <c r="AA415" s="0"/>
      <c r="AB415" s="0"/>
      <c r="AC415" s="0"/>
      <c r="AD415" s="0"/>
      <c r="AE415" s="0"/>
      <c r="AF415" s="0"/>
      <c r="AG415" s="0"/>
      <c r="AH415" s="0"/>
      <c r="AI415" s="0"/>
      <c r="AJ415" s="0"/>
      <c r="AK415" s="0"/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</row>
    <row r="416" customFormat="false" ht="12.75" hidden="false" customHeight="false" outlineLevel="0" collapsed="false">
      <c r="A416" s="0"/>
      <c r="B416" s="0"/>
      <c r="C416" s="0"/>
      <c r="D416" s="0"/>
      <c r="E416" s="0"/>
      <c r="F416" s="0"/>
      <c r="G416" s="0"/>
      <c r="H416" s="0"/>
      <c r="I416" s="0"/>
      <c r="J416" s="0"/>
      <c r="K416" s="0"/>
      <c r="L416" s="0"/>
      <c r="M416" s="0"/>
      <c r="N416" s="0"/>
      <c r="O416" s="0"/>
      <c r="P416" s="0"/>
      <c r="Q416" s="0"/>
      <c r="R416" s="0"/>
      <c r="S416" s="0"/>
      <c r="T416" s="0"/>
      <c r="U416" s="0"/>
      <c r="V416" s="0"/>
      <c r="W416" s="0"/>
      <c r="X416" s="0"/>
      <c r="Y416" s="0"/>
      <c r="Z416" s="0"/>
      <c r="AA416" s="0"/>
      <c r="AB416" s="0"/>
      <c r="AC416" s="0"/>
      <c r="AD416" s="0"/>
      <c r="AE416" s="0"/>
      <c r="AF416" s="0"/>
      <c r="AG416" s="0"/>
      <c r="AH416" s="0"/>
      <c r="AI416" s="0"/>
      <c r="AJ416" s="0"/>
      <c r="AK416" s="0"/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</row>
    <row r="417" customFormat="false" ht="12.75" hidden="false" customHeight="false" outlineLevel="0" collapsed="false">
      <c r="A417" s="0"/>
      <c r="B417" s="0"/>
      <c r="C417" s="0"/>
      <c r="D417" s="0"/>
      <c r="E417" s="0"/>
      <c r="F417" s="0"/>
      <c r="G417" s="0"/>
      <c r="H417" s="0"/>
      <c r="I417" s="0"/>
      <c r="J417" s="0"/>
      <c r="K417" s="0"/>
      <c r="L417" s="0"/>
      <c r="M417" s="0"/>
      <c r="N417" s="0"/>
      <c r="O417" s="0"/>
      <c r="P417" s="0"/>
      <c r="Q417" s="0"/>
      <c r="R417" s="0"/>
      <c r="S417" s="0"/>
      <c r="T417" s="0"/>
      <c r="U417" s="0"/>
      <c r="V417" s="0"/>
      <c r="W417" s="0"/>
      <c r="X417" s="0"/>
      <c r="Y417" s="0"/>
      <c r="Z417" s="0"/>
      <c r="AA417" s="0"/>
      <c r="AB417" s="0"/>
      <c r="AC417" s="0"/>
      <c r="AD417" s="0"/>
      <c r="AE417" s="0"/>
      <c r="AF417" s="0"/>
      <c r="AG417" s="0"/>
      <c r="AH417" s="0"/>
      <c r="AI417" s="0"/>
      <c r="AJ417" s="0"/>
      <c r="AK417" s="0"/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</row>
    <row r="418" customFormat="false" ht="12.75" hidden="false" customHeight="false" outlineLevel="0" collapsed="false">
      <c r="A418" s="0"/>
      <c r="B418" s="0"/>
      <c r="C418" s="0"/>
      <c r="D418" s="0"/>
      <c r="E418" s="0"/>
      <c r="F418" s="0"/>
      <c r="G418" s="0"/>
      <c r="H418" s="0"/>
      <c r="I418" s="0"/>
      <c r="J418" s="0"/>
      <c r="K418" s="0"/>
      <c r="L418" s="0"/>
      <c r="M418" s="0"/>
      <c r="N418" s="0"/>
      <c r="O418" s="0"/>
      <c r="P418" s="0"/>
      <c r="Q418" s="0"/>
      <c r="R418" s="0"/>
      <c r="S418" s="0"/>
      <c r="T418" s="0"/>
      <c r="U418" s="0"/>
      <c r="V418" s="0"/>
      <c r="W418" s="0"/>
      <c r="X418" s="0"/>
      <c r="Y418" s="0"/>
      <c r="Z418" s="0"/>
      <c r="AA418" s="0"/>
      <c r="AB418" s="0"/>
      <c r="AC418" s="0"/>
      <c r="AD418" s="0"/>
      <c r="AE418" s="0"/>
      <c r="AF418" s="0"/>
      <c r="AG418" s="0"/>
      <c r="AH418" s="0"/>
      <c r="AI418" s="0"/>
      <c r="AJ418" s="0"/>
      <c r="AK418" s="0"/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</row>
    <row r="419" customFormat="false" ht="12.75" hidden="false" customHeight="false" outlineLevel="0" collapsed="false">
      <c r="A419" s="0"/>
      <c r="B419" s="0"/>
      <c r="C419" s="0"/>
      <c r="D419" s="0"/>
      <c r="E419" s="0"/>
      <c r="F419" s="0"/>
      <c r="G419" s="0"/>
      <c r="H419" s="0"/>
      <c r="I419" s="0"/>
      <c r="J419" s="0"/>
      <c r="K419" s="0"/>
      <c r="L419" s="0"/>
      <c r="M419" s="0"/>
      <c r="N419" s="0"/>
      <c r="O419" s="0"/>
      <c r="P419" s="0"/>
      <c r="Q419" s="0"/>
      <c r="R419" s="0"/>
      <c r="S419" s="0"/>
      <c r="T419" s="0"/>
      <c r="U419" s="0"/>
      <c r="V419" s="0"/>
      <c r="W419" s="0"/>
      <c r="X419" s="0"/>
      <c r="Y419" s="0"/>
      <c r="Z419" s="0"/>
      <c r="AA419" s="0"/>
      <c r="AB419" s="0"/>
      <c r="AC419" s="0"/>
      <c r="AD419" s="0"/>
      <c r="AE419" s="0"/>
      <c r="AF419" s="0"/>
      <c r="AG419" s="0"/>
      <c r="AH419" s="0"/>
      <c r="AI419" s="0"/>
      <c r="AJ419" s="0"/>
      <c r="AK419" s="0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</row>
    <row r="420" customFormat="false" ht="12.75" hidden="false" customHeight="false" outlineLevel="0" collapsed="false">
      <c r="A420" s="0"/>
      <c r="B420" s="0"/>
      <c r="C420" s="0"/>
      <c r="D420" s="0"/>
      <c r="E420" s="0"/>
      <c r="F420" s="0"/>
      <c r="G420" s="0"/>
      <c r="H420" s="0"/>
      <c r="I420" s="0"/>
      <c r="J420" s="0"/>
      <c r="K420" s="0"/>
      <c r="L420" s="0"/>
      <c r="M420" s="0"/>
      <c r="N420" s="0"/>
      <c r="O420" s="0"/>
      <c r="P420" s="0"/>
      <c r="Q420" s="0"/>
      <c r="R420" s="0"/>
      <c r="S420" s="0"/>
      <c r="T420" s="0"/>
      <c r="U420" s="0"/>
      <c r="V420" s="0"/>
      <c r="W420" s="0"/>
      <c r="X420" s="0"/>
      <c r="Y420" s="0"/>
      <c r="Z420" s="0"/>
      <c r="AA420" s="0"/>
      <c r="AB420" s="0"/>
      <c r="AC420" s="0"/>
      <c r="AD420" s="0"/>
      <c r="AE420" s="0"/>
      <c r="AF420" s="0"/>
      <c r="AG420" s="0"/>
      <c r="AH420" s="0"/>
      <c r="AI420" s="0"/>
      <c r="AJ420" s="0"/>
      <c r="AK420" s="0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</row>
    <row r="421" customFormat="false" ht="12.75" hidden="false" customHeight="false" outlineLevel="0" collapsed="false">
      <c r="A421" s="0"/>
      <c r="B421" s="0"/>
      <c r="C421" s="0"/>
      <c r="D421" s="0"/>
      <c r="E421" s="0"/>
      <c r="F421" s="0"/>
      <c r="G421" s="0"/>
      <c r="H421" s="0"/>
      <c r="I421" s="0"/>
      <c r="J421" s="0"/>
      <c r="K421" s="0"/>
      <c r="L421" s="0"/>
      <c r="M421" s="0"/>
      <c r="N421" s="0"/>
      <c r="O421" s="0"/>
      <c r="P421" s="0"/>
      <c r="Q421" s="0"/>
      <c r="R421" s="0"/>
      <c r="S421" s="0"/>
      <c r="T421" s="0"/>
      <c r="U421" s="0"/>
      <c r="V421" s="0"/>
      <c r="W421" s="0"/>
      <c r="X421" s="0"/>
      <c r="Y421" s="0"/>
      <c r="Z421" s="0"/>
      <c r="AA421" s="0"/>
      <c r="AB421" s="0"/>
      <c r="AC421" s="0"/>
      <c r="AD421" s="0"/>
      <c r="AE421" s="0"/>
      <c r="AF421" s="0"/>
      <c r="AG421" s="0"/>
      <c r="AH421" s="0"/>
      <c r="AI421" s="0"/>
      <c r="AJ421" s="0"/>
      <c r="AK421" s="0"/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</row>
    <row r="422" customFormat="false" ht="12.75" hidden="false" customHeight="false" outlineLevel="0" collapsed="false">
      <c r="A422" s="0"/>
      <c r="B422" s="0"/>
      <c r="C422" s="0"/>
      <c r="D422" s="0"/>
      <c r="E422" s="0"/>
      <c r="F422" s="0"/>
      <c r="G422" s="0"/>
      <c r="H422" s="0"/>
      <c r="I422" s="0"/>
      <c r="J422" s="0"/>
      <c r="K422" s="0"/>
      <c r="L422" s="0"/>
      <c r="M422" s="0"/>
      <c r="N422" s="0"/>
      <c r="O422" s="0"/>
      <c r="P422" s="0"/>
      <c r="Q422" s="0"/>
      <c r="R422" s="0"/>
      <c r="S422" s="0"/>
      <c r="T422" s="0"/>
      <c r="U422" s="0"/>
      <c r="V422" s="0"/>
      <c r="W422" s="0"/>
      <c r="X422" s="0"/>
      <c r="Y422" s="0"/>
      <c r="Z422" s="0"/>
      <c r="AA422" s="0"/>
      <c r="AB422" s="0"/>
      <c r="AC422" s="0"/>
      <c r="AD422" s="0"/>
      <c r="AE422" s="0"/>
      <c r="AF422" s="0"/>
      <c r="AG422" s="0"/>
      <c r="AH422" s="0"/>
      <c r="AI422" s="0"/>
      <c r="AJ422" s="0"/>
      <c r="AK422" s="0"/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</row>
    <row r="423" customFormat="false" ht="12.75" hidden="false" customHeight="false" outlineLevel="0" collapsed="false">
      <c r="A423" s="0"/>
      <c r="B423" s="0"/>
      <c r="C423" s="0"/>
      <c r="D423" s="0"/>
      <c r="E423" s="0"/>
      <c r="F423" s="0"/>
      <c r="G423" s="0"/>
      <c r="H423" s="0"/>
      <c r="I423" s="0"/>
      <c r="J423" s="0"/>
      <c r="K423" s="0"/>
      <c r="L423" s="0"/>
      <c r="M423" s="0"/>
      <c r="N423" s="0"/>
      <c r="O423" s="0"/>
      <c r="P423" s="0"/>
      <c r="Q423" s="0"/>
      <c r="R423" s="0"/>
      <c r="S423" s="0"/>
      <c r="T423" s="0"/>
      <c r="U423" s="0"/>
      <c r="V423" s="0"/>
      <c r="W423" s="0"/>
      <c r="X423" s="0"/>
      <c r="Y423" s="0"/>
      <c r="Z423" s="0"/>
      <c r="AA423" s="0"/>
      <c r="AB423" s="0"/>
      <c r="AC423" s="0"/>
      <c r="AD423" s="0"/>
      <c r="AE423" s="0"/>
      <c r="AF423" s="0"/>
      <c r="AG423" s="0"/>
      <c r="AH423" s="0"/>
      <c r="AI423" s="0"/>
      <c r="AJ423" s="0"/>
      <c r="AK423" s="0"/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</row>
    <row r="424" customFormat="false" ht="12.75" hidden="false" customHeight="false" outlineLevel="0" collapsed="false">
      <c r="A424" s="0"/>
      <c r="B424" s="0"/>
      <c r="C424" s="0"/>
      <c r="D424" s="0"/>
      <c r="E424" s="0"/>
      <c r="F424" s="0"/>
      <c r="G424" s="0"/>
      <c r="H424" s="0"/>
      <c r="I424" s="0"/>
      <c r="J424" s="0"/>
      <c r="K424" s="0"/>
      <c r="L424" s="0"/>
      <c r="M424" s="0"/>
      <c r="N424" s="0"/>
      <c r="O424" s="0"/>
      <c r="P424" s="0"/>
      <c r="Q424" s="0"/>
      <c r="R424" s="0"/>
      <c r="S424" s="0"/>
      <c r="T424" s="0"/>
      <c r="U424" s="0"/>
      <c r="V424" s="0"/>
      <c r="W424" s="0"/>
      <c r="X424" s="0"/>
      <c r="Y424" s="0"/>
      <c r="Z424" s="0"/>
      <c r="AA424" s="0"/>
      <c r="AB424" s="0"/>
      <c r="AC424" s="0"/>
      <c r="AD424" s="0"/>
      <c r="AE424" s="0"/>
      <c r="AF424" s="0"/>
      <c r="AG424" s="0"/>
      <c r="AH424" s="0"/>
      <c r="AI424" s="0"/>
      <c r="AJ424" s="0"/>
      <c r="AK424" s="0"/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</row>
    <row r="425" customFormat="false" ht="12.75" hidden="false" customHeight="false" outlineLevel="0" collapsed="false">
      <c r="A425" s="0"/>
      <c r="B425" s="0"/>
      <c r="C425" s="0"/>
      <c r="D425" s="0"/>
      <c r="E425" s="0"/>
      <c r="F425" s="0"/>
      <c r="G425" s="0"/>
      <c r="H425" s="0"/>
      <c r="I425" s="0"/>
      <c r="J425" s="0"/>
      <c r="K425" s="0"/>
      <c r="L425" s="0"/>
      <c r="M425" s="0"/>
      <c r="N425" s="0"/>
      <c r="O425" s="0"/>
      <c r="P425" s="0"/>
      <c r="Q425" s="0"/>
      <c r="R425" s="0"/>
      <c r="S425" s="0"/>
      <c r="T425" s="0"/>
      <c r="U425" s="0"/>
      <c r="V425" s="0"/>
      <c r="W425" s="0"/>
      <c r="X425" s="0"/>
      <c r="Y425" s="0"/>
      <c r="Z425" s="0"/>
      <c r="AA425" s="0"/>
      <c r="AB425" s="0"/>
      <c r="AC425" s="0"/>
      <c r="AD425" s="0"/>
      <c r="AE425" s="0"/>
      <c r="AF425" s="0"/>
      <c r="AG425" s="0"/>
      <c r="AH425" s="0"/>
      <c r="AI425" s="0"/>
      <c r="AJ425" s="0"/>
      <c r="AK425" s="0"/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</row>
    <row r="426" customFormat="false" ht="12.75" hidden="false" customHeight="false" outlineLevel="0" collapsed="false">
      <c r="A426" s="0"/>
      <c r="B426" s="0"/>
      <c r="C426" s="0"/>
      <c r="D426" s="0"/>
      <c r="E426" s="0"/>
      <c r="F426" s="0"/>
      <c r="G426" s="0"/>
      <c r="H426" s="0"/>
      <c r="I426" s="0"/>
      <c r="J426" s="0"/>
      <c r="K426" s="0"/>
      <c r="L426" s="0"/>
      <c r="M426" s="0"/>
      <c r="N426" s="0"/>
      <c r="O426" s="0"/>
      <c r="P426" s="0"/>
      <c r="Q426" s="0"/>
      <c r="R426" s="0"/>
      <c r="S426" s="0"/>
      <c r="T426" s="0"/>
      <c r="U426" s="0"/>
      <c r="V426" s="0"/>
      <c r="W426" s="0"/>
      <c r="X426" s="0"/>
      <c r="Y426" s="0"/>
      <c r="Z426" s="0"/>
      <c r="AA426" s="0"/>
      <c r="AB426" s="0"/>
      <c r="AC426" s="0"/>
      <c r="AD426" s="0"/>
      <c r="AE426" s="0"/>
      <c r="AF426" s="0"/>
      <c r="AG426" s="0"/>
      <c r="AH426" s="0"/>
      <c r="AI426" s="0"/>
      <c r="AJ426" s="0"/>
      <c r="AK426" s="0"/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</row>
    <row r="427" customFormat="false" ht="12.75" hidden="false" customHeight="false" outlineLevel="0" collapsed="false">
      <c r="A427" s="0"/>
      <c r="B427" s="0"/>
      <c r="C427" s="0"/>
      <c r="D427" s="0"/>
      <c r="E427" s="0"/>
      <c r="F427" s="0"/>
      <c r="G427" s="0"/>
      <c r="H427" s="0"/>
      <c r="I427" s="0"/>
      <c r="J427" s="0"/>
      <c r="K427" s="0"/>
      <c r="L427" s="0"/>
      <c r="M427" s="0"/>
      <c r="N427" s="0"/>
      <c r="O427" s="0"/>
      <c r="P427" s="0"/>
      <c r="Q427" s="0"/>
      <c r="R427" s="0"/>
      <c r="S427" s="0"/>
      <c r="T427" s="0"/>
      <c r="U427" s="0"/>
      <c r="V427" s="0"/>
      <c r="W427" s="0"/>
      <c r="X427" s="0"/>
      <c r="Y427" s="0"/>
      <c r="Z427" s="0"/>
      <c r="AA427" s="0"/>
      <c r="AB427" s="0"/>
      <c r="AC427" s="0"/>
      <c r="AD427" s="0"/>
      <c r="AE427" s="0"/>
      <c r="AF427" s="0"/>
      <c r="AG427" s="0"/>
      <c r="AH427" s="0"/>
      <c r="AI427" s="0"/>
      <c r="AJ427" s="0"/>
      <c r="AK427" s="0"/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</row>
    <row r="428" customFormat="false" ht="12.75" hidden="false" customHeight="false" outlineLevel="0" collapsed="false">
      <c r="A428" s="0"/>
      <c r="B428" s="0"/>
      <c r="C428" s="0"/>
      <c r="D428" s="0"/>
      <c r="E428" s="0"/>
      <c r="F428" s="0"/>
      <c r="G428" s="0"/>
      <c r="H428" s="0"/>
      <c r="I428" s="0"/>
      <c r="J428" s="0"/>
      <c r="K428" s="0"/>
      <c r="L428" s="0"/>
      <c r="M428" s="0"/>
      <c r="N428" s="0"/>
      <c r="O428" s="0"/>
      <c r="P428" s="0"/>
      <c r="Q428" s="0"/>
      <c r="R428" s="0"/>
      <c r="S428" s="0"/>
      <c r="T428" s="0"/>
      <c r="U428" s="0"/>
      <c r="V428" s="0"/>
      <c r="W428" s="0"/>
      <c r="X428" s="0"/>
      <c r="Y428" s="0"/>
      <c r="Z428" s="0"/>
      <c r="AA428" s="0"/>
      <c r="AB428" s="0"/>
      <c r="AC428" s="0"/>
      <c r="AD428" s="0"/>
      <c r="AE428" s="0"/>
      <c r="AF428" s="0"/>
      <c r="AG428" s="0"/>
      <c r="AH428" s="0"/>
      <c r="AI428" s="0"/>
      <c r="AJ428" s="0"/>
      <c r="AK428" s="0"/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</row>
    <row r="429" customFormat="false" ht="12.75" hidden="false" customHeight="false" outlineLevel="0" collapsed="false">
      <c r="A429" s="0"/>
      <c r="B429" s="0"/>
      <c r="C429" s="0"/>
      <c r="D429" s="0"/>
      <c r="E429" s="0"/>
      <c r="F429" s="0"/>
      <c r="G429" s="0"/>
      <c r="H429" s="0"/>
      <c r="I429" s="0"/>
      <c r="J429" s="0"/>
      <c r="K429" s="0"/>
      <c r="L429" s="0"/>
      <c r="M429" s="0"/>
      <c r="N429" s="0"/>
      <c r="O429" s="0"/>
      <c r="P429" s="0"/>
      <c r="Q429" s="0"/>
      <c r="R429" s="0"/>
      <c r="S429" s="0"/>
      <c r="T429" s="0"/>
      <c r="U429" s="0"/>
      <c r="V429" s="0"/>
      <c r="W429" s="0"/>
      <c r="X429" s="0"/>
      <c r="Y429" s="0"/>
      <c r="Z429" s="0"/>
      <c r="AA429" s="0"/>
      <c r="AB429" s="0"/>
      <c r="AC429" s="0"/>
      <c r="AD429" s="0"/>
      <c r="AE429" s="0"/>
      <c r="AF429" s="0"/>
      <c r="AG429" s="0"/>
      <c r="AH429" s="0"/>
      <c r="AI429" s="0"/>
      <c r="AJ429" s="0"/>
      <c r="AK429" s="0"/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</row>
    <row r="430" customFormat="false" ht="12.75" hidden="false" customHeight="false" outlineLevel="0" collapsed="false">
      <c r="A430" s="0"/>
      <c r="B430" s="0"/>
      <c r="C430" s="0"/>
      <c r="D430" s="0"/>
      <c r="E430" s="0"/>
      <c r="F430" s="0"/>
      <c r="G430" s="0"/>
      <c r="H430" s="0"/>
      <c r="I430" s="0"/>
      <c r="J430" s="0"/>
      <c r="K430" s="0"/>
      <c r="L430" s="0"/>
      <c r="M430" s="0"/>
      <c r="N430" s="0"/>
      <c r="O430" s="0"/>
      <c r="P430" s="0"/>
      <c r="Q430" s="0"/>
      <c r="R430" s="0"/>
      <c r="S430" s="0"/>
      <c r="T430" s="0"/>
      <c r="U430" s="0"/>
      <c r="V430" s="0"/>
      <c r="W430" s="0"/>
      <c r="X430" s="0"/>
      <c r="Y430" s="0"/>
      <c r="Z430" s="0"/>
      <c r="AA430" s="0"/>
      <c r="AB430" s="0"/>
      <c r="AC430" s="0"/>
      <c r="AD430" s="0"/>
      <c r="AE430" s="0"/>
      <c r="AF430" s="0"/>
      <c r="AG430" s="0"/>
      <c r="AH430" s="0"/>
      <c r="AI430" s="0"/>
      <c r="AJ430" s="0"/>
      <c r="AK430" s="0"/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</row>
    <row r="431" customFormat="false" ht="12.75" hidden="false" customHeight="false" outlineLevel="0" collapsed="false">
      <c r="A431" s="0"/>
      <c r="B431" s="0"/>
      <c r="C431" s="0"/>
      <c r="D431" s="0"/>
      <c r="E431" s="0"/>
      <c r="F431" s="0"/>
      <c r="G431" s="0"/>
      <c r="H431" s="0"/>
      <c r="I431" s="0"/>
      <c r="J431" s="0"/>
      <c r="K431" s="0"/>
      <c r="L431" s="0"/>
      <c r="M431" s="0"/>
      <c r="N431" s="0"/>
      <c r="O431" s="0"/>
      <c r="P431" s="0"/>
      <c r="Q431" s="0"/>
      <c r="R431" s="0"/>
      <c r="S431" s="0"/>
      <c r="T431" s="0"/>
      <c r="U431" s="0"/>
      <c r="V431" s="0"/>
      <c r="W431" s="0"/>
      <c r="X431" s="0"/>
      <c r="Y431" s="0"/>
      <c r="Z431" s="0"/>
      <c r="AA431" s="0"/>
      <c r="AB431" s="0"/>
      <c r="AC431" s="0"/>
      <c r="AD431" s="0"/>
      <c r="AE431" s="0"/>
      <c r="AF431" s="0"/>
      <c r="AG431" s="0"/>
      <c r="AH431" s="0"/>
      <c r="AI431" s="0"/>
      <c r="AJ431" s="0"/>
      <c r="AK431" s="0"/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</row>
    <row r="432" customFormat="false" ht="12.75" hidden="false" customHeight="false" outlineLevel="0" collapsed="false">
      <c r="A432" s="0"/>
      <c r="B432" s="0"/>
      <c r="C432" s="0"/>
      <c r="D432" s="0"/>
      <c r="E432" s="0"/>
      <c r="F432" s="0"/>
      <c r="G432" s="0"/>
      <c r="H432" s="0"/>
      <c r="I432" s="0"/>
      <c r="J432" s="0"/>
      <c r="K432" s="0"/>
      <c r="L432" s="0"/>
      <c r="M432" s="0"/>
      <c r="N432" s="0"/>
      <c r="O432" s="0"/>
      <c r="P432" s="0"/>
      <c r="Q432" s="0"/>
      <c r="R432" s="0"/>
      <c r="S432" s="0"/>
      <c r="T432" s="0"/>
      <c r="U432" s="0"/>
      <c r="V432" s="0"/>
      <c r="W432" s="0"/>
      <c r="X432" s="0"/>
      <c r="Y432" s="0"/>
      <c r="Z432" s="0"/>
      <c r="AA432" s="0"/>
      <c r="AB432" s="0"/>
      <c r="AC432" s="0"/>
      <c r="AD432" s="0"/>
      <c r="AE432" s="0"/>
      <c r="AF432" s="0"/>
      <c r="AG432" s="0"/>
      <c r="AH432" s="0"/>
      <c r="AI432" s="0"/>
      <c r="AJ432" s="0"/>
      <c r="AK432" s="0"/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</row>
    <row r="433" customFormat="false" ht="12.75" hidden="false" customHeight="false" outlineLevel="0" collapsed="false">
      <c r="A433" s="0"/>
      <c r="B433" s="0"/>
      <c r="C433" s="0"/>
      <c r="D433" s="0"/>
      <c r="E433" s="0"/>
      <c r="F433" s="0"/>
      <c r="G433" s="0"/>
      <c r="H433" s="0"/>
      <c r="I433" s="0"/>
      <c r="J433" s="0"/>
      <c r="K433" s="0"/>
      <c r="L433" s="0"/>
      <c r="M433" s="0"/>
      <c r="N433" s="0"/>
      <c r="O433" s="0"/>
      <c r="P433" s="0"/>
      <c r="Q433" s="0"/>
      <c r="R433" s="0"/>
      <c r="S433" s="0"/>
      <c r="T433" s="0"/>
      <c r="U433" s="0"/>
      <c r="V433" s="0"/>
      <c r="W433" s="0"/>
      <c r="X433" s="0"/>
      <c r="Y433" s="0"/>
      <c r="Z433" s="0"/>
      <c r="AA433" s="0"/>
      <c r="AB433" s="0"/>
      <c r="AC433" s="0"/>
      <c r="AD433" s="0"/>
      <c r="AE433" s="0"/>
      <c r="AF433" s="0"/>
      <c r="AG433" s="0"/>
      <c r="AH433" s="0"/>
      <c r="AI433" s="0"/>
      <c r="AJ433" s="0"/>
      <c r="AK433" s="0"/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</row>
    <row r="434" customFormat="false" ht="12.75" hidden="false" customHeight="false" outlineLevel="0" collapsed="false">
      <c r="A434" s="0"/>
      <c r="B434" s="0"/>
      <c r="C434" s="0"/>
      <c r="D434" s="0"/>
      <c r="E434" s="0"/>
      <c r="F434" s="0"/>
      <c r="G434" s="0"/>
      <c r="H434" s="0"/>
      <c r="I434" s="0"/>
      <c r="J434" s="0"/>
      <c r="K434" s="0"/>
      <c r="L434" s="0"/>
      <c r="M434" s="0"/>
      <c r="N434" s="0"/>
      <c r="O434" s="0"/>
      <c r="P434" s="0"/>
      <c r="Q434" s="0"/>
      <c r="R434" s="0"/>
      <c r="S434" s="0"/>
      <c r="T434" s="0"/>
      <c r="U434" s="0"/>
      <c r="V434" s="0"/>
      <c r="W434" s="0"/>
      <c r="X434" s="0"/>
      <c r="Y434" s="0"/>
      <c r="Z434" s="0"/>
      <c r="AA434" s="0"/>
      <c r="AB434" s="0"/>
      <c r="AC434" s="0"/>
      <c r="AD434" s="0"/>
      <c r="AE434" s="0"/>
      <c r="AF434" s="0"/>
      <c r="AG434" s="0"/>
      <c r="AH434" s="0"/>
      <c r="AI434" s="0"/>
      <c r="AJ434" s="0"/>
      <c r="AK434" s="0"/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</row>
    <row r="435" customFormat="false" ht="12.75" hidden="false" customHeight="false" outlineLevel="0" collapsed="false">
      <c r="A435" s="0"/>
      <c r="B435" s="0"/>
      <c r="C435" s="0"/>
      <c r="D435" s="0"/>
      <c r="E435" s="0"/>
      <c r="F435" s="0"/>
      <c r="G435" s="0"/>
      <c r="H435" s="0"/>
      <c r="I435" s="0"/>
      <c r="J435" s="0"/>
      <c r="K435" s="0"/>
      <c r="L435" s="0"/>
      <c r="M435" s="0"/>
      <c r="N435" s="0"/>
      <c r="O435" s="0"/>
      <c r="P435" s="0"/>
      <c r="Q435" s="0"/>
      <c r="R435" s="0"/>
      <c r="S435" s="0"/>
      <c r="T435" s="0"/>
      <c r="U435" s="0"/>
      <c r="V435" s="0"/>
      <c r="W435" s="0"/>
      <c r="X435" s="0"/>
      <c r="Y435" s="0"/>
      <c r="Z435" s="0"/>
      <c r="AA435" s="0"/>
      <c r="AB435" s="0"/>
      <c r="AC435" s="0"/>
      <c r="AD435" s="0"/>
      <c r="AE435" s="0"/>
      <c r="AF435" s="0"/>
      <c r="AG435" s="0"/>
      <c r="AH435" s="0"/>
      <c r="AI435" s="0"/>
      <c r="AJ435" s="0"/>
      <c r="AK435" s="0"/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</row>
    <row r="436" customFormat="false" ht="12.75" hidden="false" customHeight="false" outlineLevel="0" collapsed="false">
      <c r="A436" s="0"/>
      <c r="B436" s="0"/>
      <c r="C436" s="0"/>
      <c r="D436" s="0"/>
      <c r="E436" s="0"/>
      <c r="F436" s="0"/>
      <c r="G436" s="0"/>
      <c r="H436" s="0"/>
      <c r="I436" s="0"/>
      <c r="J436" s="0"/>
      <c r="K436" s="0"/>
      <c r="L436" s="0"/>
      <c r="M436" s="0"/>
      <c r="N436" s="0"/>
      <c r="O436" s="0"/>
      <c r="P436" s="0"/>
      <c r="Q436" s="0"/>
      <c r="R436" s="0"/>
      <c r="S436" s="0"/>
      <c r="T436" s="0"/>
      <c r="U436" s="0"/>
      <c r="V436" s="0"/>
      <c r="W436" s="0"/>
      <c r="X436" s="0"/>
      <c r="Y436" s="0"/>
      <c r="Z436" s="0"/>
      <c r="AA436" s="0"/>
      <c r="AB436" s="0"/>
      <c r="AC436" s="0"/>
      <c r="AD436" s="0"/>
      <c r="AE436" s="0"/>
      <c r="AF436" s="0"/>
      <c r="AG436" s="0"/>
      <c r="AH436" s="0"/>
      <c r="AI436" s="0"/>
      <c r="AJ436" s="0"/>
      <c r="AK436" s="0"/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</row>
    <row r="437" customFormat="false" ht="12.75" hidden="false" customHeight="false" outlineLevel="0" collapsed="false">
      <c r="A437" s="0"/>
      <c r="B437" s="0"/>
      <c r="C437" s="0"/>
      <c r="D437" s="0"/>
      <c r="E437" s="0"/>
      <c r="F437" s="0"/>
      <c r="G437" s="0"/>
      <c r="H437" s="0"/>
      <c r="I437" s="0"/>
      <c r="J437" s="0"/>
      <c r="K437" s="0"/>
      <c r="L437" s="0"/>
      <c r="M437" s="0"/>
      <c r="N437" s="0"/>
      <c r="O437" s="0"/>
      <c r="P437" s="0"/>
      <c r="Q437" s="0"/>
      <c r="R437" s="0"/>
      <c r="S437" s="0"/>
      <c r="T437" s="0"/>
      <c r="U437" s="0"/>
      <c r="V437" s="0"/>
      <c r="W437" s="0"/>
      <c r="X437" s="0"/>
      <c r="Y437" s="0"/>
      <c r="Z437" s="0"/>
      <c r="AA437" s="0"/>
      <c r="AB437" s="0"/>
      <c r="AC437" s="0"/>
      <c r="AD437" s="0"/>
      <c r="AE437" s="0"/>
      <c r="AF437" s="0"/>
      <c r="AG437" s="0"/>
      <c r="AH437" s="0"/>
      <c r="AI437" s="0"/>
      <c r="AJ437" s="0"/>
      <c r="AK437" s="0"/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</row>
    <row r="438" customFormat="false" ht="12.75" hidden="false" customHeight="false" outlineLevel="0" collapsed="false">
      <c r="A438" s="0"/>
      <c r="B438" s="0"/>
      <c r="C438" s="0"/>
      <c r="D438" s="0"/>
      <c r="E438" s="0"/>
      <c r="F438" s="0"/>
      <c r="G438" s="0"/>
      <c r="H438" s="0"/>
      <c r="I438" s="0"/>
      <c r="J438" s="0"/>
      <c r="K438" s="0"/>
      <c r="L438" s="0"/>
      <c r="M438" s="0"/>
      <c r="N438" s="0"/>
      <c r="O438" s="0"/>
      <c r="P438" s="0"/>
      <c r="Q438" s="0"/>
      <c r="R438" s="0"/>
      <c r="S438" s="0"/>
      <c r="T438" s="0"/>
      <c r="U438" s="0"/>
      <c r="V438" s="0"/>
      <c r="W438" s="0"/>
      <c r="X438" s="0"/>
      <c r="Y438" s="0"/>
      <c r="Z438" s="0"/>
      <c r="AA438" s="0"/>
      <c r="AB438" s="0"/>
      <c r="AC438" s="0"/>
      <c r="AD438" s="0"/>
      <c r="AE438" s="0"/>
      <c r="AF438" s="0"/>
      <c r="AG438" s="0"/>
      <c r="AH438" s="0"/>
      <c r="AI438" s="0"/>
      <c r="AJ438" s="0"/>
      <c r="AK438" s="0"/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</row>
    <row r="439" customFormat="false" ht="12.75" hidden="false" customHeight="false" outlineLevel="0" collapsed="false">
      <c r="A439" s="0"/>
      <c r="B439" s="0"/>
      <c r="C439" s="0"/>
      <c r="D439" s="0"/>
      <c r="E439" s="0"/>
      <c r="F439" s="0"/>
      <c r="G439" s="0"/>
      <c r="H439" s="0"/>
      <c r="I439" s="0"/>
      <c r="J439" s="0"/>
      <c r="K439" s="0"/>
      <c r="L439" s="0"/>
      <c r="M439" s="0"/>
      <c r="N439" s="0"/>
      <c r="O439" s="0"/>
      <c r="P439" s="0"/>
      <c r="Q439" s="0"/>
      <c r="R439" s="0"/>
      <c r="S439" s="0"/>
      <c r="T439" s="0"/>
      <c r="U439" s="0"/>
      <c r="V439" s="0"/>
      <c r="W439" s="0"/>
      <c r="X439" s="0"/>
      <c r="Y439" s="0"/>
      <c r="Z439" s="0"/>
      <c r="AA439" s="0"/>
      <c r="AB439" s="0"/>
      <c r="AC439" s="0"/>
      <c r="AD439" s="0"/>
      <c r="AE439" s="0"/>
      <c r="AF439" s="0"/>
      <c r="AG439" s="0"/>
      <c r="AH439" s="0"/>
      <c r="AI439" s="0"/>
      <c r="AJ439" s="0"/>
      <c r="AK439" s="0"/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</row>
    <row r="440" customFormat="false" ht="12.75" hidden="false" customHeight="false" outlineLevel="0" collapsed="false">
      <c r="A440" s="0"/>
      <c r="B440" s="0"/>
      <c r="C440" s="0"/>
      <c r="D440" s="0"/>
      <c r="E440" s="0"/>
      <c r="F440" s="0"/>
      <c r="G440" s="0"/>
      <c r="H440" s="0"/>
      <c r="I440" s="0"/>
      <c r="J440" s="0"/>
      <c r="K440" s="0"/>
      <c r="L440" s="0"/>
      <c r="M440" s="0"/>
      <c r="N440" s="0"/>
      <c r="O440" s="0"/>
      <c r="P440" s="0"/>
      <c r="Q440" s="0"/>
      <c r="R440" s="0"/>
      <c r="S440" s="0"/>
      <c r="T440" s="0"/>
      <c r="U440" s="0"/>
      <c r="V440" s="0"/>
      <c r="W440" s="0"/>
      <c r="X440" s="0"/>
      <c r="Y440" s="0"/>
      <c r="Z440" s="0"/>
      <c r="AA440" s="0"/>
      <c r="AB440" s="0"/>
      <c r="AC440" s="0"/>
      <c r="AD440" s="0"/>
      <c r="AE440" s="0"/>
      <c r="AF440" s="0"/>
      <c r="AG440" s="0"/>
      <c r="AH440" s="0"/>
      <c r="AI440" s="0"/>
      <c r="AJ440" s="0"/>
      <c r="AK440" s="0"/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</row>
    <row r="441" customFormat="false" ht="12.75" hidden="false" customHeight="false" outlineLevel="0" collapsed="false">
      <c r="A441" s="0"/>
      <c r="B441" s="0"/>
      <c r="C441" s="0"/>
      <c r="D441" s="0"/>
      <c r="E441" s="0"/>
      <c r="F441" s="0"/>
      <c r="G441" s="0"/>
      <c r="H441" s="0"/>
      <c r="I441" s="0"/>
      <c r="J441" s="0"/>
      <c r="K441" s="0"/>
      <c r="L441" s="0"/>
      <c r="M441" s="0"/>
      <c r="N441" s="0"/>
      <c r="O441" s="0"/>
      <c r="P441" s="0"/>
      <c r="Q441" s="0"/>
      <c r="R441" s="0"/>
      <c r="S441" s="0"/>
      <c r="T441" s="0"/>
      <c r="U441" s="0"/>
      <c r="V441" s="0"/>
      <c r="W441" s="0"/>
      <c r="X441" s="0"/>
      <c r="Y441" s="0"/>
      <c r="Z441" s="0"/>
      <c r="AA441" s="0"/>
      <c r="AB441" s="0"/>
      <c r="AC441" s="0"/>
      <c r="AD441" s="0"/>
      <c r="AE441" s="0"/>
      <c r="AF441" s="0"/>
      <c r="AG441" s="0"/>
      <c r="AH441" s="0"/>
      <c r="AI441" s="0"/>
      <c r="AJ441" s="0"/>
      <c r="AK441" s="0"/>
      <c r="AL441" s="0"/>
      <c r="AM441" s="0"/>
      <c r="AN441" s="0"/>
      <c r="AO441" s="0"/>
      <c r="AP441" s="0"/>
      <c r="AQ441" s="0"/>
      <c r="AR441" s="0"/>
      <c r="AS441" s="0"/>
      <c r="AT441" s="0"/>
      <c r="AU441" s="0"/>
      <c r="AV441" s="0"/>
      <c r="AW441" s="0"/>
      <c r="AX441" s="0"/>
      <c r="AY441" s="0"/>
      <c r="AZ441" s="0"/>
      <c r="BA441" s="0"/>
      <c r="BB441" s="0"/>
      <c r="BC441" s="0"/>
      <c r="BD441" s="0"/>
      <c r="BE441" s="0"/>
      <c r="BF441" s="0"/>
      <c r="BG441" s="0"/>
      <c r="BH441" s="0"/>
      <c r="BI441" s="0"/>
      <c r="BJ441" s="0"/>
      <c r="BK441" s="0"/>
      <c r="BL441" s="0"/>
      <c r="BM441" s="0"/>
      <c r="BN441" s="0"/>
      <c r="BO441" s="0"/>
      <c r="BP441" s="0"/>
      <c r="BQ441" s="0"/>
      <c r="BR441" s="0"/>
      <c r="BS441" s="0"/>
      <c r="BT441" s="0"/>
      <c r="BU441" s="0"/>
      <c r="BV441" s="0"/>
      <c r="BW441" s="0"/>
      <c r="BX441" s="0"/>
      <c r="BY441" s="0"/>
      <c r="BZ441" s="0"/>
      <c r="CA441" s="0"/>
      <c r="CB441" s="0"/>
      <c r="CC441" s="0"/>
      <c r="CD441" s="0"/>
    </row>
    <row r="442" customFormat="false" ht="12.75" hidden="false" customHeight="false" outlineLevel="0" collapsed="false">
      <c r="A442" s="0"/>
      <c r="B442" s="0"/>
      <c r="C442" s="0"/>
      <c r="D442" s="0"/>
      <c r="E442" s="0"/>
      <c r="F442" s="0"/>
      <c r="G442" s="0"/>
      <c r="H442" s="0"/>
      <c r="I442" s="0"/>
      <c r="J442" s="0"/>
      <c r="K442" s="0"/>
      <c r="L442" s="0"/>
      <c r="M442" s="0"/>
      <c r="N442" s="0"/>
      <c r="O442" s="0"/>
      <c r="P442" s="0"/>
      <c r="Q442" s="0"/>
      <c r="R442" s="0"/>
      <c r="S442" s="0"/>
      <c r="T442" s="0"/>
      <c r="U442" s="0"/>
      <c r="V442" s="0"/>
      <c r="W442" s="0"/>
      <c r="X442" s="0"/>
      <c r="Y442" s="0"/>
      <c r="Z442" s="0"/>
      <c r="AA442" s="0"/>
      <c r="AB442" s="0"/>
      <c r="AC442" s="0"/>
      <c r="AD442" s="0"/>
      <c r="AE442" s="0"/>
      <c r="AF442" s="0"/>
      <c r="AG442" s="0"/>
      <c r="AH442" s="0"/>
      <c r="AI442" s="0"/>
      <c r="AJ442" s="0"/>
      <c r="AK442" s="0"/>
      <c r="AL442" s="0"/>
      <c r="AM442" s="0"/>
      <c r="AN442" s="0"/>
      <c r="AO442" s="0"/>
      <c r="AP442" s="0"/>
      <c r="AQ442" s="0"/>
      <c r="AR442" s="0"/>
      <c r="AS442" s="0"/>
      <c r="AT442" s="0"/>
      <c r="AU442" s="0"/>
      <c r="AV442" s="0"/>
      <c r="AW442" s="0"/>
      <c r="AX442" s="0"/>
      <c r="AY442" s="0"/>
      <c r="AZ442" s="0"/>
      <c r="BA442" s="0"/>
      <c r="BB442" s="0"/>
      <c r="BC442" s="0"/>
      <c r="BD442" s="0"/>
      <c r="BE442" s="0"/>
      <c r="BF442" s="0"/>
      <c r="BG442" s="0"/>
      <c r="BH442" s="0"/>
      <c r="BI442" s="0"/>
      <c r="BJ442" s="0"/>
      <c r="BK442" s="0"/>
      <c r="BL442" s="0"/>
      <c r="BM442" s="0"/>
      <c r="BN442" s="0"/>
      <c r="BO442" s="0"/>
      <c r="BP442" s="0"/>
      <c r="BQ442" s="0"/>
      <c r="BR442" s="0"/>
      <c r="BS442" s="0"/>
      <c r="BT442" s="0"/>
      <c r="BU442" s="0"/>
      <c r="BV442" s="0"/>
      <c r="BW442" s="0"/>
      <c r="BX442" s="0"/>
      <c r="BY442" s="0"/>
      <c r="BZ442" s="0"/>
      <c r="CA442" s="0"/>
      <c r="CB442" s="0"/>
      <c r="CC442" s="0"/>
      <c r="CD442" s="0"/>
    </row>
    <row r="443" customFormat="false" ht="12.75" hidden="false" customHeight="false" outlineLevel="0" collapsed="false">
      <c r="A443" s="0"/>
      <c r="B443" s="0"/>
      <c r="C443" s="0"/>
      <c r="D443" s="0"/>
      <c r="E443" s="0"/>
      <c r="F443" s="0"/>
      <c r="G443" s="0"/>
      <c r="H443" s="0"/>
      <c r="I443" s="0"/>
      <c r="J443" s="0"/>
      <c r="K443" s="0"/>
      <c r="L443" s="0"/>
      <c r="M443" s="0"/>
      <c r="N443" s="0"/>
      <c r="O443" s="0"/>
      <c r="P443" s="0"/>
      <c r="Q443" s="0"/>
      <c r="R443" s="0"/>
      <c r="S443" s="0"/>
      <c r="T443" s="0"/>
      <c r="U443" s="0"/>
      <c r="V443" s="0"/>
      <c r="W443" s="0"/>
      <c r="X443" s="0"/>
      <c r="Y443" s="0"/>
      <c r="Z443" s="0"/>
      <c r="AA443" s="0"/>
      <c r="AB443" s="0"/>
      <c r="AC443" s="0"/>
      <c r="AD443" s="0"/>
      <c r="AE443" s="0"/>
      <c r="AF443" s="0"/>
      <c r="AG443" s="0"/>
      <c r="AH443" s="0"/>
      <c r="AI443" s="0"/>
      <c r="AJ443" s="0"/>
      <c r="AK443" s="0"/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</row>
    <row r="444" customFormat="false" ht="12.75" hidden="false" customHeight="false" outlineLevel="0" collapsed="false">
      <c r="A444" s="0"/>
      <c r="B444" s="0"/>
      <c r="C444" s="0"/>
      <c r="D444" s="0"/>
      <c r="E444" s="0"/>
      <c r="F444" s="0"/>
      <c r="G444" s="0"/>
      <c r="H444" s="0"/>
      <c r="I444" s="0"/>
      <c r="J444" s="0"/>
      <c r="K444" s="0"/>
      <c r="L444" s="0"/>
      <c r="M444" s="0"/>
      <c r="N444" s="0"/>
      <c r="O444" s="0"/>
      <c r="P444" s="0"/>
      <c r="Q444" s="0"/>
      <c r="R444" s="0"/>
      <c r="S444" s="0"/>
      <c r="T444" s="0"/>
      <c r="U444" s="0"/>
      <c r="V444" s="0"/>
      <c r="W444" s="0"/>
      <c r="X444" s="0"/>
      <c r="Y444" s="0"/>
      <c r="Z444" s="0"/>
      <c r="AA444" s="0"/>
      <c r="AB444" s="0"/>
      <c r="AC444" s="0"/>
      <c r="AD444" s="0"/>
      <c r="AE444" s="0"/>
      <c r="AF444" s="0"/>
      <c r="AG444" s="0"/>
      <c r="AH444" s="0"/>
      <c r="AI444" s="0"/>
      <c r="AJ444" s="0"/>
      <c r="AK444" s="0"/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</row>
    <row r="445" customFormat="false" ht="12.75" hidden="false" customHeight="false" outlineLevel="0" collapsed="false">
      <c r="A445" s="0"/>
      <c r="B445" s="0"/>
      <c r="C445" s="0"/>
      <c r="D445" s="0"/>
      <c r="E445" s="0"/>
      <c r="F445" s="0"/>
      <c r="G445" s="0"/>
      <c r="H445" s="0"/>
      <c r="I445" s="0"/>
      <c r="J445" s="0"/>
      <c r="K445" s="0"/>
      <c r="L445" s="0"/>
      <c r="M445" s="0"/>
      <c r="N445" s="0"/>
      <c r="O445" s="0"/>
      <c r="P445" s="0"/>
      <c r="Q445" s="0"/>
      <c r="R445" s="0"/>
      <c r="S445" s="0"/>
      <c r="T445" s="0"/>
      <c r="U445" s="0"/>
      <c r="V445" s="0"/>
      <c r="W445" s="0"/>
      <c r="X445" s="0"/>
      <c r="Y445" s="0"/>
      <c r="Z445" s="0"/>
      <c r="AA445" s="0"/>
      <c r="AB445" s="0"/>
      <c r="AC445" s="0"/>
      <c r="AD445" s="0"/>
      <c r="AE445" s="0"/>
      <c r="AF445" s="0"/>
      <c r="AG445" s="0"/>
      <c r="AH445" s="0"/>
      <c r="AI445" s="0"/>
      <c r="AJ445" s="0"/>
      <c r="AK445" s="0"/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</row>
    <row r="446" customFormat="false" ht="12.75" hidden="false" customHeight="false" outlineLevel="0" collapsed="false">
      <c r="A446" s="0"/>
      <c r="B446" s="0"/>
      <c r="C446" s="0"/>
      <c r="D446" s="0"/>
      <c r="E446" s="0"/>
      <c r="F446" s="0"/>
      <c r="G446" s="0"/>
      <c r="H446" s="0"/>
      <c r="I446" s="0"/>
      <c r="J446" s="0"/>
      <c r="K446" s="0"/>
      <c r="L446" s="0"/>
      <c r="M446" s="0"/>
      <c r="N446" s="0"/>
      <c r="O446" s="0"/>
      <c r="P446" s="0"/>
      <c r="Q446" s="0"/>
      <c r="R446" s="0"/>
      <c r="S446" s="0"/>
      <c r="T446" s="0"/>
      <c r="U446" s="0"/>
      <c r="V446" s="0"/>
      <c r="W446" s="0"/>
      <c r="X446" s="0"/>
      <c r="Y446" s="0"/>
      <c r="Z446" s="0"/>
      <c r="AA446" s="0"/>
      <c r="AB446" s="0"/>
      <c r="AC446" s="0"/>
      <c r="AD446" s="0"/>
      <c r="AE446" s="0"/>
      <c r="AF446" s="0"/>
      <c r="AG446" s="0"/>
      <c r="AH446" s="0"/>
      <c r="AI446" s="0"/>
      <c r="AJ446" s="0"/>
      <c r="AK446" s="0"/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</row>
    <row r="447" customFormat="false" ht="12.75" hidden="false" customHeight="false" outlineLevel="0" collapsed="false">
      <c r="A447" s="0"/>
      <c r="B447" s="0"/>
      <c r="C447" s="0"/>
      <c r="D447" s="0"/>
      <c r="E447" s="0"/>
      <c r="F447" s="0"/>
      <c r="G447" s="0"/>
      <c r="H447" s="0"/>
      <c r="I447" s="0"/>
      <c r="J447" s="0"/>
      <c r="K447" s="0"/>
      <c r="L447" s="0"/>
      <c r="M447" s="0"/>
      <c r="N447" s="0"/>
      <c r="O447" s="0"/>
      <c r="P447" s="0"/>
      <c r="Q447" s="0"/>
      <c r="R447" s="0"/>
      <c r="S447" s="0"/>
      <c r="T447" s="0"/>
      <c r="U447" s="0"/>
      <c r="V447" s="0"/>
      <c r="W447" s="0"/>
      <c r="X447" s="0"/>
      <c r="Y447" s="0"/>
      <c r="Z447" s="0"/>
      <c r="AA447" s="0"/>
      <c r="AB447" s="0"/>
      <c r="AC447" s="0"/>
      <c r="AD447" s="0"/>
      <c r="AE447" s="0"/>
      <c r="AF447" s="0"/>
      <c r="AG447" s="0"/>
      <c r="AH447" s="0"/>
      <c r="AI447" s="0"/>
      <c r="AJ447" s="0"/>
      <c r="AK447" s="0"/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</row>
    <row r="448" customFormat="false" ht="12.75" hidden="false" customHeight="false" outlineLevel="0" collapsed="false">
      <c r="A448" s="0"/>
      <c r="B448" s="0"/>
      <c r="C448" s="0"/>
      <c r="D448" s="0"/>
      <c r="E448" s="0"/>
      <c r="F448" s="0"/>
      <c r="G448" s="0"/>
      <c r="H448" s="0"/>
      <c r="I448" s="0"/>
      <c r="J448" s="0"/>
      <c r="K448" s="0"/>
      <c r="L448" s="0"/>
      <c r="M448" s="0"/>
      <c r="N448" s="0"/>
      <c r="O448" s="0"/>
      <c r="P448" s="0"/>
      <c r="Q448" s="0"/>
      <c r="R448" s="0"/>
      <c r="S448" s="0"/>
      <c r="T448" s="0"/>
      <c r="U448" s="0"/>
      <c r="V448" s="0"/>
      <c r="W448" s="0"/>
      <c r="X448" s="0"/>
      <c r="Y448" s="0"/>
      <c r="Z448" s="0"/>
      <c r="AA448" s="0"/>
      <c r="AB448" s="0"/>
      <c r="AC448" s="0"/>
      <c r="AD448" s="0"/>
      <c r="AE448" s="0"/>
      <c r="AF448" s="0"/>
      <c r="AG448" s="0"/>
      <c r="AH448" s="0"/>
      <c r="AI448" s="0"/>
      <c r="AJ448" s="0"/>
      <c r="AK448" s="0"/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</row>
    <row r="449" customFormat="false" ht="12.75" hidden="false" customHeight="false" outlineLevel="0" collapsed="false">
      <c r="A449" s="0"/>
      <c r="B449" s="0"/>
      <c r="C449" s="0"/>
      <c r="D449" s="0"/>
      <c r="E449" s="0"/>
      <c r="F449" s="0"/>
      <c r="G449" s="0"/>
      <c r="H449" s="0"/>
      <c r="I449" s="0"/>
      <c r="J449" s="0"/>
      <c r="K449" s="0"/>
      <c r="L449" s="0"/>
      <c r="M449" s="0"/>
      <c r="N449" s="0"/>
      <c r="O449" s="0"/>
      <c r="P449" s="0"/>
      <c r="Q449" s="0"/>
      <c r="R449" s="0"/>
      <c r="S449" s="0"/>
      <c r="T449" s="0"/>
      <c r="U449" s="0"/>
      <c r="V449" s="0"/>
      <c r="W449" s="0"/>
      <c r="X449" s="0"/>
      <c r="Y449" s="0"/>
      <c r="Z449" s="0"/>
      <c r="AA449" s="0"/>
      <c r="AB449" s="0"/>
      <c r="AC449" s="0"/>
      <c r="AD449" s="0"/>
      <c r="AE449" s="0"/>
      <c r="AF449" s="0"/>
      <c r="AG449" s="0"/>
      <c r="AH449" s="0"/>
      <c r="AI449" s="0"/>
      <c r="AJ449" s="0"/>
      <c r="AK449" s="0"/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</row>
    <row r="450" customFormat="false" ht="12.75" hidden="false" customHeight="false" outlineLevel="0" collapsed="false">
      <c r="A450" s="0"/>
      <c r="B450" s="0"/>
      <c r="C450" s="0"/>
      <c r="D450" s="0"/>
      <c r="E450" s="0"/>
      <c r="F450" s="0"/>
      <c r="G450" s="0"/>
      <c r="H450" s="0"/>
      <c r="I450" s="0"/>
      <c r="J450" s="0"/>
      <c r="K450" s="0"/>
      <c r="L450" s="0"/>
      <c r="M450" s="0"/>
      <c r="N450" s="0"/>
      <c r="O450" s="0"/>
      <c r="P450" s="0"/>
      <c r="Q450" s="0"/>
      <c r="R450" s="0"/>
      <c r="S450" s="0"/>
      <c r="T450" s="0"/>
      <c r="U450" s="0"/>
      <c r="V450" s="0"/>
      <c r="W450" s="0"/>
      <c r="X450" s="0"/>
      <c r="Y450" s="0"/>
      <c r="Z450" s="0"/>
      <c r="AA450" s="0"/>
      <c r="AB450" s="0"/>
      <c r="AC450" s="0"/>
      <c r="AD450" s="0"/>
      <c r="AE450" s="0"/>
      <c r="AF450" s="0"/>
      <c r="AG450" s="0"/>
      <c r="AH450" s="0"/>
      <c r="AI450" s="0"/>
      <c r="AJ450" s="0"/>
      <c r="AK450" s="0"/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</row>
    <row r="451" customFormat="false" ht="12.75" hidden="false" customHeight="false" outlineLevel="0" collapsed="false">
      <c r="A451" s="0"/>
      <c r="B451" s="0"/>
      <c r="C451" s="0"/>
      <c r="D451" s="0"/>
      <c r="E451" s="0"/>
      <c r="F451" s="0"/>
      <c r="G451" s="0"/>
      <c r="H451" s="0"/>
      <c r="I451" s="0"/>
      <c r="J451" s="0"/>
      <c r="K451" s="0"/>
      <c r="L451" s="0"/>
      <c r="M451" s="0"/>
      <c r="N451" s="0"/>
      <c r="O451" s="0"/>
      <c r="P451" s="0"/>
      <c r="Q451" s="0"/>
      <c r="R451" s="0"/>
      <c r="S451" s="0"/>
      <c r="T451" s="0"/>
      <c r="U451" s="0"/>
      <c r="V451" s="0"/>
      <c r="W451" s="0"/>
      <c r="X451" s="0"/>
      <c r="Y451" s="0"/>
      <c r="Z451" s="0"/>
      <c r="AA451" s="0"/>
      <c r="AB451" s="0"/>
      <c r="AC451" s="0"/>
      <c r="AD451" s="0"/>
      <c r="AE451" s="0"/>
      <c r="AF451" s="0"/>
      <c r="AG451" s="0"/>
      <c r="AH451" s="0"/>
      <c r="AI451" s="0"/>
      <c r="AJ451" s="0"/>
      <c r="AK451" s="0"/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</row>
    <row r="452" customFormat="false" ht="12.75" hidden="false" customHeight="false" outlineLevel="0" collapsed="false">
      <c r="A452" s="0"/>
      <c r="B452" s="0"/>
      <c r="C452" s="0"/>
      <c r="D452" s="0"/>
      <c r="E452" s="0"/>
      <c r="F452" s="0"/>
      <c r="G452" s="0"/>
      <c r="H452" s="0"/>
      <c r="I452" s="0"/>
      <c r="J452" s="0"/>
      <c r="K452" s="0"/>
      <c r="L452" s="0"/>
      <c r="M452" s="0"/>
      <c r="N452" s="0"/>
      <c r="O452" s="0"/>
      <c r="P452" s="0"/>
      <c r="Q452" s="0"/>
      <c r="R452" s="0"/>
      <c r="S452" s="0"/>
      <c r="T452" s="0"/>
      <c r="U452" s="0"/>
      <c r="V452" s="0"/>
      <c r="W452" s="0"/>
      <c r="X452" s="0"/>
      <c r="Y452" s="0"/>
      <c r="Z452" s="0"/>
      <c r="AA452" s="0"/>
      <c r="AB452" s="0"/>
      <c r="AC452" s="0"/>
      <c r="AD452" s="0"/>
      <c r="AE452" s="0"/>
      <c r="AF452" s="0"/>
      <c r="AG452" s="0"/>
      <c r="AH452" s="0"/>
      <c r="AI452" s="0"/>
      <c r="AJ452" s="0"/>
      <c r="AK452" s="0"/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</row>
    <row r="453" customFormat="false" ht="12.75" hidden="false" customHeight="false" outlineLevel="0" collapsed="false">
      <c r="A453" s="0"/>
      <c r="B453" s="0"/>
      <c r="C453" s="0"/>
      <c r="D453" s="0"/>
      <c r="E453" s="0"/>
      <c r="F453" s="0"/>
      <c r="G453" s="0"/>
      <c r="H453" s="0"/>
      <c r="I453" s="0"/>
      <c r="J453" s="0"/>
      <c r="K453" s="0"/>
      <c r="L453" s="0"/>
      <c r="M453" s="0"/>
      <c r="N453" s="0"/>
      <c r="O453" s="0"/>
      <c r="P453" s="0"/>
      <c r="Q453" s="0"/>
      <c r="R453" s="0"/>
      <c r="S453" s="0"/>
      <c r="T453" s="0"/>
      <c r="U453" s="0"/>
      <c r="V453" s="0"/>
      <c r="W453" s="0"/>
      <c r="X453" s="0"/>
      <c r="Y453" s="0"/>
      <c r="Z453" s="0"/>
      <c r="AA453" s="0"/>
      <c r="AB453" s="0"/>
      <c r="AC453" s="0"/>
      <c r="AD453" s="0"/>
      <c r="AE453" s="0"/>
      <c r="AF453" s="0"/>
      <c r="AG453" s="0"/>
      <c r="AH453" s="0"/>
      <c r="AI453" s="0"/>
      <c r="AJ453" s="0"/>
      <c r="AK453" s="0"/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</row>
    <row r="454" customFormat="false" ht="12.75" hidden="false" customHeight="false" outlineLevel="0" collapsed="false">
      <c r="A454" s="0"/>
      <c r="B454" s="0"/>
      <c r="C454" s="0"/>
      <c r="D454" s="0"/>
      <c r="E454" s="0"/>
      <c r="F454" s="0"/>
      <c r="G454" s="0"/>
      <c r="H454" s="0"/>
      <c r="I454" s="0"/>
      <c r="J454" s="0"/>
      <c r="K454" s="0"/>
      <c r="L454" s="0"/>
      <c r="M454" s="0"/>
      <c r="N454" s="0"/>
      <c r="O454" s="0"/>
      <c r="P454" s="0"/>
      <c r="Q454" s="0"/>
      <c r="R454" s="0"/>
      <c r="S454" s="0"/>
      <c r="T454" s="0"/>
      <c r="U454" s="0"/>
      <c r="V454" s="0"/>
      <c r="W454" s="0"/>
      <c r="X454" s="0"/>
      <c r="Y454" s="0"/>
      <c r="Z454" s="0"/>
      <c r="AA454" s="0"/>
      <c r="AB454" s="0"/>
      <c r="AC454" s="0"/>
      <c r="AD454" s="0"/>
      <c r="AE454" s="0"/>
      <c r="AF454" s="0"/>
      <c r="AG454" s="0"/>
      <c r="AH454" s="0"/>
      <c r="AI454" s="0"/>
      <c r="AJ454" s="0"/>
      <c r="AK454" s="0"/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</row>
    <row r="455" customFormat="false" ht="12.75" hidden="false" customHeight="false" outlineLevel="0" collapsed="false">
      <c r="A455" s="0"/>
      <c r="B455" s="0"/>
      <c r="C455" s="0"/>
      <c r="D455" s="0"/>
      <c r="E455" s="0"/>
      <c r="F455" s="0"/>
      <c r="G455" s="0"/>
      <c r="H455" s="0"/>
      <c r="I455" s="0"/>
      <c r="J455" s="0"/>
      <c r="K455" s="0"/>
      <c r="L455" s="0"/>
      <c r="M455" s="0"/>
      <c r="N455" s="0"/>
      <c r="O455" s="0"/>
      <c r="P455" s="0"/>
      <c r="Q455" s="0"/>
      <c r="R455" s="0"/>
      <c r="S455" s="0"/>
      <c r="T455" s="0"/>
      <c r="U455" s="0"/>
      <c r="V455" s="0"/>
      <c r="W455" s="0"/>
      <c r="X455" s="0"/>
      <c r="Y455" s="0"/>
      <c r="Z455" s="0"/>
      <c r="AA455" s="0"/>
      <c r="AB455" s="0"/>
      <c r="AC455" s="0"/>
      <c r="AD455" s="0"/>
      <c r="AE455" s="0"/>
      <c r="AF455" s="0"/>
      <c r="AG455" s="0"/>
      <c r="AH455" s="0"/>
      <c r="AI455" s="0"/>
      <c r="AJ455" s="0"/>
      <c r="AK455" s="0"/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</row>
    <row r="456" customFormat="false" ht="12.75" hidden="false" customHeight="false" outlineLevel="0" collapsed="false">
      <c r="A456" s="0"/>
      <c r="B456" s="0"/>
      <c r="C456" s="0"/>
      <c r="D456" s="0"/>
      <c r="E456" s="0"/>
      <c r="F456" s="0"/>
      <c r="G456" s="0"/>
      <c r="H456" s="0"/>
      <c r="I456" s="0"/>
      <c r="J456" s="0"/>
      <c r="K456" s="0"/>
      <c r="L456" s="0"/>
      <c r="M456" s="0"/>
      <c r="N456" s="0"/>
      <c r="O456" s="0"/>
      <c r="P456" s="0"/>
      <c r="Q456" s="0"/>
      <c r="R456" s="0"/>
      <c r="S456" s="0"/>
      <c r="T456" s="0"/>
      <c r="U456" s="0"/>
      <c r="V456" s="0"/>
      <c r="W456" s="0"/>
      <c r="X456" s="0"/>
      <c r="Y456" s="0"/>
      <c r="Z456" s="0"/>
      <c r="AA456" s="0"/>
      <c r="AB456" s="0"/>
      <c r="AC456" s="0"/>
      <c r="AD456" s="0"/>
      <c r="AE456" s="0"/>
      <c r="AF456" s="0"/>
      <c r="AG456" s="0"/>
      <c r="AH456" s="0"/>
      <c r="AI456" s="0"/>
      <c r="AJ456" s="0"/>
      <c r="AK456" s="0"/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</row>
    <row r="457" customFormat="false" ht="12.75" hidden="false" customHeight="false" outlineLevel="0" collapsed="false">
      <c r="A457" s="0"/>
      <c r="B457" s="0"/>
      <c r="C457" s="0"/>
      <c r="D457" s="0"/>
      <c r="E457" s="0"/>
      <c r="F457" s="0"/>
      <c r="G457" s="0"/>
      <c r="H457" s="0"/>
      <c r="I457" s="0"/>
      <c r="J457" s="0"/>
      <c r="K457" s="0"/>
      <c r="L457" s="0"/>
      <c r="M457" s="0"/>
      <c r="N457" s="0"/>
      <c r="O457" s="0"/>
      <c r="P457" s="0"/>
      <c r="Q457" s="0"/>
      <c r="R457" s="0"/>
      <c r="S457" s="0"/>
      <c r="T457" s="0"/>
      <c r="U457" s="0"/>
      <c r="V457" s="0"/>
      <c r="W457" s="0"/>
      <c r="X457" s="0"/>
      <c r="Y457" s="0"/>
      <c r="Z457" s="0"/>
      <c r="AA457" s="0"/>
      <c r="AB457" s="0"/>
      <c r="AC457" s="0"/>
      <c r="AD457" s="0"/>
      <c r="AE457" s="0"/>
      <c r="AF457" s="0"/>
      <c r="AG457" s="0"/>
      <c r="AH457" s="0"/>
      <c r="AI457" s="0"/>
      <c r="AJ457" s="0"/>
      <c r="AK457" s="0"/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</row>
    <row r="458" customFormat="false" ht="12.75" hidden="false" customHeight="false" outlineLevel="0" collapsed="false">
      <c r="A458" s="0"/>
      <c r="B458" s="0"/>
      <c r="C458" s="0"/>
      <c r="D458" s="0"/>
      <c r="E458" s="0"/>
      <c r="F458" s="0"/>
      <c r="G458" s="0"/>
      <c r="H458" s="0"/>
      <c r="I458" s="0"/>
      <c r="J458" s="0"/>
      <c r="K458" s="0"/>
      <c r="L458" s="0"/>
      <c r="M458" s="0"/>
      <c r="N458" s="0"/>
      <c r="O458" s="0"/>
      <c r="P458" s="0"/>
      <c r="Q458" s="0"/>
      <c r="R458" s="0"/>
      <c r="S458" s="0"/>
      <c r="T458" s="0"/>
      <c r="U458" s="0"/>
      <c r="V458" s="0"/>
      <c r="W458" s="0"/>
      <c r="X458" s="0"/>
      <c r="Y458" s="0"/>
      <c r="Z458" s="0"/>
      <c r="AA458" s="0"/>
      <c r="AB458" s="0"/>
      <c r="AC458" s="0"/>
      <c r="AD458" s="0"/>
      <c r="AE458" s="0"/>
      <c r="AF458" s="0"/>
      <c r="AG458" s="0"/>
      <c r="AH458" s="0"/>
      <c r="AI458" s="0"/>
      <c r="AJ458" s="0"/>
      <c r="AK458" s="0"/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</row>
    <row r="459" customFormat="false" ht="12.75" hidden="false" customHeight="false" outlineLevel="0" collapsed="false">
      <c r="A459" s="0"/>
      <c r="B459" s="0"/>
      <c r="C459" s="0"/>
      <c r="D459" s="0"/>
      <c r="E459" s="0"/>
      <c r="F459" s="0"/>
      <c r="G459" s="0"/>
      <c r="H459" s="0"/>
      <c r="I459" s="0"/>
      <c r="J459" s="0"/>
      <c r="K459" s="0"/>
      <c r="L459" s="0"/>
      <c r="M459" s="0"/>
      <c r="N459" s="0"/>
      <c r="O459" s="0"/>
      <c r="P459" s="0"/>
      <c r="Q459" s="0"/>
      <c r="R459" s="0"/>
      <c r="S459" s="0"/>
      <c r="T459" s="0"/>
      <c r="U459" s="0"/>
      <c r="V459" s="0"/>
      <c r="W459" s="0"/>
      <c r="X459" s="0"/>
      <c r="Y459" s="0"/>
      <c r="Z459" s="0"/>
      <c r="AA459" s="0"/>
      <c r="AB459" s="0"/>
      <c r="AC459" s="0"/>
      <c r="AD459" s="0"/>
      <c r="AE459" s="0"/>
      <c r="AF459" s="0"/>
      <c r="AG459" s="0"/>
      <c r="AH459" s="0"/>
      <c r="AI459" s="0"/>
      <c r="AJ459" s="0"/>
      <c r="AK459" s="0"/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</row>
    <row r="460" customFormat="false" ht="12.75" hidden="false" customHeight="false" outlineLevel="0" collapsed="false">
      <c r="A460" s="0"/>
      <c r="B460" s="0"/>
      <c r="C460" s="0"/>
      <c r="D460" s="0"/>
      <c r="E460" s="0"/>
      <c r="F460" s="0"/>
      <c r="G460" s="0"/>
      <c r="H460" s="0"/>
      <c r="I460" s="0"/>
      <c r="J460" s="0"/>
      <c r="K460" s="0"/>
      <c r="L460" s="0"/>
      <c r="M460" s="0"/>
      <c r="N460" s="0"/>
      <c r="O460" s="0"/>
      <c r="P460" s="0"/>
      <c r="Q460" s="0"/>
      <c r="R460" s="0"/>
      <c r="S460" s="0"/>
      <c r="T460" s="0"/>
      <c r="U460" s="0"/>
      <c r="V460" s="0"/>
      <c r="W460" s="0"/>
      <c r="X460" s="0"/>
      <c r="Y460" s="0"/>
      <c r="Z460" s="0"/>
      <c r="AA460" s="0"/>
      <c r="AB460" s="0"/>
      <c r="AC460" s="0"/>
      <c r="AD460" s="0"/>
      <c r="AE460" s="0"/>
      <c r="AF460" s="0"/>
      <c r="AG460" s="0"/>
      <c r="AH460" s="0"/>
      <c r="AI460" s="0"/>
      <c r="AJ460" s="0"/>
      <c r="AK460" s="0"/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</row>
    <row r="461" customFormat="false" ht="12.75" hidden="false" customHeight="false" outlineLevel="0" collapsed="false">
      <c r="A461" s="0"/>
      <c r="B461" s="0"/>
      <c r="C461" s="0"/>
      <c r="D461" s="0"/>
      <c r="E461" s="0"/>
      <c r="F461" s="0"/>
      <c r="G461" s="0"/>
      <c r="H461" s="0"/>
      <c r="I461" s="0"/>
      <c r="J461" s="0"/>
      <c r="K461" s="0"/>
      <c r="L461" s="0"/>
      <c r="M461" s="0"/>
      <c r="N461" s="0"/>
      <c r="O461" s="0"/>
      <c r="P461" s="0"/>
      <c r="Q461" s="0"/>
      <c r="R461" s="0"/>
      <c r="S461" s="0"/>
      <c r="T461" s="0"/>
      <c r="U461" s="0"/>
      <c r="V461" s="0"/>
      <c r="W461" s="0"/>
      <c r="X461" s="0"/>
      <c r="Y461" s="0"/>
      <c r="Z461" s="0"/>
      <c r="AA461" s="0"/>
      <c r="AB461" s="0"/>
      <c r="AC461" s="0"/>
      <c r="AD461" s="0"/>
      <c r="AE461" s="0"/>
      <c r="AF461" s="0"/>
      <c r="AG461" s="0"/>
      <c r="AH461" s="0"/>
      <c r="AI461" s="0"/>
      <c r="AJ461" s="0"/>
      <c r="AK461" s="0"/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</row>
    <row r="462" customFormat="false" ht="12.75" hidden="false" customHeight="false" outlineLevel="0" collapsed="false">
      <c r="A462" s="0"/>
      <c r="B462" s="0"/>
      <c r="C462" s="0"/>
      <c r="D462" s="0"/>
      <c r="E462" s="0"/>
      <c r="F462" s="0"/>
      <c r="G462" s="0"/>
      <c r="H462" s="0"/>
      <c r="I462" s="0"/>
      <c r="J462" s="0"/>
      <c r="K462" s="0"/>
      <c r="L462" s="0"/>
      <c r="M462" s="0"/>
      <c r="N462" s="0"/>
      <c r="O462" s="0"/>
      <c r="P462" s="0"/>
      <c r="Q462" s="0"/>
      <c r="R462" s="0"/>
      <c r="S462" s="0"/>
      <c r="T462" s="0"/>
      <c r="U462" s="0"/>
      <c r="V462" s="0"/>
      <c r="W462" s="0"/>
      <c r="X462" s="0"/>
      <c r="Y462" s="0"/>
      <c r="Z462" s="0"/>
      <c r="AA462" s="0"/>
      <c r="AB462" s="0"/>
      <c r="AC462" s="0"/>
      <c r="AD462" s="0"/>
      <c r="AE462" s="0"/>
      <c r="AF462" s="0"/>
      <c r="AG462" s="0"/>
      <c r="AH462" s="0"/>
      <c r="AI462" s="0"/>
      <c r="AJ462" s="0"/>
      <c r="AK462" s="0"/>
      <c r="AL462" s="0"/>
      <c r="AM462" s="0"/>
      <c r="AN462" s="0"/>
      <c r="AO462" s="0"/>
      <c r="AP462" s="0"/>
      <c r="AQ462" s="0"/>
      <c r="AR462" s="0"/>
      <c r="AS462" s="0"/>
      <c r="AT462" s="0"/>
      <c r="AU462" s="0"/>
      <c r="AV462" s="0"/>
      <c r="AW462" s="0"/>
      <c r="AX462" s="0"/>
      <c r="AY462" s="0"/>
      <c r="AZ462" s="0"/>
      <c r="BA462" s="0"/>
      <c r="BB462" s="0"/>
      <c r="BC462" s="0"/>
      <c r="BD462" s="0"/>
      <c r="BE462" s="0"/>
      <c r="BF462" s="0"/>
      <c r="BG462" s="0"/>
      <c r="BH462" s="0"/>
      <c r="BI462" s="0"/>
      <c r="BJ462" s="0"/>
      <c r="BK462" s="0"/>
      <c r="BL462" s="0"/>
      <c r="BM462" s="0"/>
      <c r="BN462" s="0"/>
      <c r="BO462" s="0"/>
      <c r="BP462" s="0"/>
      <c r="BQ462" s="0"/>
      <c r="BR462" s="0"/>
      <c r="BS462" s="0"/>
      <c r="BT462" s="0"/>
      <c r="BU462" s="0"/>
      <c r="BV462" s="0"/>
      <c r="BW462" s="0"/>
      <c r="BX462" s="0"/>
      <c r="BY462" s="0"/>
      <c r="BZ462" s="0"/>
      <c r="CA462" s="0"/>
      <c r="CB462" s="0"/>
      <c r="CC462" s="0"/>
      <c r="CD462" s="0"/>
    </row>
    <row r="463" customFormat="false" ht="12.75" hidden="false" customHeight="false" outlineLevel="0" collapsed="false">
      <c r="A463" s="0"/>
      <c r="B463" s="0"/>
      <c r="C463" s="0"/>
      <c r="D463" s="0"/>
      <c r="E463" s="0"/>
      <c r="F463" s="0"/>
      <c r="G463" s="0"/>
      <c r="H463" s="0"/>
      <c r="I463" s="0"/>
      <c r="J463" s="0"/>
      <c r="K463" s="0"/>
      <c r="L463" s="0"/>
      <c r="M463" s="0"/>
      <c r="N463" s="0"/>
      <c r="O463" s="0"/>
      <c r="P463" s="0"/>
      <c r="Q463" s="0"/>
      <c r="R463" s="0"/>
      <c r="S463" s="0"/>
      <c r="T463" s="0"/>
      <c r="U463" s="0"/>
      <c r="V463" s="0"/>
      <c r="W463" s="0"/>
      <c r="X463" s="0"/>
      <c r="Y463" s="0"/>
      <c r="Z463" s="0"/>
      <c r="AA463" s="0"/>
      <c r="AB463" s="0"/>
      <c r="AC463" s="0"/>
      <c r="AD463" s="0"/>
      <c r="AE463" s="0"/>
      <c r="AF463" s="0"/>
      <c r="AG463" s="0"/>
      <c r="AH463" s="0"/>
      <c r="AI463" s="0"/>
      <c r="AJ463" s="0"/>
      <c r="AK463" s="0"/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</row>
    <row r="464" customFormat="false" ht="12.75" hidden="false" customHeight="false" outlineLevel="0" collapsed="false">
      <c r="A464" s="0"/>
      <c r="B464" s="0"/>
      <c r="C464" s="0"/>
      <c r="D464" s="0"/>
      <c r="E464" s="0"/>
      <c r="F464" s="0"/>
      <c r="G464" s="0"/>
      <c r="H464" s="0"/>
      <c r="I464" s="0"/>
      <c r="J464" s="0"/>
      <c r="K464" s="0"/>
      <c r="L464" s="0"/>
      <c r="M464" s="0"/>
      <c r="N464" s="0"/>
      <c r="O464" s="0"/>
      <c r="P464" s="0"/>
      <c r="Q464" s="0"/>
      <c r="R464" s="0"/>
      <c r="S464" s="0"/>
      <c r="T464" s="0"/>
      <c r="U464" s="0"/>
      <c r="V464" s="0"/>
      <c r="W464" s="0"/>
      <c r="X464" s="0"/>
      <c r="Y464" s="0"/>
      <c r="Z464" s="0"/>
      <c r="AA464" s="0"/>
      <c r="AB464" s="0"/>
      <c r="AC464" s="0"/>
      <c r="AD464" s="0"/>
      <c r="AE464" s="0"/>
      <c r="AF464" s="0"/>
      <c r="AG464" s="0"/>
      <c r="AH464" s="0"/>
      <c r="AI464" s="0"/>
      <c r="AJ464" s="0"/>
      <c r="AK464" s="0"/>
      <c r="AL464" s="0"/>
      <c r="AM464" s="0"/>
      <c r="AN464" s="0"/>
      <c r="AO464" s="0"/>
      <c r="AP464" s="0"/>
      <c r="AQ464" s="0"/>
      <c r="AR464" s="0"/>
      <c r="AS464" s="0"/>
      <c r="AT464" s="0"/>
      <c r="AU464" s="0"/>
      <c r="AV464" s="0"/>
      <c r="AW464" s="0"/>
      <c r="AX464" s="0"/>
      <c r="AY464" s="0"/>
      <c r="AZ464" s="0"/>
      <c r="BA464" s="0"/>
      <c r="BB464" s="0"/>
      <c r="BC464" s="0"/>
      <c r="BD464" s="0"/>
      <c r="BE464" s="0"/>
      <c r="BF464" s="0"/>
      <c r="BG464" s="0"/>
      <c r="BH464" s="0"/>
      <c r="BI464" s="0"/>
      <c r="BJ464" s="0"/>
      <c r="BK464" s="0"/>
      <c r="BL464" s="0"/>
      <c r="BM464" s="0"/>
      <c r="BN464" s="0"/>
      <c r="BO464" s="0"/>
      <c r="BP464" s="0"/>
      <c r="BQ464" s="0"/>
      <c r="BR464" s="0"/>
      <c r="BS464" s="0"/>
      <c r="BT464" s="0"/>
      <c r="BU464" s="0"/>
      <c r="BV464" s="0"/>
      <c r="BW464" s="0"/>
      <c r="BX464" s="0"/>
      <c r="BY464" s="0"/>
      <c r="BZ464" s="0"/>
      <c r="CA464" s="0"/>
      <c r="CB464" s="0"/>
      <c r="CC464" s="0"/>
      <c r="CD464" s="0"/>
    </row>
    <row r="465" customFormat="false" ht="12.75" hidden="false" customHeight="false" outlineLevel="0" collapsed="false">
      <c r="A465" s="0"/>
      <c r="B465" s="0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</row>
    <row r="466" customFormat="false" ht="12.75" hidden="false" customHeight="false" outlineLevel="0" collapsed="false">
      <c r="A466" s="0"/>
      <c r="B466" s="0"/>
      <c r="C466" s="0"/>
      <c r="D466" s="0"/>
      <c r="E466" s="0"/>
      <c r="F466" s="0"/>
      <c r="G466" s="0"/>
      <c r="H466" s="0"/>
      <c r="I466" s="0"/>
      <c r="J466" s="0"/>
      <c r="K466" s="0"/>
      <c r="L466" s="0"/>
      <c r="M466" s="0"/>
      <c r="N466" s="0"/>
      <c r="O466" s="0"/>
      <c r="P466" s="0"/>
      <c r="Q466" s="0"/>
      <c r="R466" s="0"/>
      <c r="S466" s="0"/>
      <c r="T466" s="0"/>
      <c r="U466" s="0"/>
      <c r="V466" s="0"/>
      <c r="W466" s="0"/>
      <c r="X466" s="0"/>
      <c r="Y466" s="0"/>
      <c r="Z466" s="0"/>
      <c r="AA466" s="0"/>
      <c r="AB466" s="0"/>
      <c r="AC466" s="0"/>
      <c r="AD466" s="0"/>
      <c r="AE466" s="0"/>
      <c r="AF466" s="0"/>
      <c r="AG466" s="0"/>
      <c r="AH466" s="0"/>
      <c r="AI466" s="0"/>
      <c r="AJ466" s="0"/>
      <c r="AK466" s="0"/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</row>
    <row r="467" customFormat="false" ht="12.75" hidden="false" customHeight="false" outlineLevel="0" collapsed="false">
      <c r="A467" s="0"/>
      <c r="B467" s="0"/>
      <c r="C467" s="0"/>
      <c r="D467" s="0"/>
      <c r="E467" s="0"/>
      <c r="F467" s="0"/>
      <c r="G467" s="0"/>
      <c r="H467" s="0"/>
      <c r="I467" s="0"/>
      <c r="J467" s="0"/>
      <c r="K467" s="0"/>
      <c r="L467" s="0"/>
      <c r="M467" s="0"/>
      <c r="N467" s="0"/>
      <c r="O467" s="0"/>
      <c r="P467" s="0"/>
      <c r="Q467" s="0"/>
      <c r="R467" s="0"/>
      <c r="S467" s="0"/>
      <c r="T467" s="0"/>
      <c r="U467" s="0"/>
      <c r="V467" s="0"/>
      <c r="W467" s="0"/>
      <c r="X467" s="0"/>
      <c r="Y467" s="0"/>
      <c r="Z467" s="0"/>
      <c r="AA467" s="0"/>
      <c r="AB467" s="0"/>
      <c r="AC467" s="0"/>
      <c r="AD467" s="0"/>
      <c r="AE467" s="0"/>
      <c r="AF467" s="0"/>
      <c r="AG467" s="0"/>
      <c r="AH467" s="0"/>
      <c r="AI467" s="0"/>
      <c r="AJ467" s="0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</row>
    <row r="468" customFormat="false" ht="12.75" hidden="false" customHeight="false" outlineLevel="0" collapsed="false">
      <c r="A468" s="0"/>
      <c r="B468" s="0"/>
      <c r="C468" s="0"/>
      <c r="D468" s="0"/>
      <c r="E468" s="0"/>
      <c r="F468" s="0"/>
      <c r="G468" s="0"/>
      <c r="H468" s="0"/>
      <c r="I468" s="0"/>
      <c r="J468" s="0"/>
      <c r="K468" s="0"/>
      <c r="L468" s="0"/>
      <c r="M468" s="0"/>
      <c r="N468" s="0"/>
      <c r="O468" s="0"/>
      <c r="P468" s="0"/>
      <c r="Q468" s="0"/>
      <c r="R468" s="0"/>
      <c r="S468" s="0"/>
      <c r="T468" s="0"/>
      <c r="U468" s="0"/>
      <c r="V468" s="0"/>
      <c r="W468" s="0"/>
      <c r="X468" s="0"/>
      <c r="Y468" s="0"/>
      <c r="Z468" s="0"/>
      <c r="AA468" s="0"/>
      <c r="AB468" s="0"/>
      <c r="AC468" s="0"/>
      <c r="AD468" s="0"/>
      <c r="AE468" s="0"/>
      <c r="AF468" s="0"/>
      <c r="AG468" s="0"/>
      <c r="AH468" s="0"/>
      <c r="AI468" s="0"/>
      <c r="AJ468" s="0"/>
      <c r="AK468" s="0"/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</row>
    <row r="469" customFormat="false" ht="12.75" hidden="false" customHeight="false" outlineLevel="0" collapsed="false">
      <c r="A469" s="0"/>
      <c r="B469" s="0"/>
      <c r="C469" s="0"/>
      <c r="D469" s="0"/>
      <c r="E469" s="0"/>
      <c r="F469" s="0"/>
      <c r="G469" s="0"/>
      <c r="H469" s="0"/>
      <c r="I469" s="0"/>
      <c r="J469" s="0"/>
      <c r="K469" s="0"/>
      <c r="L469" s="0"/>
      <c r="M469" s="0"/>
      <c r="N469" s="0"/>
      <c r="O469" s="0"/>
      <c r="P469" s="0"/>
      <c r="Q469" s="0"/>
      <c r="R469" s="0"/>
      <c r="S469" s="0"/>
      <c r="T469" s="0"/>
      <c r="U469" s="0"/>
      <c r="V469" s="0"/>
      <c r="W469" s="0"/>
      <c r="X469" s="0"/>
      <c r="Y469" s="0"/>
      <c r="Z469" s="0"/>
      <c r="AA469" s="0"/>
      <c r="AB469" s="0"/>
      <c r="AC469" s="0"/>
      <c r="AD469" s="0"/>
      <c r="AE469" s="0"/>
      <c r="AF469" s="0"/>
      <c r="AG469" s="0"/>
      <c r="AH469" s="0"/>
      <c r="AI469" s="0"/>
      <c r="AJ469" s="0"/>
      <c r="AK469" s="0"/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</row>
    <row r="470" customFormat="false" ht="12.75" hidden="false" customHeight="false" outlineLevel="0" collapsed="false">
      <c r="A470" s="0"/>
      <c r="B470" s="0"/>
      <c r="C470" s="0"/>
      <c r="D470" s="0"/>
      <c r="E470" s="0"/>
      <c r="F470" s="0"/>
      <c r="G470" s="0"/>
      <c r="H470" s="0"/>
      <c r="I470" s="0"/>
      <c r="J470" s="0"/>
      <c r="K470" s="0"/>
      <c r="L470" s="0"/>
      <c r="M470" s="0"/>
      <c r="N470" s="0"/>
      <c r="O470" s="0"/>
      <c r="P470" s="0"/>
      <c r="Q470" s="0"/>
      <c r="R470" s="0"/>
      <c r="S470" s="0"/>
      <c r="T470" s="0"/>
      <c r="U470" s="0"/>
      <c r="V470" s="0"/>
      <c r="W470" s="0"/>
      <c r="X470" s="0"/>
      <c r="Y470" s="0"/>
      <c r="Z470" s="0"/>
      <c r="AA470" s="0"/>
      <c r="AB470" s="0"/>
      <c r="AC470" s="0"/>
      <c r="AD470" s="0"/>
      <c r="AE470" s="0"/>
      <c r="AF470" s="0"/>
      <c r="AG470" s="0"/>
      <c r="AH470" s="0"/>
      <c r="AI470" s="0"/>
      <c r="AJ470" s="0"/>
      <c r="AK470" s="0"/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</row>
    <row r="471" customFormat="false" ht="12.75" hidden="false" customHeight="false" outlineLevel="0" collapsed="false">
      <c r="A471" s="0"/>
      <c r="B471" s="0"/>
      <c r="C471" s="0"/>
      <c r="D471" s="0"/>
      <c r="E471" s="0"/>
      <c r="F471" s="0"/>
      <c r="G471" s="0"/>
      <c r="H471" s="0"/>
      <c r="I471" s="0"/>
      <c r="J471" s="0"/>
      <c r="K471" s="0"/>
      <c r="L471" s="0"/>
      <c r="M471" s="0"/>
      <c r="N471" s="0"/>
      <c r="O471" s="0"/>
      <c r="P471" s="0"/>
      <c r="Q471" s="0"/>
      <c r="R471" s="0"/>
      <c r="S471" s="0"/>
      <c r="T471" s="0"/>
      <c r="U471" s="0"/>
      <c r="V471" s="0"/>
      <c r="W471" s="0"/>
      <c r="X471" s="0"/>
      <c r="Y471" s="0"/>
      <c r="Z471" s="0"/>
      <c r="AA471" s="0"/>
      <c r="AB471" s="0"/>
      <c r="AC471" s="0"/>
      <c r="AD471" s="0"/>
      <c r="AE471" s="0"/>
      <c r="AF471" s="0"/>
      <c r="AG471" s="0"/>
      <c r="AH471" s="0"/>
      <c r="AI471" s="0"/>
      <c r="AJ471" s="0"/>
      <c r="AK471" s="0"/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</row>
    <row r="472" customFormat="false" ht="12.75" hidden="false" customHeight="false" outlineLevel="0" collapsed="false">
      <c r="A472" s="0"/>
      <c r="B472" s="0"/>
      <c r="C472" s="0"/>
      <c r="D472" s="0"/>
      <c r="E472" s="0"/>
      <c r="F472" s="0"/>
      <c r="G472" s="0"/>
      <c r="H472" s="0"/>
      <c r="I472" s="0"/>
      <c r="J472" s="0"/>
      <c r="K472" s="0"/>
      <c r="L472" s="0"/>
      <c r="M472" s="0"/>
      <c r="N472" s="0"/>
      <c r="O472" s="0"/>
      <c r="P472" s="0"/>
      <c r="Q472" s="0"/>
      <c r="R472" s="0"/>
      <c r="S472" s="0"/>
      <c r="T472" s="0"/>
      <c r="U472" s="0"/>
      <c r="V472" s="0"/>
      <c r="W472" s="0"/>
      <c r="X472" s="0"/>
      <c r="Y472" s="0"/>
      <c r="Z472" s="0"/>
      <c r="AA472" s="0"/>
      <c r="AB472" s="0"/>
      <c r="AC472" s="0"/>
      <c r="AD472" s="0"/>
      <c r="AE472" s="0"/>
      <c r="AF472" s="0"/>
      <c r="AG472" s="0"/>
      <c r="AH472" s="0"/>
      <c r="AI472" s="0"/>
      <c r="AJ472" s="0"/>
      <c r="AK472" s="0"/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</row>
    <row r="473" customFormat="false" ht="12.75" hidden="false" customHeight="false" outlineLevel="0" collapsed="false">
      <c r="A473" s="0"/>
      <c r="B473" s="0"/>
      <c r="C473" s="0"/>
      <c r="D473" s="0"/>
      <c r="E473" s="0"/>
      <c r="F473" s="0"/>
      <c r="G473" s="0"/>
      <c r="H473" s="0"/>
      <c r="I473" s="0"/>
      <c r="J473" s="0"/>
      <c r="K473" s="0"/>
      <c r="L473" s="0"/>
      <c r="M473" s="0"/>
      <c r="N473" s="0"/>
      <c r="O473" s="0"/>
      <c r="P473" s="0"/>
      <c r="Q473" s="0"/>
      <c r="R473" s="0"/>
      <c r="S473" s="0"/>
      <c r="T473" s="0"/>
      <c r="U473" s="0"/>
      <c r="V473" s="0"/>
      <c r="W473" s="0"/>
      <c r="X473" s="0"/>
      <c r="Y473" s="0"/>
      <c r="Z473" s="0"/>
      <c r="AA473" s="0"/>
      <c r="AB473" s="0"/>
      <c r="AC473" s="0"/>
      <c r="AD473" s="0"/>
      <c r="AE473" s="0"/>
      <c r="AF473" s="0"/>
      <c r="AG473" s="0"/>
      <c r="AH473" s="0"/>
      <c r="AI473" s="0"/>
      <c r="AJ473" s="0"/>
      <c r="AK473" s="0"/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</row>
    <row r="474" customFormat="false" ht="12.75" hidden="false" customHeight="false" outlineLevel="0" collapsed="false">
      <c r="A474" s="0"/>
      <c r="B474" s="0"/>
      <c r="C474" s="0"/>
      <c r="D474" s="0"/>
      <c r="E474" s="0"/>
      <c r="F474" s="0"/>
      <c r="G474" s="0"/>
      <c r="H474" s="0"/>
      <c r="I474" s="0"/>
      <c r="J474" s="0"/>
      <c r="K474" s="0"/>
      <c r="L474" s="0"/>
      <c r="M474" s="0"/>
      <c r="N474" s="0"/>
      <c r="O474" s="0"/>
      <c r="P474" s="0"/>
      <c r="Q474" s="0"/>
      <c r="R474" s="0"/>
      <c r="S474" s="0"/>
      <c r="T474" s="0"/>
      <c r="U474" s="0"/>
      <c r="V474" s="0"/>
      <c r="W474" s="0"/>
      <c r="X474" s="0"/>
      <c r="Y474" s="0"/>
      <c r="Z474" s="0"/>
      <c r="AA474" s="0"/>
      <c r="AB474" s="0"/>
      <c r="AC474" s="0"/>
      <c r="AD474" s="0"/>
      <c r="AE474" s="0"/>
      <c r="AF474" s="0"/>
      <c r="AG474" s="0"/>
      <c r="AH474" s="0"/>
      <c r="AI474" s="0"/>
      <c r="AJ474" s="0"/>
      <c r="AK474" s="0"/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</row>
    <row r="475" customFormat="false" ht="12.75" hidden="false" customHeight="false" outlineLevel="0" collapsed="false">
      <c r="A475" s="0"/>
      <c r="B475" s="0"/>
      <c r="C475" s="0"/>
      <c r="D475" s="0"/>
      <c r="E475" s="0"/>
      <c r="F475" s="0"/>
      <c r="G475" s="0"/>
      <c r="H475" s="0"/>
      <c r="I475" s="0"/>
      <c r="J475" s="0"/>
      <c r="K475" s="0"/>
      <c r="L475" s="0"/>
      <c r="M475" s="0"/>
      <c r="N475" s="0"/>
      <c r="O475" s="0"/>
      <c r="P475" s="0"/>
      <c r="Q475" s="0"/>
      <c r="R475" s="0"/>
      <c r="S475" s="0"/>
      <c r="T475" s="0"/>
      <c r="U475" s="0"/>
      <c r="V475" s="0"/>
      <c r="W475" s="0"/>
      <c r="X475" s="0"/>
      <c r="Y475" s="0"/>
      <c r="Z475" s="0"/>
      <c r="AA475" s="0"/>
      <c r="AB475" s="0"/>
      <c r="AC475" s="0"/>
      <c r="AD475" s="0"/>
      <c r="AE475" s="0"/>
      <c r="AF475" s="0"/>
      <c r="AG475" s="0"/>
      <c r="AH475" s="0"/>
      <c r="AI475" s="0"/>
      <c r="AJ475" s="0"/>
      <c r="AK475" s="0"/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</row>
    <row r="476" customFormat="false" ht="12.75" hidden="false" customHeight="false" outlineLevel="0" collapsed="false">
      <c r="A476" s="0"/>
      <c r="B476" s="0"/>
      <c r="C476" s="0"/>
      <c r="D476" s="0"/>
      <c r="E476" s="0"/>
      <c r="F476" s="0"/>
      <c r="G476" s="0"/>
      <c r="H476" s="0"/>
      <c r="I476" s="0"/>
      <c r="J476" s="0"/>
      <c r="K476" s="0"/>
      <c r="L476" s="0"/>
      <c r="M476" s="0"/>
      <c r="N476" s="0"/>
      <c r="O476" s="0"/>
      <c r="P476" s="0"/>
      <c r="Q476" s="0"/>
      <c r="R476" s="0"/>
      <c r="S476" s="0"/>
      <c r="T476" s="0"/>
      <c r="U476" s="0"/>
      <c r="V476" s="0"/>
      <c r="W476" s="0"/>
      <c r="X476" s="0"/>
      <c r="Y476" s="0"/>
      <c r="Z476" s="0"/>
      <c r="AA476" s="0"/>
      <c r="AB476" s="0"/>
      <c r="AC476" s="0"/>
      <c r="AD476" s="0"/>
      <c r="AE476" s="0"/>
      <c r="AF476" s="0"/>
      <c r="AG476" s="0"/>
      <c r="AH476" s="0"/>
      <c r="AI476" s="0"/>
      <c r="AJ476" s="0"/>
      <c r="AK476" s="0"/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</row>
    <row r="477" customFormat="false" ht="12.75" hidden="false" customHeight="false" outlineLevel="0" collapsed="false">
      <c r="A477" s="0"/>
      <c r="B477" s="0"/>
      <c r="C477" s="0"/>
      <c r="D477" s="0"/>
      <c r="E477" s="0"/>
      <c r="F477" s="0"/>
      <c r="G477" s="0"/>
      <c r="H477" s="0"/>
      <c r="I477" s="0"/>
      <c r="J477" s="0"/>
      <c r="K477" s="0"/>
      <c r="L477" s="0"/>
      <c r="M477" s="0"/>
      <c r="N477" s="0"/>
      <c r="O477" s="0"/>
      <c r="P477" s="0"/>
      <c r="Q477" s="0"/>
      <c r="R477" s="0"/>
      <c r="S477" s="0"/>
      <c r="T477" s="0"/>
      <c r="U477" s="0"/>
      <c r="V477" s="0"/>
      <c r="W477" s="0"/>
      <c r="X477" s="0"/>
      <c r="Y477" s="0"/>
      <c r="Z477" s="0"/>
      <c r="AA477" s="0"/>
      <c r="AB477" s="0"/>
      <c r="AC477" s="0"/>
      <c r="AD477" s="0"/>
      <c r="AE477" s="0"/>
      <c r="AF477" s="0"/>
      <c r="AG477" s="0"/>
      <c r="AH477" s="0"/>
      <c r="AI477" s="0"/>
      <c r="AJ477" s="0"/>
      <c r="AK477" s="0"/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</row>
    <row r="478" customFormat="false" ht="12.75" hidden="false" customHeight="false" outlineLevel="0" collapsed="false">
      <c r="A478" s="0"/>
      <c r="B478" s="0"/>
      <c r="C478" s="0"/>
      <c r="D478" s="0"/>
      <c r="E478" s="0"/>
      <c r="F478" s="0"/>
      <c r="G478" s="0"/>
      <c r="H478" s="0"/>
      <c r="I478" s="0"/>
      <c r="J478" s="0"/>
      <c r="K478" s="0"/>
      <c r="L478" s="0"/>
      <c r="M478" s="0"/>
      <c r="N478" s="0"/>
      <c r="O478" s="0"/>
      <c r="P478" s="0"/>
      <c r="Q478" s="0"/>
      <c r="R478" s="0"/>
      <c r="S478" s="0"/>
      <c r="T478" s="0"/>
      <c r="U478" s="0"/>
      <c r="V478" s="0"/>
      <c r="W478" s="0"/>
      <c r="X478" s="0"/>
      <c r="Y478" s="0"/>
      <c r="Z478" s="0"/>
      <c r="AA478" s="0"/>
      <c r="AB478" s="0"/>
      <c r="AC478" s="0"/>
      <c r="AD478" s="0"/>
      <c r="AE478" s="0"/>
      <c r="AF478" s="0"/>
      <c r="AG478" s="0"/>
      <c r="AH478" s="0"/>
      <c r="AI478" s="0"/>
      <c r="AJ478" s="0"/>
      <c r="AK478" s="0"/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</row>
    <row r="479" customFormat="false" ht="12.75" hidden="false" customHeight="false" outlineLevel="0" collapsed="false">
      <c r="A479" s="0"/>
      <c r="B479" s="0"/>
      <c r="C479" s="0"/>
      <c r="D479" s="0"/>
      <c r="E479" s="0"/>
      <c r="F479" s="0"/>
      <c r="G479" s="0"/>
      <c r="H479" s="0"/>
      <c r="I479" s="0"/>
      <c r="J479" s="0"/>
      <c r="K479" s="0"/>
      <c r="L479" s="0"/>
      <c r="M479" s="0"/>
      <c r="N479" s="0"/>
      <c r="O479" s="0"/>
      <c r="P479" s="0"/>
      <c r="Q479" s="0"/>
      <c r="R479" s="0"/>
      <c r="S479" s="0"/>
      <c r="T479" s="0"/>
      <c r="U479" s="0"/>
      <c r="V479" s="0"/>
      <c r="W479" s="0"/>
      <c r="X479" s="0"/>
      <c r="Y479" s="0"/>
      <c r="Z479" s="0"/>
      <c r="AA479" s="0"/>
      <c r="AB479" s="0"/>
      <c r="AC479" s="0"/>
      <c r="AD479" s="0"/>
      <c r="AE479" s="0"/>
      <c r="AF479" s="0"/>
      <c r="AG479" s="0"/>
      <c r="AH479" s="0"/>
      <c r="AI479" s="0"/>
      <c r="AJ479" s="0"/>
      <c r="AK479" s="0"/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</row>
    <row r="480" customFormat="false" ht="12.75" hidden="false" customHeight="false" outlineLevel="0" collapsed="false">
      <c r="A480" s="0"/>
      <c r="B480" s="0"/>
      <c r="C480" s="0"/>
      <c r="D480" s="0"/>
      <c r="E480" s="0"/>
      <c r="F480" s="0"/>
      <c r="G480" s="0"/>
      <c r="H480" s="0"/>
      <c r="I480" s="0"/>
      <c r="J480" s="0"/>
      <c r="K480" s="0"/>
      <c r="L480" s="0"/>
      <c r="M480" s="0"/>
      <c r="N480" s="0"/>
      <c r="O480" s="0"/>
      <c r="P480" s="0"/>
      <c r="Q480" s="0"/>
      <c r="R480" s="0"/>
      <c r="S480" s="0"/>
      <c r="T480" s="0"/>
      <c r="U480" s="0"/>
      <c r="V480" s="0"/>
      <c r="W480" s="0"/>
      <c r="X480" s="0"/>
      <c r="Y480" s="0"/>
      <c r="Z480" s="0"/>
      <c r="AA480" s="0"/>
      <c r="AB480" s="0"/>
      <c r="AC480" s="0"/>
      <c r="AD480" s="0"/>
      <c r="AE480" s="0"/>
      <c r="AF480" s="0"/>
      <c r="AG480" s="0"/>
      <c r="AH480" s="0"/>
      <c r="AI480" s="0"/>
      <c r="AJ480" s="0"/>
      <c r="AK480" s="0"/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</row>
    <row r="481" customFormat="false" ht="12.75" hidden="false" customHeight="false" outlineLevel="0" collapsed="false">
      <c r="A481" s="0"/>
      <c r="B481" s="0"/>
      <c r="C481" s="0"/>
      <c r="D481" s="0"/>
      <c r="E481" s="0"/>
      <c r="F481" s="0"/>
      <c r="G481" s="0"/>
      <c r="H481" s="0"/>
      <c r="I481" s="0"/>
      <c r="J481" s="0"/>
      <c r="K481" s="0"/>
      <c r="L481" s="0"/>
      <c r="M481" s="0"/>
      <c r="N481" s="0"/>
      <c r="O481" s="0"/>
      <c r="P481" s="0"/>
      <c r="Q481" s="0"/>
      <c r="R481" s="0"/>
      <c r="S481" s="0"/>
      <c r="T481" s="0"/>
      <c r="U481" s="0"/>
      <c r="V481" s="0"/>
      <c r="W481" s="0"/>
      <c r="X481" s="0"/>
      <c r="Y481" s="0"/>
      <c r="Z481" s="0"/>
      <c r="AA481" s="0"/>
      <c r="AB481" s="0"/>
      <c r="AC481" s="0"/>
      <c r="AD481" s="0"/>
      <c r="AE481" s="0"/>
      <c r="AF481" s="0"/>
      <c r="AG481" s="0"/>
      <c r="AH481" s="0"/>
      <c r="AI481" s="0"/>
      <c r="AJ481" s="0"/>
      <c r="AK481" s="0"/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</row>
    <row r="482" customFormat="false" ht="12.75" hidden="false" customHeight="false" outlineLevel="0" collapsed="false">
      <c r="A482" s="0"/>
      <c r="B482" s="0"/>
      <c r="C482" s="0"/>
      <c r="D482" s="0"/>
      <c r="E482" s="0"/>
      <c r="F482" s="0"/>
      <c r="G482" s="0"/>
      <c r="H482" s="0"/>
      <c r="I482" s="0"/>
      <c r="J482" s="0"/>
      <c r="K482" s="0"/>
      <c r="L482" s="0"/>
      <c r="M482" s="0"/>
      <c r="N482" s="0"/>
      <c r="O482" s="0"/>
      <c r="P482" s="0"/>
      <c r="Q482" s="0"/>
      <c r="R482" s="0"/>
      <c r="S482" s="0"/>
      <c r="T482" s="0"/>
      <c r="U482" s="0"/>
      <c r="V482" s="0"/>
      <c r="W482" s="0"/>
      <c r="X482" s="0"/>
      <c r="Y482" s="0"/>
      <c r="Z482" s="0"/>
      <c r="AA482" s="0"/>
      <c r="AB482" s="0"/>
      <c r="AC482" s="0"/>
      <c r="AD482" s="0"/>
      <c r="AE482" s="0"/>
      <c r="AF482" s="0"/>
      <c r="AG482" s="0"/>
      <c r="AH482" s="0"/>
      <c r="AI482" s="0"/>
      <c r="AJ482" s="0"/>
      <c r="AK482" s="0"/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</row>
    <row r="483" customFormat="false" ht="12.75" hidden="false" customHeight="false" outlineLevel="0" collapsed="false">
      <c r="A483" s="0"/>
      <c r="B483" s="0"/>
      <c r="C483" s="0"/>
      <c r="D483" s="0"/>
      <c r="E483" s="0"/>
      <c r="F483" s="0"/>
      <c r="G483" s="0"/>
      <c r="H483" s="0"/>
      <c r="I483" s="0"/>
      <c r="J483" s="0"/>
      <c r="K483" s="0"/>
      <c r="L483" s="0"/>
      <c r="M483" s="0"/>
      <c r="N483" s="0"/>
      <c r="O483" s="0"/>
      <c r="P483" s="0"/>
      <c r="Q483" s="0"/>
      <c r="R483" s="0"/>
      <c r="S483" s="0"/>
      <c r="T483" s="0"/>
      <c r="U483" s="0"/>
      <c r="V483" s="0"/>
      <c r="W483" s="0"/>
      <c r="X483" s="0"/>
      <c r="Y483" s="0"/>
      <c r="Z483" s="0"/>
      <c r="AA483" s="0"/>
      <c r="AB483" s="0"/>
      <c r="AC483" s="0"/>
      <c r="AD483" s="0"/>
      <c r="AE483" s="0"/>
      <c r="AF483" s="0"/>
      <c r="AG483" s="0"/>
      <c r="AH483" s="0"/>
      <c r="AI483" s="0"/>
      <c r="AJ483" s="0"/>
      <c r="AK483" s="0"/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</row>
    <row r="484" customFormat="false" ht="12.75" hidden="false" customHeight="false" outlineLevel="0" collapsed="false">
      <c r="A484" s="0"/>
      <c r="B484" s="0"/>
      <c r="C484" s="0"/>
      <c r="D484" s="0"/>
      <c r="E484" s="0"/>
      <c r="F484" s="0"/>
      <c r="G484" s="0"/>
      <c r="H484" s="0"/>
      <c r="I484" s="0"/>
      <c r="J484" s="0"/>
      <c r="K484" s="0"/>
      <c r="L484" s="0"/>
      <c r="M484" s="0"/>
      <c r="N484" s="0"/>
      <c r="O484" s="0"/>
      <c r="P484" s="0"/>
      <c r="Q484" s="0"/>
      <c r="R484" s="0"/>
      <c r="S484" s="0"/>
      <c r="T484" s="0"/>
      <c r="U484" s="0"/>
      <c r="V484" s="0"/>
      <c r="W484" s="0"/>
      <c r="X484" s="0"/>
      <c r="Y484" s="0"/>
      <c r="Z484" s="0"/>
      <c r="AA484" s="0"/>
      <c r="AB484" s="0"/>
      <c r="AC484" s="0"/>
      <c r="AD484" s="0"/>
      <c r="AE484" s="0"/>
      <c r="AF484" s="0"/>
      <c r="AG484" s="0"/>
      <c r="AH484" s="0"/>
      <c r="AI484" s="0"/>
      <c r="AJ484" s="0"/>
      <c r="AK484" s="0"/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</row>
    <row r="485" customFormat="false" ht="12.75" hidden="false" customHeight="false" outlineLevel="0" collapsed="false">
      <c r="A485" s="0"/>
      <c r="B485" s="0"/>
      <c r="C485" s="0"/>
      <c r="D485" s="0"/>
      <c r="E485" s="0"/>
      <c r="F485" s="0"/>
      <c r="G485" s="0"/>
      <c r="H485" s="0"/>
      <c r="I485" s="0"/>
      <c r="J485" s="0"/>
      <c r="K485" s="0"/>
      <c r="L485" s="0"/>
      <c r="M485" s="0"/>
      <c r="N485" s="0"/>
      <c r="O485" s="0"/>
      <c r="P485" s="0"/>
      <c r="Q485" s="0"/>
      <c r="R485" s="0"/>
      <c r="S485" s="0"/>
      <c r="T485" s="0"/>
      <c r="U485" s="0"/>
      <c r="V485" s="0"/>
      <c r="W485" s="0"/>
      <c r="X485" s="0"/>
      <c r="Y485" s="0"/>
      <c r="Z485" s="0"/>
      <c r="AA485" s="0"/>
      <c r="AB485" s="0"/>
      <c r="AC485" s="0"/>
      <c r="AD485" s="0"/>
      <c r="AE485" s="0"/>
      <c r="AF485" s="0"/>
      <c r="AG485" s="0"/>
      <c r="AH485" s="0"/>
      <c r="AI485" s="0"/>
      <c r="AJ485" s="0"/>
      <c r="AK485" s="0"/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</row>
    <row r="486" customFormat="false" ht="12.75" hidden="false" customHeight="false" outlineLevel="0" collapsed="false">
      <c r="A486" s="0"/>
      <c r="B486" s="0"/>
      <c r="C486" s="0"/>
      <c r="D486" s="0"/>
      <c r="E486" s="0"/>
      <c r="F486" s="0"/>
      <c r="G486" s="0"/>
      <c r="H486" s="0"/>
      <c r="I486" s="0"/>
      <c r="J486" s="0"/>
      <c r="K486" s="0"/>
      <c r="L486" s="0"/>
      <c r="M486" s="0"/>
      <c r="N486" s="0"/>
      <c r="O486" s="0"/>
      <c r="P486" s="0"/>
      <c r="Q486" s="0"/>
      <c r="R486" s="0"/>
      <c r="S486" s="0"/>
      <c r="T486" s="0"/>
      <c r="U486" s="0"/>
      <c r="V486" s="0"/>
      <c r="W486" s="0"/>
      <c r="X486" s="0"/>
      <c r="Y486" s="0"/>
      <c r="Z486" s="0"/>
      <c r="AA486" s="0"/>
      <c r="AB486" s="0"/>
      <c r="AC486" s="0"/>
      <c r="AD486" s="0"/>
      <c r="AE486" s="0"/>
      <c r="AF486" s="0"/>
      <c r="AG486" s="0"/>
      <c r="AH486" s="0"/>
      <c r="AI486" s="0"/>
      <c r="AJ486" s="0"/>
      <c r="AK486" s="0"/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</row>
    <row r="487" customFormat="false" ht="12.75" hidden="false" customHeight="false" outlineLevel="0" collapsed="false">
      <c r="A487" s="0"/>
      <c r="B487" s="0"/>
      <c r="C487" s="0"/>
      <c r="D487" s="0"/>
      <c r="E487" s="0"/>
      <c r="F487" s="0"/>
      <c r="G487" s="0"/>
      <c r="H487" s="0"/>
      <c r="I487" s="0"/>
      <c r="J487" s="0"/>
      <c r="K487" s="0"/>
      <c r="L487" s="0"/>
      <c r="M487" s="0"/>
      <c r="N487" s="0"/>
      <c r="O487" s="0"/>
      <c r="P487" s="0"/>
      <c r="Q487" s="0"/>
      <c r="R487" s="0"/>
      <c r="S487" s="0"/>
      <c r="T487" s="0"/>
      <c r="U487" s="0"/>
      <c r="V487" s="0"/>
      <c r="W487" s="0"/>
      <c r="X487" s="0"/>
      <c r="Y487" s="0"/>
      <c r="Z487" s="0"/>
      <c r="AA487" s="0"/>
      <c r="AB487" s="0"/>
      <c r="AC487" s="0"/>
      <c r="AD487" s="0"/>
      <c r="AE487" s="0"/>
      <c r="AF487" s="0"/>
      <c r="AG487" s="0"/>
      <c r="AH487" s="0"/>
      <c r="AI487" s="0"/>
      <c r="AJ487" s="0"/>
      <c r="AK487" s="0"/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</row>
    <row r="488" customFormat="false" ht="12.75" hidden="false" customHeight="false" outlineLevel="0" collapsed="false">
      <c r="A488" s="0"/>
      <c r="B488" s="0"/>
      <c r="C488" s="0"/>
      <c r="D488" s="0"/>
      <c r="E488" s="0"/>
      <c r="F488" s="0"/>
      <c r="G488" s="0"/>
      <c r="H488" s="0"/>
      <c r="I488" s="0"/>
      <c r="J488" s="0"/>
      <c r="K488" s="0"/>
      <c r="L488" s="0"/>
      <c r="M488" s="0"/>
      <c r="N488" s="0"/>
      <c r="O488" s="0"/>
      <c r="P488" s="0"/>
      <c r="Q488" s="0"/>
      <c r="R488" s="0"/>
      <c r="S488" s="0"/>
      <c r="T488" s="0"/>
      <c r="U488" s="0"/>
      <c r="V488" s="0"/>
      <c r="W488" s="0"/>
      <c r="X488" s="0"/>
      <c r="Y488" s="0"/>
      <c r="Z488" s="0"/>
      <c r="AA488" s="0"/>
      <c r="AB488" s="0"/>
      <c r="AC488" s="0"/>
      <c r="AD488" s="0"/>
      <c r="AE488" s="0"/>
      <c r="AF488" s="0"/>
      <c r="AG488" s="0"/>
      <c r="AH488" s="0"/>
      <c r="AI488" s="0"/>
      <c r="AJ488" s="0"/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</row>
    <row r="489" customFormat="false" ht="12.75" hidden="false" customHeight="false" outlineLevel="0" collapsed="false">
      <c r="A489" s="0"/>
      <c r="B489" s="0"/>
      <c r="C489" s="0"/>
      <c r="D489" s="0"/>
      <c r="E489" s="0"/>
      <c r="F489" s="0"/>
      <c r="G489" s="0"/>
      <c r="H489" s="0"/>
      <c r="I489" s="0"/>
      <c r="J489" s="0"/>
      <c r="K489" s="0"/>
      <c r="L489" s="0"/>
      <c r="M489" s="0"/>
      <c r="N489" s="0"/>
      <c r="O489" s="0"/>
      <c r="P489" s="0"/>
      <c r="Q489" s="0"/>
      <c r="R489" s="0"/>
      <c r="S489" s="0"/>
      <c r="T489" s="0"/>
      <c r="U489" s="0"/>
      <c r="V489" s="0"/>
      <c r="W489" s="0"/>
      <c r="X489" s="0"/>
      <c r="Y489" s="0"/>
      <c r="Z489" s="0"/>
      <c r="AA489" s="0"/>
      <c r="AB489" s="0"/>
      <c r="AC489" s="0"/>
      <c r="AD489" s="0"/>
      <c r="AE489" s="0"/>
      <c r="AF489" s="0"/>
      <c r="AG489" s="0"/>
      <c r="AH489" s="0"/>
      <c r="AI489" s="0"/>
      <c r="AJ489" s="0"/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</row>
    <row r="490" customFormat="false" ht="12.75" hidden="false" customHeight="false" outlineLevel="0" collapsed="false">
      <c r="A490" s="0"/>
      <c r="B490" s="0"/>
      <c r="C490" s="0"/>
      <c r="D490" s="0"/>
      <c r="E490" s="0"/>
      <c r="F490" s="0"/>
      <c r="G490" s="0"/>
      <c r="H490" s="0"/>
      <c r="I490" s="0"/>
      <c r="J490" s="0"/>
      <c r="K490" s="0"/>
      <c r="L490" s="0"/>
      <c r="M490" s="0"/>
      <c r="N490" s="0"/>
      <c r="O490" s="0"/>
      <c r="P490" s="0"/>
      <c r="Q490" s="0"/>
      <c r="R490" s="0"/>
      <c r="S490" s="0"/>
      <c r="T490" s="0"/>
      <c r="U490" s="0"/>
      <c r="V490" s="0"/>
      <c r="W490" s="0"/>
      <c r="X490" s="0"/>
      <c r="Y490" s="0"/>
      <c r="Z490" s="0"/>
      <c r="AA490" s="0"/>
      <c r="AB490" s="0"/>
      <c r="AC490" s="0"/>
      <c r="AD490" s="0"/>
      <c r="AE490" s="0"/>
      <c r="AF490" s="0"/>
      <c r="AG490" s="0"/>
      <c r="AH490" s="0"/>
      <c r="AI490" s="0"/>
      <c r="AJ490" s="0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</row>
    <row r="491" customFormat="false" ht="12.75" hidden="false" customHeight="false" outlineLevel="0" collapsed="false">
      <c r="A491" s="0"/>
      <c r="B491" s="0"/>
      <c r="C491" s="0"/>
      <c r="D491" s="0"/>
      <c r="E491" s="0"/>
      <c r="F491" s="0"/>
      <c r="G491" s="0"/>
      <c r="H491" s="0"/>
      <c r="I491" s="0"/>
      <c r="J491" s="0"/>
      <c r="K491" s="0"/>
      <c r="L491" s="0"/>
      <c r="M491" s="0"/>
      <c r="N491" s="0"/>
      <c r="O491" s="0"/>
      <c r="P491" s="0"/>
      <c r="Q491" s="0"/>
      <c r="R491" s="0"/>
      <c r="S491" s="0"/>
      <c r="T491" s="0"/>
      <c r="U491" s="0"/>
      <c r="V491" s="0"/>
      <c r="W491" s="0"/>
      <c r="X491" s="0"/>
      <c r="Y491" s="0"/>
      <c r="Z491" s="0"/>
      <c r="AA491" s="0"/>
      <c r="AB491" s="0"/>
      <c r="AC491" s="0"/>
      <c r="AD491" s="0"/>
      <c r="AE491" s="0"/>
      <c r="AF491" s="0"/>
      <c r="AG491" s="0"/>
      <c r="AH491" s="0"/>
      <c r="AI491" s="0"/>
      <c r="AJ491" s="0"/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</row>
    <row r="492" customFormat="false" ht="12.75" hidden="false" customHeight="false" outlineLevel="0" collapsed="false">
      <c r="A492" s="0"/>
      <c r="B492" s="0"/>
      <c r="C492" s="0"/>
      <c r="D492" s="0"/>
      <c r="E492" s="0"/>
      <c r="F492" s="0"/>
      <c r="G492" s="0"/>
      <c r="H492" s="0"/>
      <c r="I492" s="0"/>
      <c r="J492" s="0"/>
      <c r="K492" s="0"/>
      <c r="L492" s="0"/>
      <c r="M492" s="0"/>
      <c r="N492" s="0"/>
      <c r="O492" s="0"/>
      <c r="P492" s="0"/>
      <c r="Q492" s="0"/>
      <c r="R492" s="0"/>
      <c r="S492" s="0"/>
      <c r="T492" s="0"/>
      <c r="U492" s="0"/>
      <c r="V492" s="0"/>
      <c r="W492" s="0"/>
      <c r="X492" s="0"/>
      <c r="Y492" s="0"/>
      <c r="Z492" s="0"/>
      <c r="AA492" s="0"/>
      <c r="AB492" s="0"/>
      <c r="AC492" s="0"/>
      <c r="AD492" s="0"/>
      <c r="AE492" s="0"/>
      <c r="AF492" s="0"/>
      <c r="AG492" s="0"/>
      <c r="AH492" s="0"/>
      <c r="AI492" s="0"/>
      <c r="AJ492" s="0"/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</row>
    <row r="493" customFormat="false" ht="12.75" hidden="false" customHeight="false" outlineLevel="0" collapsed="false">
      <c r="A493" s="0"/>
      <c r="B493" s="0"/>
      <c r="C493" s="0"/>
      <c r="D493" s="0"/>
      <c r="E493" s="0"/>
      <c r="F493" s="0"/>
      <c r="G493" s="0"/>
      <c r="H493" s="0"/>
      <c r="I493" s="0"/>
      <c r="J493" s="0"/>
      <c r="K493" s="0"/>
      <c r="L493" s="0"/>
      <c r="M493" s="0"/>
      <c r="N493" s="0"/>
      <c r="O493" s="0"/>
      <c r="P493" s="0"/>
      <c r="Q493" s="0"/>
      <c r="R493" s="0"/>
      <c r="S493" s="0"/>
      <c r="T493" s="0"/>
      <c r="U493" s="0"/>
      <c r="V493" s="0"/>
      <c r="W493" s="0"/>
      <c r="X493" s="0"/>
      <c r="Y493" s="0"/>
      <c r="Z493" s="0"/>
      <c r="AA493" s="0"/>
      <c r="AB493" s="0"/>
      <c r="AC493" s="0"/>
      <c r="AD493" s="0"/>
      <c r="AE493" s="0"/>
      <c r="AF493" s="0"/>
      <c r="AG493" s="0"/>
      <c r="AH493" s="0"/>
      <c r="AI493" s="0"/>
      <c r="AJ493" s="0"/>
      <c r="AK493" s="0"/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</row>
    <row r="494" customFormat="false" ht="12.75" hidden="false" customHeight="false" outlineLevel="0" collapsed="false">
      <c r="A494" s="0"/>
      <c r="B494" s="0"/>
      <c r="C494" s="0"/>
      <c r="D494" s="0"/>
      <c r="E494" s="0"/>
      <c r="F494" s="0"/>
      <c r="G494" s="0"/>
      <c r="H494" s="0"/>
      <c r="I494" s="0"/>
      <c r="J494" s="0"/>
      <c r="K494" s="0"/>
      <c r="L494" s="0"/>
      <c r="M494" s="0"/>
      <c r="N494" s="0"/>
      <c r="O494" s="0"/>
      <c r="P494" s="0"/>
      <c r="Q494" s="0"/>
      <c r="R494" s="0"/>
      <c r="S494" s="0"/>
      <c r="T494" s="0"/>
      <c r="U494" s="0"/>
      <c r="V494" s="0"/>
      <c r="W494" s="0"/>
      <c r="X494" s="0"/>
      <c r="Y494" s="0"/>
      <c r="Z494" s="0"/>
      <c r="AA494" s="0"/>
      <c r="AB494" s="0"/>
      <c r="AC494" s="0"/>
      <c r="AD494" s="0"/>
      <c r="AE494" s="0"/>
      <c r="AF494" s="0"/>
      <c r="AG494" s="0"/>
      <c r="AH494" s="0"/>
      <c r="AI494" s="0"/>
      <c r="AJ494" s="0"/>
      <c r="AK494" s="0"/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</row>
    <row r="495" customFormat="false" ht="12.75" hidden="false" customHeight="false" outlineLevel="0" collapsed="false">
      <c r="A495" s="0"/>
      <c r="B495" s="0"/>
      <c r="C495" s="0"/>
      <c r="D495" s="0"/>
      <c r="E495" s="0"/>
      <c r="F495" s="0"/>
      <c r="G495" s="0"/>
      <c r="H495" s="0"/>
      <c r="I495" s="0"/>
      <c r="J495" s="0"/>
      <c r="K495" s="0"/>
      <c r="L495" s="0"/>
      <c r="M495" s="0"/>
      <c r="N495" s="0"/>
      <c r="O495" s="0"/>
      <c r="P495" s="0"/>
      <c r="Q495" s="0"/>
      <c r="R495" s="0"/>
      <c r="S495" s="0"/>
      <c r="T495" s="0"/>
      <c r="U495" s="0"/>
      <c r="V495" s="0"/>
      <c r="W495" s="0"/>
      <c r="X495" s="0"/>
      <c r="Y495" s="0"/>
      <c r="Z495" s="0"/>
      <c r="AA495" s="0"/>
      <c r="AB495" s="0"/>
      <c r="AC495" s="0"/>
      <c r="AD495" s="0"/>
      <c r="AE495" s="0"/>
      <c r="AF495" s="0"/>
      <c r="AG495" s="0"/>
      <c r="AH495" s="0"/>
      <c r="AI495" s="0"/>
      <c r="AJ495" s="0"/>
      <c r="AK495" s="0"/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</row>
    <row r="496" customFormat="false" ht="12.75" hidden="false" customHeight="false" outlineLevel="0" collapsed="false">
      <c r="A496" s="0"/>
      <c r="B496" s="0"/>
      <c r="C496" s="0"/>
      <c r="D496" s="0"/>
      <c r="E496" s="0"/>
      <c r="F496" s="0"/>
      <c r="G496" s="0"/>
      <c r="H496" s="0"/>
      <c r="I496" s="0"/>
      <c r="J496" s="0"/>
      <c r="K496" s="0"/>
      <c r="L496" s="0"/>
      <c r="M496" s="0"/>
      <c r="N496" s="0"/>
      <c r="O496" s="0"/>
      <c r="P496" s="0"/>
      <c r="Q496" s="0"/>
      <c r="R496" s="0"/>
      <c r="S496" s="0"/>
      <c r="T496" s="0"/>
      <c r="U496" s="0"/>
      <c r="V496" s="0"/>
      <c r="W496" s="0"/>
      <c r="X496" s="0"/>
      <c r="Y496" s="0"/>
      <c r="Z496" s="0"/>
      <c r="AA496" s="0"/>
      <c r="AB496" s="0"/>
      <c r="AC496" s="0"/>
      <c r="AD496" s="0"/>
      <c r="AE496" s="0"/>
      <c r="AF496" s="0"/>
      <c r="AG496" s="0"/>
      <c r="AH496" s="0"/>
      <c r="AI496" s="0"/>
      <c r="AJ496" s="0"/>
      <c r="AK496" s="0"/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</row>
    <row r="497" customFormat="false" ht="12.75" hidden="false" customHeight="false" outlineLevel="0" collapsed="false">
      <c r="A497" s="0"/>
      <c r="B497" s="0"/>
      <c r="C497" s="0"/>
      <c r="D497" s="0"/>
      <c r="E497" s="0"/>
      <c r="F497" s="0"/>
      <c r="G497" s="0"/>
      <c r="H497" s="0"/>
      <c r="I497" s="0"/>
      <c r="J497" s="0"/>
      <c r="K497" s="0"/>
      <c r="L497" s="0"/>
      <c r="M497" s="0"/>
      <c r="N497" s="0"/>
      <c r="O497" s="0"/>
      <c r="P497" s="0"/>
      <c r="Q497" s="0"/>
      <c r="R497" s="0"/>
      <c r="S497" s="0"/>
      <c r="T497" s="0"/>
      <c r="U497" s="0"/>
      <c r="V497" s="0"/>
      <c r="W497" s="0"/>
      <c r="X497" s="0"/>
      <c r="Y497" s="0"/>
      <c r="Z497" s="0"/>
      <c r="AA497" s="0"/>
      <c r="AB497" s="0"/>
      <c r="AC497" s="0"/>
      <c r="AD497" s="0"/>
      <c r="AE497" s="0"/>
      <c r="AF497" s="0"/>
      <c r="AG497" s="0"/>
      <c r="AH497" s="0"/>
      <c r="AI497" s="0"/>
      <c r="AJ497" s="0"/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</row>
    <row r="498" customFormat="false" ht="12.75" hidden="false" customHeight="false" outlineLevel="0" collapsed="false">
      <c r="A498" s="0"/>
      <c r="B498" s="0"/>
      <c r="C498" s="0"/>
      <c r="D498" s="0"/>
      <c r="E498" s="0"/>
      <c r="F498" s="0"/>
      <c r="G498" s="0"/>
      <c r="H498" s="0"/>
      <c r="I498" s="0"/>
      <c r="J498" s="0"/>
      <c r="K498" s="0"/>
      <c r="L498" s="0"/>
      <c r="M498" s="0"/>
      <c r="N498" s="0"/>
      <c r="O498" s="0"/>
      <c r="P498" s="0"/>
      <c r="Q498" s="0"/>
      <c r="R498" s="0"/>
      <c r="S498" s="0"/>
      <c r="T498" s="0"/>
      <c r="U498" s="0"/>
      <c r="V498" s="0"/>
      <c r="W498" s="0"/>
      <c r="X498" s="0"/>
      <c r="Y498" s="0"/>
      <c r="Z498" s="0"/>
      <c r="AA498" s="0"/>
      <c r="AB498" s="0"/>
      <c r="AC498" s="0"/>
      <c r="AD498" s="0"/>
      <c r="AE498" s="0"/>
      <c r="AF498" s="0"/>
      <c r="AG498" s="0"/>
      <c r="AH498" s="0"/>
      <c r="AI498" s="0"/>
      <c r="AJ498" s="0"/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</row>
    <row r="499" customFormat="false" ht="12.75" hidden="false" customHeight="false" outlineLevel="0" collapsed="false">
      <c r="A499" s="0"/>
      <c r="B499" s="0"/>
      <c r="C499" s="0"/>
      <c r="D499" s="0"/>
      <c r="E499" s="0"/>
      <c r="F499" s="0"/>
      <c r="G499" s="0"/>
      <c r="H499" s="0"/>
      <c r="I499" s="0"/>
      <c r="J499" s="0"/>
      <c r="K499" s="0"/>
      <c r="L499" s="0"/>
      <c r="M499" s="0"/>
      <c r="N499" s="0"/>
      <c r="O499" s="0"/>
      <c r="P499" s="0"/>
      <c r="Q499" s="0"/>
      <c r="R499" s="0"/>
      <c r="S499" s="0"/>
      <c r="T499" s="0"/>
      <c r="U499" s="0"/>
      <c r="V499" s="0"/>
      <c r="W499" s="0"/>
      <c r="X499" s="0"/>
      <c r="Y499" s="0"/>
      <c r="Z499" s="0"/>
      <c r="AA499" s="0"/>
      <c r="AB499" s="0"/>
      <c r="AC499" s="0"/>
      <c r="AD499" s="0"/>
      <c r="AE499" s="0"/>
      <c r="AF499" s="0"/>
      <c r="AG499" s="0"/>
      <c r="AH499" s="0"/>
      <c r="AI499" s="0"/>
      <c r="AJ499" s="0"/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</row>
    <row r="500" customFormat="false" ht="12.75" hidden="false" customHeight="false" outlineLevel="0" collapsed="false">
      <c r="A500" s="0"/>
      <c r="B500" s="0"/>
      <c r="C500" s="0"/>
      <c r="D500" s="0"/>
      <c r="E500" s="0"/>
      <c r="F500" s="0"/>
      <c r="G500" s="0"/>
      <c r="H500" s="0"/>
      <c r="I500" s="0"/>
      <c r="J500" s="0"/>
      <c r="K500" s="0"/>
      <c r="L500" s="0"/>
      <c r="M500" s="0"/>
      <c r="N500" s="0"/>
      <c r="O500" s="0"/>
      <c r="P500" s="0"/>
      <c r="Q500" s="0"/>
      <c r="R500" s="0"/>
      <c r="S500" s="0"/>
      <c r="T500" s="0"/>
      <c r="U500" s="0"/>
      <c r="V500" s="0"/>
      <c r="W500" s="0"/>
      <c r="X500" s="0"/>
      <c r="Y500" s="0"/>
      <c r="Z500" s="0"/>
      <c r="AA500" s="0"/>
      <c r="AB500" s="0"/>
      <c r="AC500" s="0"/>
      <c r="AD500" s="0"/>
      <c r="AE500" s="0"/>
      <c r="AF500" s="0"/>
      <c r="AG500" s="0"/>
      <c r="AH500" s="0"/>
      <c r="AI500" s="0"/>
      <c r="AJ500" s="0"/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</row>
    <row r="501" customFormat="false" ht="12.75" hidden="false" customHeight="false" outlineLevel="0" collapsed="false">
      <c r="A501" s="0"/>
      <c r="B501" s="0"/>
      <c r="C501" s="0"/>
      <c r="D501" s="0"/>
      <c r="E501" s="0"/>
      <c r="F501" s="0"/>
      <c r="G501" s="0"/>
      <c r="H501" s="0"/>
      <c r="I501" s="0"/>
      <c r="J501" s="0"/>
      <c r="K501" s="0"/>
      <c r="L501" s="0"/>
      <c r="M501" s="0"/>
      <c r="N501" s="0"/>
      <c r="O501" s="0"/>
      <c r="P501" s="0"/>
      <c r="Q501" s="0"/>
      <c r="R501" s="0"/>
      <c r="S501" s="0"/>
      <c r="T501" s="0"/>
      <c r="U501" s="0"/>
      <c r="V501" s="0"/>
      <c r="W501" s="0"/>
      <c r="X501" s="0"/>
      <c r="Y501" s="0"/>
      <c r="Z501" s="0"/>
      <c r="AA501" s="0"/>
      <c r="AB501" s="0"/>
      <c r="AC501" s="0"/>
      <c r="AD501" s="0"/>
      <c r="AE501" s="0"/>
      <c r="AF501" s="0"/>
      <c r="AG501" s="0"/>
      <c r="AH501" s="0"/>
      <c r="AI501" s="0"/>
      <c r="AJ501" s="0"/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</row>
    <row r="502" customFormat="false" ht="12.75" hidden="false" customHeight="false" outlineLevel="0" collapsed="false">
      <c r="A502" s="0"/>
      <c r="B502" s="0"/>
      <c r="C502" s="0"/>
      <c r="D502" s="0"/>
      <c r="E502" s="0"/>
      <c r="F502" s="0"/>
      <c r="G502" s="0"/>
      <c r="H502" s="0"/>
      <c r="I502" s="0"/>
      <c r="J502" s="0"/>
      <c r="K502" s="0"/>
      <c r="L502" s="0"/>
      <c r="M502" s="0"/>
      <c r="N502" s="0"/>
      <c r="O502" s="0"/>
      <c r="P502" s="0"/>
      <c r="Q502" s="0"/>
      <c r="R502" s="0"/>
      <c r="S502" s="0"/>
      <c r="T502" s="0"/>
      <c r="U502" s="0"/>
      <c r="V502" s="0"/>
      <c r="W502" s="0"/>
      <c r="X502" s="0"/>
      <c r="Y502" s="0"/>
      <c r="Z502" s="0"/>
      <c r="AA502" s="0"/>
      <c r="AB502" s="0"/>
      <c r="AC502" s="0"/>
      <c r="AD502" s="0"/>
      <c r="AE502" s="0"/>
      <c r="AF502" s="0"/>
      <c r="AG502" s="0"/>
      <c r="AH502" s="0"/>
      <c r="AI502" s="0"/>
      <c r="AJ502" s="0"/>
      <c r="AK502" s="0"/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</row>
    <row r="505" customFormat="false" ht="12.75" hidden="false" customHeight="false" outlineLevel="0" collapsed="false">
      <c r="A505" s="0"/>
      <c r="B505" s="0"/>
      <c r="C505" s="0"/>
      <c r="D505" s="0"/>
      <c r="E505" s="0"/>
      <c r="F505" s="0"/>
      <c r="G505" s="0"/>
      <c r="H505" s="0"/>
      <c r="I505" s="0"/>
      <c r="J505" s="0"/>
      <c r="K505" s="0"/>
      <c r="L505" s="0"/>
      <c r="M505" s="0"/>
      <c r="N505" s="0"/>
      <c r="O505" s="0"/>
      <c r="P505" s="0"/>
      <c r="Q505" s="0"/>
      <c r="R505" s="0"/>
      <c r="S505" s="0"/>
      <c r="T505" s="0"/>
      <c r="U505" s="0"/>
      <c r="V505" s="0"/>
      <c r="W505" s="0"/>
      <c r="X505" s="0"/>
      <c r="Y505" s="0"/>
      <c r="Z505" s="0"/>
      <c r="AA505" s="0"/>
      <c r="AB505" s="0"/>
      <c r="AC505" s="0"/>
      <c r="AD505" s="0"/>
      <c r="AE505" s="0"/>
      <c r="AF505" s="0"/>
      <c r="AG505" s="0"/>
      <c r="AH505" s="0"/>
      <c r="AI505" s="0"/>
      <c r="AJ505" s="0"/>
      <c r="AK505" s="0"/>
      <c r="AL505" s="0"/>
      <c r="AM505" s="0"/>
      <c r="AN505" s="0"/>
      <c r="AO505" s="0"/>
      <c r="AP505" s="0"/>
      <c r="AQ505" s="0"/>
      <c r="AR505" s="0"/>
      <c r="AS505" s="0"/>
      <c r="AT505" s="0"/>
      <c r="AU505" s="0"/>
      <c r="AV505" s="0"/>
      <c r="AW505" s="0"/>
      <c r="AX505" s="0"/>
      <c r="AY505" s="0"/>
      <c r="AZ505" s="0"/>
      <c r="BA505" s="0"/>
      <c r="BB505" s="0"/>
      <c r="BC505" s="0"/>
      <c r="BD505" s="0"/>
      <c r="BE505" s="0"/>
      <c r="BF505" s="0"/>
      <c r="BG505" s="0"/>
      <c r="BH505" s="0"/>
      <c r="BI505" s="0"/>
      <c r="BJ505" s="0"/>
      <c r="BK505" s="0"/>
      <c r="BL505" s="0"/>
      <c r="BM505" s="0"/>
      <c r="BN505" s="0"/>
      <c r="BO505" s="0"/>
      <c r="BP505" s="0"/>
      <c r="BQ505" s="0"/>
      <c r="BR505" s="0"/>
      <c r="BS505" s="0"/>
      <c r="BT505" s="0"/>
      <c r="BU505" s="0"/>
      <c r="BV505" s="0"/>
      <c r="BW505" s="0"/>
      <c r="BX505" s="0"/>
      <c r="BY505" s="0"/>
      <c r="BZ505" s="0"/>
      <c r="CA505" s="0"/>
      <c r="CB505" s="0"/>
      <c r="CC505" s="0"/>
      <c r="CD505" s="0"/>
    </row>
    <row r="506" customFormat="false" ht="12.75" hidden="false" customHeight="false" outlineLevel="0" collapsed="false">
      <c r="A506" s="0"/>
      <c r="B506" s="0"/>
      <c r="C506" s="0"/>
      <c r="D506" s="0"/>
      <c r="E506" s="0"/>
      <c r="F506" s="0"/>
      <c r="G506" s="0"/>
      <c r="H506" s="0"/>
      <c r="I506" s="0"/>
      <c r="J506" s="0"/>
      <c r="K506" s="0"/>
      <c r="L506" s="0"/>
      <c r="M506" s="0"/>
      <c r="N506" s="0"/>
      <c r="O506" s="0"/>
      <c r="P506" s="0"/>
      <c r="Q506" s="0"/>
      <c r="R506" s="0"/>
      <c r="S506" s="0"/>
      <c r="T506" s="0"/>
      <c r="U506" s="0"/>
      <c r="V506" s="0"/>
      <c r="W506" s="0"/>
      <c r="X506" s="0"/>
      <c r="Y506" s="0"/>
      <c r="Z506" s="0"/>
      <c r="AA506" s="0"/>
      <c r="AB506" s="0"/>
      <c r="AC506" s="0"/>
      <c r="AD506" s="0"/>
      <c r="AE506" s="0"/>
      <c r="AF506" s="0"/>
      <c r="AG506" s="0"/>
      <c r="AH506" s="0"/>
      <c r="AI506" s="0"/>
      <c r="AJ506" s="0"/>
      <c r="AK506" s="0"/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</row>
    <row r="507" customFormat="false" ht="12.75" hidden="false" customHeight="false" outlineLevel="0" collapsed="false">
      <c r="A507" s="0"/>
      <c r="B507" s="0"/>
      <c r="C507" s="0"/>
      <c r="D507" s="0"/>
      <c r="E507" s="0"/>
      <c r="F507" s="0"/>
      <c r="G507" s="0"/>
      <c r="H507" s="0"/>
      <c r="I507" s="0"/>
      <c r="J507" s="0"/>
      <c r="K507" s="0"/>
      <c r="L507" s="0"/>
      <c r="M507" s="0"/>
      <c r="N507" s="0"/>
      <c r="O507" s="0"/>
      <c r="P507" s="0"/>
      <c r="Q507" s="0"/>
      <c r="R507" s="0"/>
      <c r="S507" s="0"/>
      <c r="T507" s="0"/>
      <c r="U507" s="0"/>
      <c r="V507" s="0"/>
      <c r="W507" s="0"/>
      <c r="X507" s="0"/>
      <c r="Y507" s="0"/>
      <c r="Z507" s="0"/>
      <c r="AA507" s="0"/>
      <c r="AB507" s="0"/>
      <c r="AC507" s="0"/>
      <c r="AD507" s="0"/>
      <c r="AE507" s="0"/>
      <c r="AF507" s="0"/>
      <c r="AG507" s="0"/>
      <c r="AH507" s="0"/>
      <c r="AI507" s="0"/>
      <c r="AJ507" s="0"/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</row>
    <row r="508" customFormat="false" ht="12.75" hidden="false" customHeight="false" outlineLevel="0" collapsed="false">
      <c r="A508" s="0"/>
      <c r="B508" s="0"/>
      <c r="C508" s="0"/>
      <c r="D508" s="0"/>
      <c r="E508" s="0"/>
      <c r="F508" s="0"/>
      <c r="G508" s="0"/>
      <c r="H508" s="0"/>
      <c r="I508" s="0"/>
      <c r="J508" s="0"/>
      <c r="K508" s="0"/>
      <c r="L508" s="0"/>
      <c r="M508" s="0"/>
      <c r="N508" s="0"/>
      <c r="O508" s="0"/>
      <c r="P508" s="0"/>
      <c r="Q508" s="0"/>
      <c r="R508" s="0"/>
      <c r="S508" s="0"/>
      <c r="T508" s="0"/>
      <c r="U508" s="0"/>
      <c r="V508" s="0"/>
      <c r="W508" s="0"/>
      <c r="X508" s="0"/>
      <c r="Y508" s="0"/>
      <c r="Z508" s="0"/>
      <c r="AA508" s="0"/>
      <c r="AB508" s="0"/>
      <c r="AC508" s="0"/>
      <c r="AD508" s="0"/>
      <c r="AE508" s="0"/>
      <c r="AF508" s="0"/>
      <c r="AG508" s="0"/>
      <c r="AH508" s="0"/>
      <c r="AI508" s="0"/>
      <c r="AJ508" s="0"/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</row>
    <row r="509" customFormat="false" ht="12.75" hidden="false" customHeight="false" outlineLevel="0" collapsed="false">
      <c r="A509" s="0"/>
      <c r="B509" s="0"/>
      <c r="C509" s="0"/>
      <c r="D509" s="0"/>
      <c r="E509" s="0"/>
      <c r="F509" s="0"/>
      <c r="G509" s="0"/>
      <c r="H509" s="0"/>
      <c r="I509" s="0"/>
      <c r="J509" s="0"/>
      <c r="K509" s="0"/>
      <c r="L509" s="0"/>
      <c r="M509" s="0"/>
      <c r="N509" s="0"/>
      <c r="O509" s="0"/>
      <c r="P509" s="0"/>
      <c r="Q509" s="0"/>
      <c r="R509" s="0"/>
      <c r="S509" s="0"/>
      <c r="T509" s="0"/>
      <c r="U509" s="0"/>
      <c r="V509" s="0"/>
      <c r="W509" s="0"/>
      <c r="X509" s="0"/>
      <c r="Y509" s="0"/>
      <c r="Z509" s="0"/>
      <c r="AA509" s="0"/>
      <c r="AB509" s="0"/>
      <c r="AC509" s="0"/>
      <c r="AD509" s="0"/>
      <c r="AE509" s="0"/>
      <c r="AF509" s="0"/>
      <c r="AG509" s="0"/>
      <c r="AH509" s="0"/>
      <c r="AI509" s="0"/>
      <c r="AJ509" s="0"/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</row>
    <row r="510" customFormat="false" ht="12.75" hidden="false" customHeight="false" outlineLevel="0" collapsed="false">
      <c r="A510" s="0"/>
      <c r="B510" s="0"/>
      <c r="C510" s="0"/>
      <c r="D510" s="0"/>
      <c r="E510" s="0"/>
      <c r="F510" s="0"/>
      <c r="G510" s="0"/>
      <c r="H510" s="0"/>
      <c r="I510" s="0"/>
      <c r="J510" s="0"/>
      <c r="K510" s="0"/>
      <c r="L510" s="0"/>
      <c r="M510" s="0"/>
      <c r="N510" s="0"/>
      <c r="O510" s="0"/>
      <c r="P510" s="0"/>
      <c r="Q510" s="0"/>
      <c r="R510" s="0"/>
      <c r="S510" s="0"/>
      <c r="T510" s="0"/>
      <c r="U510" s="0"/>
      <c r="V510" s="0"/>
      <c r="W510" s="0"/>
      <c r="X510" s="0"/>
      <c r="Y510" s="0"/>
      <c r="Z510" s="0"/>
      <c r="AA510" s="0"/>
      <c r="AB510" s="0"/>
      <c r="AC510" s="0"/>
      <c r="AD510" s="0"/>
      <c r="AE510" s="0"/>
      <c r="AF510" s="0"/>
      <c r="AG510" s="0"/>
      <c r="AH510" s="0"/>
      <c r="AI510" s="0"/>
      <c r="AJ510" s="0"/>
      <c r="AK510" s="0"/>
      <c r="AL510" s="0"/>
      <c r="AM510" s="0"/>
      <c r="AN510" s="0"/>
      <c r="AO510" s="0"/>
      <c r="AP510" s="0"/>
      <c r="AQ510" s="0"/>
      <c r="AR510" s="0"/>
      <c r="AS510" s="0"/>
      <c r="AT510" s="0"/>
      <c r="AU510" s="0"/>
      <c r="AV510" s="0"/>
      <c r="AW510" s="0"/>
      <c r="AX510" s="0"/>
      <c r="AY510" s="0"/>
      <c r="AZ510" s="0"/>
      <c r="BA510" s="0"/>
      <c r="BB510" s="0"/>
      <c r="BC510" s="0"/>
      <c r="BD510" s="0"/>
      <c r="BE510" s="0"/>
      <c r="BF510" s="0"/>
      <c r="BG510" s="0"/>
      <c r="BH510" s="0"/>
      <c r="BI510" s="0"/>
      <c r="BJ510" s="0"/>
      <c r="BK510" s="0"/>
      <c r="BL510" s="0"/>
      <c r="BM510" s="0"/>
      <c r="BN510" s="0"/>
      <c r="BO510" s="0"/>
      <c r="BP510" s="0"/>
      <c r="BQ510" s="0"/>
      <c r="BR510" s="0"/>
      <c r="BS510" s="0"/>
      <c r="BT510" s="0"/>
      <c r="BU510" s="0"/>
      <c r="BV510" s="0"/>
      <c r="BW510" s="0"/>
      <c r="BX510" s="0"/>
      <c r="BY510" s="0"/>
      <c r="BZ510" s="0"/>
      <c r="CA510" s="0"/>
      <c r="CB510" s="0"/>
      <c r="CC510" s="0"/>
      <c r="CD510" s="0"/>
    </row>
    <row r="511" customFormat="false" ht="12.75" hidden="false" customHeight="false" outlineLevel="0" collapsed="false">
      <c r="A511" s="0"/>
      <c r="B511" s="0"/>
      <c r="C511" s="0"/>
      <c r="D511" s="0"/>
      <c r="E511" s="0"/>
      <c r="F511" s="0"/>
      <c r="G511" s="0"/>
      <c r="H511" s="0"/>
      <c r="I511" s="0"/>
      <c r="J511" s="0"/>
      <c r="K511" s="0"/>
      <c r="L511" s="0"/>
      <c r="M511" s="0"/>
      <c r="N511" s="0"/>
      <c r="O511" s="0"/>
      <c r="P511" s="0"/>
      <c r="Q511" s="0"/>
      <c r="R511" s="0"/>
      <c r="S511" s="0"/>
      <c r="T511" s="0"/>
      <c r="U511" s="0"/>
      <c r="V511" s="0"/>
      <c r="W511" s="0"/>
      <c r="X511" s="0"/>
      <c r="Y511" s="0"/>
      <c r="Z511" s="0"/>
      <c r="AA511" s="0"/>
      <c r="AB511" s="0"/>
      <c r="AC511" s="0"/>
      <c r="AD511" s="0"/>
      <c r="AE511" s="0"/>
      <c r="AF511" s="0"/>
      <c r="AG511" s="0"/>
      <c r="AH511" s="0"/>
      <c r="AI511" s="0"/>
      <c r="AJ511" s="0"/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</row>
    <row r="512" customFormat="false" ht="12.75" hidden="false" customHeight="false" outlineLevel="0" collapsed="false">
      <c r="A512" s="0"/>
      <c r="B512" s="0"/>
      <c r="C512" s="0"/>
      <c r="D512" s="0"/>
      <c r="E512" s="0"/>
      <c r="F512" s="0"/>
      <c r="G512" s="0"/>
      <c r="H512" s="0"/>
      <c r="I512" s="0"/>
      <c r="J512" s="0"/>
      <c r="K512" s="0"/>
      <c r="L512" s="0"/>
      <c r="M512" s="0"/>
      <c r="N512" s="0"/>
      <c r="O512" s="0"/>
      <c r="P512" s="0"/>
      <c r="Q512" s="0"/>
      <c r="R512" s="0"/>
      <c r="S512" s="0"/>
      <c r="T512" s="0"/>
      <c r="U512" s="0"/>
      <c r="V512" s="0"/>
      <c r="W512" s="0"/>
      <c r="X512" s="0"/>
      <c r="Y512" s="0"/>
      <c r="Z512" s="0"/>
      <c r="AA512" s="0"/>
      <c r="AB512" s="0"/>
      <c r="AC512" s="0"/>
      <c r="AD512" s="0"/>
      <c r="AE512" s="0"/>
      <c r="AF512" s="0"/>
      <c r="AG512" s="0"/>
      <c r="AH512" s="0"/>
      <c r="AI512" s="0"/>
      <c r="AJ512" s="0"/>
      <c r="AK512" s="0"/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</row>
    <row r="513" customFormat="false" ht="12.75" hidden="false" customHeight="false" outlineLevel="0" collapsed="false">
      <c r="A513" s="0"/>
      <c r="B513" s="0"/>
      <c r="C513" s="0"/>
      <c r="D513" s="0"/>
      <c r="E513" s="0"/>
      <c r="F513" s="0"/>
      <c r="G513" s="0"/>
      <c r="H513" s="0"/>
      <c r="I513" s="0"/>
      <c r="J513" s="0"/>
      <c r="K513" s="0"/>
      <c r="L513" s="0"/>
      <c r="M513" s="0"/>
      <c r="N513" s="0"/>
      <c r="O513" s="0"/>
      <c r="P513" s="0"/>
      <c r="Q513" s="0"/>
      <c r="R513" s="0"/>
      <c r="S513" s="0"/>
      <c r="T513" s="0"/>
      <c r="U513" s="0"/>
      <c r="V513" s="0"/>
      <c r="W513" s="0"/>
      <c r="X513" s="0"/>
      <c r="Y513" s="0"/>
      <c r="Z513" s="0"/>
      <c r="AA513" s="0"/>
      <c r="AB513" s="0"/>
      <c r="AC513" s="0"/>
      <c r="AD513" s="0"/>
      <c r="AE513" s="0"/>
      <c r="AF513" s="0"/>
      <c r="AG513" s="0"/>
      <c r="AH513" s="0"/>
      <c r="AI513" s="0"/>
      <c r="AJ513" s="0"/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</row>
    <row r="514" customFormat="false" ht="12.75" hidden="false" customHeight="false" outlineLevel="0" collapsed="false">
      <c r="A514" s="0"/>
      <c r="B514" s="0"/>
      <c r="C514" s="0"/>
      <c r="D514" s="0"/>
      <c r="E514" s="0"/>
      <c r="F514" s="0"/>
      <c r="G514" s="0"/>
      <c r="H514" s="0"/>
      <c r="I514" s="0"/>
      <c r="J514" s="0"/>
      <c r="K514" s="0"/>
      <c r="L514" s="0"/>
      <c r="M514" s="0"/>
      <c r="N514" s="0"/>
      <c r="O514" s="0"/>
      <c r="P514" s="0"/>
      <c r="Q514" s="0"/>
      <c r="R514" s="0"/>
      <c r="S514" s="0"/>
      <c r="T514" s="0"/>
      <c r="U514" s="0"/>
      <c r="V514" s="0"/>
      <c r="W514" s="0"/>
      <c r="X514" s="0"/>
      <c r="Y514" s="0"/>
      <c r="Z514" s="0"/>
      <c r="AA514" s="0"/>
      <c r="AB514" s="0"/>
      <c r="AC514" s="0"/>
      <c r="AD514" s="0"/>
      <c r="AE514" s="0"/>
      <c r="AF514" s="0"/>
      <c r="AG514" s="0"/>
      <c r="AH514" s="0"/>
      <c r="AI514" s="0"/>
      <c r="AJ514" s="0"/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</row>
    <row r="515" customFormat="false" ht="12.75" hidden="false" customHeight="false" outlineLevel="0" collapsed="false">
      <c r="A515" s="0"/>
      <c r="B515" s="0"/>
      <c r="C515" s="0"/>
      <c r="D515" s="0"/>
      <c r="E515" s="0"/>
      <c r="F515" s="0"/>
      <c r="G515" s="0"/>
      <c r="H515" s="0"/>
      <c r="I515" s="0"/>
      <c r="J515" s="0"/>
      <c r="K515" s="0"/>
      <c r="L515" s="0"/>
      <c r="M515" s="0"/>
      <c r="N515" s="0"/>
      <c r="O515" s="0"/>
      <c r="P515" s="0"/>
      <c r="Q515" s="0"/>
      <c r="R515" s="0"/>
      <c r="S515" s="0"/>
      <c r="T515" s="0"/>
      <c r="U515" s="0"/>
      <c r="V515" s="0"/>
      <c r="W515" s="0"/>
      <c r="X515" s="0"/>
      <c r="Y515" s="0"/>
      <c r="Z515" s="0"/>
      <c r="AA515" s="0"/>
      <c r="AB515" s="0"/>
      <c r="AC515" s="0"/>
      <c r="AD515" s="0"/>
      <c r="AE515" s="0"/>
      <c r="AF515" s="0"/>
      <c r="AG515" s="0"/>
      <c r="AH515" s="0"/>
      <c r="AI515" s="0"/>
      <c r="AJ515" s="0"/>
      <c r="AK515" s="0"/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</row>
    <row r="516" customFormat="false" ht="12.75" hidden="false" customHeight="false" outlineLevel="0" collapsed="false">
      <c r="A516" s="0"/>
      <c r="B516" s="0"/>
      <c r="C516" s="0"/>
      <c r="D516" s="0"/>
      <c r="E516" s="0"/>
      <c r="F516" s="0"/>
      <c r="G516" s="0"/>
      <c r="H516" s="0"/>
      <c r="I516" s="0"/>
      <c r="J516" s="0"/>
      <c r="K516" s="0"/>
      <c r="L516" s="0"/>
      <c r="M516" s="0"/>
      <c r="N516" s="0"/>
      <c r="O516" s="0"/>
      <c r="P516" s="0"/>
      <c r="Q516" s="0"/>
      <c r="R516" s="0"/>
      <c r="S516" s="0"/>
      <c r="T516" s="0"/>
      <c r="U516" s="0"/>
      <c r="V516" s="0"/>
      <c r="W516" s="0"/>
      <c r="X516" s="0"/>
      <c r="Y516" s="0"/>
      <c r="Z516" s="0"/>
      <c r="AA516" s="0"/>
      <c r="AB516" s="0"/>
      <c r="AC516" s="0"/>
      <c r="AD516" s="0"/>
      <c r="AE516" s="0"/>
      <c r="AF516" s="0"/>
      <c r="AG516" s="0"/>
      <c r="AH516" s="0"/>
      <c r="AI516" s="0"/>
      <c r="AJ516" s="0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</row>
    <row r="517" customFormat="false" ht="12.75" hidden="false" customHeight="false" outlineLevel="0" collapsed="false">
      <c r="A517" s="0"/>
      <c r="B517" s="0"/>
      <c r="C517" s="0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  <c r="P517" s="0"/>
      <c r="Q517" s="0"/>
      <c r="R517" s="0"/>
      <c r="S517" s="0"/>
      <c r="T517" s="0"/>
      <c r="U517" s="0"/>
      <c r="V517" s="0"/>
      <c r="W517" s="0"/>
      <c r="X517" s="0"/>
      <c r="Y517" s="0"/>
      <c r="Z517" s="0"/>
      <c r="AA517" s="0"/>
      <c r="AB517" s="0"/>
      <c r="AC517" s="0"/>
      <c r="AD517" s="0"/>
      <c r="AE517" s="0"/>
      <c r="AF517" s="0"/>
      <c r="AG517" s="0"/>
      <c r="AH517" s="0"/>
      <c r="AI517" s="0"/>
      <c r="AJ517" s="0"/>
      <c r="AK517" s="0"/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</row>
    <row r="518" customFormat="false" ht="12.75" hidden="false" customHeight="false" outlineLevel="0" collapsed="false">
      <c r="A518" s="173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  <c r="Z518" s="126"/>
      <c r="AA518" s="126"/>
      <c r="AB518" s="126"/>
      <c r="AC518" s="126"/>
      <c r="AD518" s="126"/>
      <c r="AE518" s="126"/>
      <c r="AF518" s="126"/>
      <c r="AG518" s="126"/>
      <c r="AH518" s="126"/>
      <c r="AI518" s="126"/>
      <c r="AJ518" s="126"/>
      <c r="AK518" s="126"/>
      <c r="AL518" s="126"/>
      <c r="AM518" s="126"/>
      <c r="AN518" s="126"/>
      <c r="AO518" s="126"/>
      <c r="AP518" s="126"/>
      <c r="AQ518" s="126"/>
      <c r="AR518" s="126"/>
      <c r="AS518" s="126"/>
      <c r="AT518" s="126"/>
      <c r="AU518" s="126"/>
      <c r="AV518" s="126"/>
      <c r="AW518" s="126"/>
      <c r="AX518" s="126"/>
      <c r="AY518" s="126"/>
      <c r="AZ518" s="126"/>
      <c r="BA518" s="126"/>
      <c r="BB518" s="126"/>
      <c r="BC518" s="126"/>
      <c r="BD518" s="126"/>
    </row>
    <row r="519" customFormat="false" ht="12.75" hidden="false" customHeight="false" outlineLevel="0" collapsed="false">
      <c r="A519" s="173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  <c r="Z519" s="126"/>
      <c r="AA519" s="126"/>
      <c r="AB519" s="126"/>
      <c r="AC519" s="126"/>
      <c r="AD519" s="126"/>
      <c r="AE519" s="126"/>
      <c r="AF519" s="126"/>
      <c r="AG519" s="126"/>
      <c r="AH519" s="126"/>
      <c r="AI519" s="126"/>
      <c r="AJ519" s="126"/>
      <c r="AK519" s="126"/>
      <c r="AL519" s="126"/>
      <c r="AM519" s="126"/>
      <c r="AN519" s="126"/>
      <c r="AO519" s="126"/>
      <c r="AP519" s="126"/>
      <c r="AQ519" s="126"/>
      <c r="AR519" s="126"/>
      <c r="AS519" s="126"/>
      <c r="AT519" s="126"/>
      <c r="AU519" s="126"/>
      <c r="AV519" s="126"/>
      <c r="AW519" s="126"/>
      <c r="AX519" s="126"/>
      <c r="AY519" s="126"/>
      <c r="AZ519" s="126"/>
      <c r="BA519" s="126"/>
      <c r="BB519" s="126"/>
      <c r="BC519" s="126"/>
      <c r="BD519" s="126"/>
    </row>
    <row r="520" customFormat="false" ht="12.75" hidden="false" customHeight="false" outlineLevel="0" collapsed="false">
      <c r="A520" s="173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  <c r="Z520" s="126"/>
      <c r="AA520" s="126"/>
      <c r="AB520" s="126"/>
      <c r="AC520" s="126"/>
      <c r="AD520" s="126"/>
      <c r="AE520" s="126"/>
      <c r="AF520" s="126"/>
      <c r="AG520" s="126"/>
      <c r="AH520" s="126"/>
      <c r="AI520" s="126"/>
      <c r="AJ520" s="126"/>
      <c r="AK520" s="126"/>
      <c r="AL520" s="126"/>
      <c r="AM520" s="126"/>
      <c r="AN520" s="126"/>
      <c r="AO520" s="126"/>
      <c r="AP520" s="126"/>
      <c r="AQ520" s="126"/>
      <c r="AR520" s="126"/>
      <c r="AS520" s="126"/>
      <c r="AT520" s="126"/>
      <c r="AU520" s="126"/>
      <c r="AV520" s="126"/>
      <c r="AW520" s="126"/>
      <c r="AX520" s="126"/>
      <c r="AY520" s="126"/>
      <c r="AZ520" s="126"/>
      <c r="BA520" s="126"/>
      <c r="BB520" s="126"/>
      <c r="BC520" s="126"/>
      <c r="BD520" s="126"/>
    </row>
    <row r="521" customFormat="false" ht="12.75" hidden="false" customHeight="false" outlineLevel="0" collapsed="false">
      <c r="A521" s="173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  <c r="Z521" s="126"/>
      <c r="AA521" s="126"/>
      <c r="AB521" s="126"/>
      <c r="AC521" s="126"/>
      <c r="AD521" s="126"/>
      <c r="AE521" s="126"/>
      <c r="AF521" s="126"/>
      <c r="AG521" s="126"/>
      <c r="AH521" s="126"/>
      <c r="AI521" s="126"/>
      <c r="AJ521" s="126"/>
      <c r="AK521" s="126"/>
      <c r="AL521" s="126"/>
      <c r="AM521" s="126"/>
      <c r="AN521" s="126"/>
      <c r="AO521" s="126"/>
      <c r="AP521" s="126"/>
      <c r="AQ521" s="126"/>
      <c r="AR521" s="126"/>
      <c r="AS521" s="126"/>
      <c r="AT521" s="126"/>
      <c r="AU521" s="126"/>
      <c r="AV521" s="126"/>
      <c r="AW521" s="126"/>
      <c r="AX521" s="126"/>
      <c r="AY521" s="126"/>
      <c r="AZ521" s="126"/>
      <c r="BA521" s="126"/>
      <c r="BB521" s="126"/>
      <c r="BC521" s="126"/>
      <c r="BD521" s="126"/>
    </row>
    <row r="522" customFormat="false" ht="12.75" hidden="false" customHeight="false" outlineLevel="0" collapsed="false">
      <c r="A522" s="173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  <c r="Z522" s="126"/>
      <c r="AA522" s="126"/>
      <c r="AB522" s="126"/>
      <c r="AC522" s="126"/>
      <c r="AD522" s="126"/>
      <c r="AE522" s="126"/>
      <c r="AF522" s="126"/>
      <c r="AG522" s="126"/>
      <c r="AH522" s="126"/>
      <c r="AI522" s="126"/>
      <c r="AJ522" s="126"/>
      <c r="AK522" s="126"/>
      <c r="AL522" s="126"/>
      <c r="AM522" s="126"/>
      <c r="AN522" s="126"/>
      <c r="AO522" s="126"/>
      <c r="AP522" s="126"/>
      <c r="AQ522" s="126"/>
      <c r="AR522" s="126"/>
      <c r="AS522" s="126"/>
      <c r="AT522" s="126"/>
      <c r="AU522" s="126"/>
      <c r="AV522" s="126"/>
      <c r="AW522" s="126"/>
      <c r="AX522" s="126"/>
      <c r="AY522" s="126"/>
      <c r="AZ522" s="126"/>
      <c r="BA522" s="126"/>
      <c r="BB522" s="126"/>
      <c r="BC522" s="126"/>
      <c r="BD522" s="126"/>
    </row>
    <row r="523" customFormat="false" ht="12.75" hidden="false" customHeight="false" outlineLevel="0" collapsed="false">
      <c r="A523" s="173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  <c r="AA523" s="126"/>
      <c r="AB523" s="126"/>
      <c r="AC523" s="126"/>
      <c r="AD523" s="126"/>
      <c r="AE523" s="126"/>
      <c r="AF523" s="126"/>
      <c r="AG523" s="126"/>
      <c r="AH523" s="126"/>
      <c r="AI523" s="126"/>
      <c r="AJ523" s="126"/>
      <c r="AK523" s="126"/>
      <c r="AL523" s="126"/>
      <c r="AM523" s="126"/>
      <c r="AN523" s="126"/>
      <c r="AO523" s="126"/>
      <c r="AP523" s="126"/>
      <c r="AQ523" s="126"/>
      <c r="AR523" s="126"/>
      <c r="AS523" s="126"/>
      <c r="AT523" s="126"/>
      <c r="AU523" s="126"/>
      <c r="AV523" s="126"/>
      <c r="AW523" s="126"/>
      <c r="AX523" s="126"/>
      <c r="AY523" s="126"/>
      <c r="AZ523" s="126"/>
      <c r="BA523" s="126"/>
      <c r="BB523" s="126"/>
      <c r="BC523" s="126"/>
      <c r="BD523" s="126"/>
    </row>
    <row r="524" customFormat="false" ht="12.75" hidden="false" customHeight="false" outlineLevel="0" collapsed="false">
      <c r="A524" s="173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  <c r="AA524" s="126"/>
      <c r="AB524" s="126"/>
      <c r="AC524" s="126"/>
      <c r="AD524" s="126"/>
      <c r="AE524" s="126"/>
      <c r="AF524" s="126"/>
      <c r="AG524" s="126"/>
      <c r="AH524" s="126"/>
      <c r="AI524" s="126"/>
      <c r="AJ524" s="126"/>
      <c r="AK524" s="126"/>
      <c r="AL524" s="126"/>
      <c r="AM524" s="126"/>
      <c r="AN524" s="126"/>
      <c r="AO524" s="126"/>
      <c r="AP524" s="126"/>
      <c r="AQ524" s="126"/>
      <c r="AR524" s="126"/>
      <c r="AS524" s="126"/>
      <c r="AT524" s="126"/>
      <c r="AU524" s="126"/>
      <c r="AV524" s="126"/>
      <c r="AW524" s="126"/>
      <c r="AX524" s="126"/>
      <c r="AY524" s="126"/>
      <c r="AZ524" s="126"/>
      <c r="BA524" s="126"/>
      <c r="BB524" s="126"/>
      <c r="BC524" s="126"/>
      <c r="BD524" s="126"/>
    </row>
    <row r="525" customFormat="false" ht="12.75" hidden="false" customHeight="false" outlineLevel="0" collapsed="false">
      <c r="A525" s="173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  <c r="Z525" s="126"/>
      <c r="AA525" s="126"/>
      <c r="AB525" s="126"/>
      <c r="AC525" s="126"/>
      <c r="AD525" s="126"/>
      <c r="AE525" s="126"/>
      <c r="AF525" s="126"/>
      <c r="AG525" s="126"/>
      <c r="AH525" s="126"/>
      <c r="AI525" s="126"/>
      <c r="AJ525" s="126"/>
      <c r="AK525" s="126"/>
      <c r="AL525" s="126"/>
      <c r="AM525" s="126"/>
      <c r="AN525" s="126"/>
      <c r="AO525" s="126"/>
      <c r="AP525" s="126"/>
      <c r="AQ525" s="126"/>
      <c r="AR525" s="126"/>
      <c r="AS525" s="126"/>
      <c r="AT525" s="126"/>
      <c r="AU525" s="126"/>
      <c r="AV525" s="126"/>
      <c r="AW525" s="126"/>
      <c r="AX525" s="126"/>
      <c r="AY525" s="126"/>
      <c r="AZ525" s="126"/>
      <c r="BA525" s="126"/>
      <c r="BB525" s="126"/>
      <c r="BC525" s="126"/>
      <c r="BD525" s="126"/>
    </row>
    <row r="526" customFormat="false" ht="12.75" hidden="false" customHeight="false" outlineLevel="0" collapsed="false">
      <c r="A526" s="173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  <c r="Z526" s="126"/>
      <c r="AA526" s="126"/>
      <c r="AB526" s="126"/>
      <c r="AC526" s="126"/>
      <c r="AD526" s="126"/>
      <c r="AE526" s="126"/>
      <c r="AF526" s="126"/>
      <c r="AG526" s="126"/>
      <c r="AH526" s="126"/>
      <c r="AI526" s="126"/>
      <c r="AJ526" s="126"/>
      <c r="AK526" s="126"/>
      <c r="AL526" s="126"/>
      <c r="AM526" s="126"/>
      <c r="AN526" s="126"/>
      <c r="AO526" s="126"/>
      <c r="AP526" s="126"/>
      <c r="AQ526" s="126"/>
      <c r="AR526" s="126"/>
      <c r="AS526" s="126"/>
      <c r="AT526" s="126"/>
      <c r="AU526" s="126"/>
      <c r="AV526" s="126"/>
      <c r="AW526" s="126"/>
      <c r="AX526" s="126"/>
      <c r="AY526" s="126"/>
      <c r="AZ526" s="126"/>
      <c r="BA526" s="126"/>
      <c r="BB526" s="126"/>
      <c r="BC526" s="126"/>
      <c r="BD526" s="126"/>
    </row>
    <row r="527" customFormat="false" ht="12.75" hidden="false" customHeight="false" outlineLevel="0" collapsed="false">
      <c r="A527" s="173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  <c r="Z527" s="126"/>
      <c r="AA527" s="126"/>
      <c r="AB527" s="126"/>
      <c r="AC527" s="126"/>
      <c r="AD527" s="126"/>
      <c r="AE527" s="126"/>
      <c r="AF527" s="126"/>
      <c r="AG527" s="126"/>
      <c r="AH527" s="126"/>
      <c r="AI527" s="126"/>
      <c r="AJ527" s="126"/>
      <c r="AK527" s="126"/>
      <c r="AL527" s="126"/>
      <c r="AM527" s="126"/>
      <c r="AN527" s="126"/>
      <c r="AO527" s="126"/>
      <c r="AP527" s="126"/>
      <c r="AQ527" s="126"/>
      <c r="AR527" s="126"/>
      <c r="AS527" s="126"/>
      <c r="AT527" s="126"/>
      <c r="AU527" s="126"/>
      <c r="AV527" s="126"/>
      <c r="AW527" s="126"/>
      <c r="AX527" s="126"/>
      <c r="AY527" s="126"/>
      <c r="AZ527" s="126"/>
      <c r="BA527" s="126"/>
      <c r="BB527" s="126"/>
      <c r="BC527" s="126"/>
      <c r="BD527" s="126"/>
    </row>
    <row r="528" customFormat="false" ht="12.75" hidden="false" customHeight="false" outlineLevel="0" collapsed="false">
      <c r="A528" s="174"/>
      <c r="B528" s="175"/>
      <c r="C528" s="175"/>
      <c r="D528" s="175"/>
      <c r="E528" s="175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5"/>
      <c r="AI528" s="175"/>
      <c r="AJ528" s="175"/>
      <c r="AK528" s="175"/>
      <c r="AL528" s="175"/>
      <c r="AM528" s="175"/>
      <c r="AN528" s="175"/>
      <c r="AO528" s="175"/>
      <c r="AP528" s="175"/>
      <c r="AQ528" s="175"/>
      <c r="AR528" s="175"/>
      <c r="AS528" s="175"/>
      <c r="AT528" s="175"/>
      <c r="AU528" s="175"/>
      <c r="AV528" s="175"/>
      <c r="AW528" s="175"/>
      <c r="AX528" s="175"/>
      <c r="AY528" s="175"/>
      <c r="AZ528" s="175"/>
      <c r="BA528" s="175"/>
      <c r="BB528" s="175"/>
      <c r="BC528" s="175"/>
      <c r="BD528" s="175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T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76" width="9.28"/>
    <col collapsed="false" customWidth="true" hidden="false" outlineLevel="0" max="9" min="2" style="176" width="9.14"/>
    <col collapsed="false" customWidth="true" hidden="false" outlineLevel="0" max="10" min="10" style="176" width="9.28"/>
    <col collapsed="false" customWidth="true" hidden="false" outlineLevel="0" max="11" min="11" style="176" width="9.85"/>
    <col collapsed="false" customWidth="true" hidden="false" outlineLevel="0" max="12" min="12" style="176" width="9.14"/>
    <col collapsed="false" customWidth="true" hidden="false" outlineLevel="0" max="13" min="13" style="176" width="11.99"/>
    <col collapsed="false" customWidth="true" hidden="false" outlineLevel="0" max="14" min="14" style="176" width="9.28"/>
    <col collapsed="false" customWidth="true" hidden="false" outlineLevel="0" max="32" min="15" style="176" width="9.14"/>
  </cols>
  <sheetData>
    <row r="3" customFormat="false" ht="12.75" hidden="false" customHeight="false" outlineLevel="0" collapsed="false">
      <c r="Q3" s="176" t="s">
        <v>160</v>
      </c>
      <c r="S3" s="176" t="s">
        <v>4</v>
      </c>
    </row>
    <row r="5" customFormat="false" ht="12.75" hidden="false" customHeight="false" outlineLevel="0" collapsed="false">
      <c r="A5" s="176" t="s">
        <v>161</v>
      </c>
      <c r="B5" s="176" t="s">
        <v>162</v>
      </c>
      <c r="C5" s="176" t="s">
        <v>9</v>
      </c>
      <c r="D5" s="176" t="s">
        <v>158</v>
      </c>
      <c r="E5" s="176" t="s">
        <v>163</v>
      </c>
      <c r="F5" s="176" t="s">
        <v>118</v>
      </c>
      <c r="G5" s="176" t="s">
        <v>164</v>
      </c>
      <c r="H5" s="176" t="s">
        <v>165</v>
      </c>
      <c r="I5" s="176" t="s">
        <v>166</v>
      </c>
      <c r="J5" s="176" t="s">
        <v>1</v>
      </c>
      <c r="K5" s="176" t="s">
        <v>2</v>
      </c>
      <c r="M5" s="176" t="s">
        <v>1</v>
      </c>
    </row>
    <row r="6" customFormat="false" ht="12.75" hidden="false" customHeight="false" outlineLevel="0" collapsed="false">
      <c r="A6" s="177" t="n">
        <v>1.07</v>
      </c>
      <c r="B6" s="177" t="n">
        <v>3.68</v>
      </c>
      <c r="C6" s="176" t="n">
        <v>4.75</v>
      </c>
      <c r="D6" s="176" t="n">
        <v>0.037</v>
      </c>
      <c r="E6" s="176" t="n">
        <v>0.037</v>
      </c>
      <c r="F6" s="176" t="n">
        <v>0.8</v>
      </c>
      <c r="G6" s="178" t="n">
        <f aca="true">H6-TODAY()</f>
        <v>-8583</v>
      </c>
      <c r="H6" s="179" t="n">
        <v>37343</v>
      </c>
      <c r="I6" s="176" t="n">
        <v>1</v>
      </c>
      <c r="J6" s="180" t="e">
        <f aca="false">DIGITAL($A6,$B6,$C6,$D6,$E6,$F6,$G6,$I6,0)</f>
        <v>#NAME?</v>
      </c>
      <c r="K6" s="180" t="e">
        <f aca="false">DIGITAL($A6,$B6,$C6,$D6,$E6,$F6,$G6,$I6,1)</f>
        <v>#NAME?</v>
      </c>
      <c r="M6" s="181" t="e">
        <f aca="false">J6*-1</f>
        <v>#NAME?</v>
      </c>
      <c r="N6" s="177" t="e">
        <f aca="false">DIGITAL($A6,$B6+0.01,$C6,$D6,$E6,$F6,$G6,$I6,0)</f>
        <v>#NAME?</v>
      </c>
      <c r="O6" s="180" t="e">
        <f aca="false">N6-J6</f>
        <v>#NAME?</v>
      </c>
      <c r="Q6" s="177" t="e">
        <f aca="false">O6/100</f>
        <v>#NAME?</v>
      </c>
      <c r="S6" s="180" t="e">
        <f aca="false">T6-J6</f>
        <v>#NAME?</v>
      </c>
      <c r="T6" s="180" t="e">
        <f aca="false">DIGITAL($A6,$B6,$C6,$D6,$E6,$F6+0.01,$G6,$I6,0)</f>
        <v>#NAME?</v>
      </c>
    </row>
    <row r="7" customFormat="false" ht="12.75" hidden="false" customHeight="false" outlineLevel="0" collapsed="false">
      <c r="A7" s="180"/>
      <c r="G7" s="178"/>
      <c r="H7" s="179"/>
      <c r="J7" s="180"/>
      <c r="K7" s="180"/>
      <c r="M7" s="180"/>
      <c r="N7" s="180"/>
      <c r="O7" s="180"/>
      <c r="Q7" s="177"/>
      <c r="S7" s="180"/>
      <c r="T7" s="180"/>
    </row>
    <row r="8" customFormat="false" ht="12.75" hidden="false" customHeight="false" outlineLevel="0" collapsed="false">
      <c r="A8" s="180"/>
      <c r="G8" s="178"/>
      <c r="H8" s="179"/>
      <c r="J8" s="180"/>
      <c r="K8" s="180"/>
      <c r="M8" s="180"/>
      <c r="N8" s="180"/>
      <c r="O8" s="180"/>
      <c r="Q8" s="177"/>
      <c r="S8" s="180"/>
      <c r="T8" s="180"/>
    </row>
    <row r="9" customFormat="false" ht="12.75" hidden="false" customHeight="false" outlineLevel="0" collapsed="false">
      <c r="A9" s="180"/>
      <c r="G9" s="178"/>
      <c r="H9" s="179"/>
      <c r="J9" s="180"/>
      <c r="K9" s="180"/>
      <c r="M9" s="180"/>
      <c r="N9" s="180"/>
      <c r="O9" s="180"/>
      <c r="Q9" s="177"/>
      <c r="S9" s="180"/>
      <c r="T9" s="180"/>
    </row>
    <row r="10" customFormat="false" ht="12.75" hidden="false" customHeight="false" outlineLevel="0" collapsed="false">
      <c r="A10" s="180"/>
      <c r="G10" s="178"/>
      <c r="H10" s="179"/>
      <c r="J10" s="180"/>
      <c r="K10" s="180"/>
      <c r="M10" s="180"/>
      <c r="N10" s="180"/>
      <c r="O10" s="180"/>
      <c r="Q10" s="177"/>
      <c r="S10" s="180"/>
      <c r="T10" s="180"/>
    </row>
    <row r="11" customFormat="false" ht="12.75" hidden="false" customHeight="false" outlineLevel="0" collapsed="false">
      <c r="A11" s="180"/>
      <c r="G11" s="178"/>
      <c r="H11" s="179"/>
      <c r="J11" s="180"/>
      <c r="K11" s="180"/>
      <c r="M11" s="180"/>
      <c r="N11" s="180"/>
      <c r="O11" s="180"/>
      <c r="Q11" s="177"/>
      <c r="S11" s="180"/>
      <c r="T11" s="180"/>
    </row>
    <row r="12" customFormat="false" ht="12.75" hidden="false" customHeight="false" outlineLevel="0" collapsed="false">
      <c r="A12" s="180"/>
      <c r="G12" s="178"/>
      <c r="H12" s="179"/>
      <c r="J12" s="180"/>
      <c r="K12" s="180"/>
      <c r="M12" s="180"/>
      <c r="N12" s="180"/>
      <c r="O12" s="180"/>
      <c r="Q12" s="177"/>
      <c r="S12" s="180"/>
      <c r="T12" s="180"/>
    </row>
    <row r="13" customFormat="false" ht="12.75" hidden="false" customHeight="false" outlineLevel="0" collapsed="false">
      <c r="A13" s="180"/>
      <c r="E13" s="176" t="n">
        <v>0</v>
      </c>
    </row>
    <row r="14" customFormat="false" ht="12.75" hidden="false" customHeight="false" outlineLevel="0" collapsed="false">
      <c r="A14" s="180"/>
    </row>
    <row r="15" customFormat="false" ht="12.75" hidden="false" customHeight="false" outlineLevel="0" collapsed="false">
      <c r="A15" s="180"/>
      <c r="K15" s="180"/>
      <c r="M15" s="180"/>
      <c r="O15" s="180"/>
      <c r="Q15" s="177"/>
      <c r="S15" s="180"/>
    </row>
    <row r="16" customFormat="false" ht="12.75" hidden="false" customHeight="false" outlineLevel="0" collapsed="false">
      <c r="A16" s="180"/>
    </row>
    <row r="17" customFormat="false" ht="12.75" hidden="false" customHeight="false" outlineLevel="0" collapsed="false">
      <c r="A17" s="180"/>
      <c r="K17" s="180"/>
      <c r="M17" s="180"/>
      <c r="O17" s="180"/>
      <c r="Q17" s="177"/>
      <c r="S17" s="180"/>
    </row>
    <row r="18" customFormat="false" ht="12.75" hidden="false" customHeight="false" outlineLevel="0" collapsed="false">
      <c r="A18" s="180"/>
    </row>
    <row r="19" customFormat="false" ht="12.75" hidden="false" customHeight="false" outlineLevel="0" collapsed="false">
      <c r="A19" s="180"/>
    </row>
    <row r="20" customFormat="false" ht="12.75" hidden="false" customHeight="false" outlineLevel="0" collapsed="false">
      <c r="A20" s="180"/>
    </row>
    <row r="21" customFormat="false" ht="12.75" hidden="false" customHeight="false" outlineLevel="0" collapsed="false">
      <c r="A21" s="180"/>
    </row>
    <row r="22" customFormat="false" ht="12.75" hidden="false" customHeight="false" outlineLevel="0" collapsed="false">
      <c r="A22" s="180" t="n">
        <v>1.07</v>
      </c>
    </row>
    <row r="23" customFormat="false" ht="12.75" hidden="false" customHeight="false" outlineLevel="0" collapsed="false">
      <c r="A23" s="180"/>
    </row>
    <row r="24" customFormat="false" ht="12.75" hidden="false" customHeight="false" outlineLevel="0" collapsed="false">
      <c r="A24" s="180"/>
    </row>
    <row r="25" customFormat="false" ht="12.75" hidden="false" customHeight="false" outlineLevel="0" collapsed="false">
      <c r="A25" s="180"/>
    </row>
    <row r="26" customFormat="false" ht="12.75" hidden="false" customHeight="false" outlineLevel="0" collapsed="false">
      <c r="A26" s="180"/>
    </row>
    <row r="27" customFormat="false" ht="12.75" hidden="false" customHeight="false" outlineLevel="0" collapsed="false">
      <c r="A27" s="180"/>
    </row>
    <row r="28" customFormat="false" ht="12.75" hidden="false" customHeight="false" outlineLevel="0" collapsed="false">
      <c r="A28" s="180"/>
    </row>
    <row r="29" customFormat="false" ht="12.75" hidden="false" customHeight="false" outlineLevel="0" collapsed="false">
      <c r="A29" s="180"/>
    </row>
    <row r="30" customFormat="false" ht="12.75" hidden="false" customHeight="false" outlineLevel="0" collapsed="false">
      <c r="A30" s="180"/>
    </row>
    <row r="31" customFormat="false" ht="12.75" hidden="false" customHeight="false" outlineLevel="0" collapsed="false">
      <c r="A31" s="180"/>
    </row>
    <row r="32" customFormat="false" ht="12.75" hidden="false" customHeight="false" outlineLevel="0" collapsed="false">
      <c r="A32" s="180"/>
    </row>
    <row r="33" customFormat="false" ht="12.75" hidden="false" customHeight="false" outlineLevel="0" collapsed="false">
      <c r="A33" s="180"/>
    </row>
    <row r="34" customFormat="false" ht="12.75" hidden="false" customHeight="false" outlineLevel="0" collapsed="false">
      <c r="A34" s="180"/>
    </row>
    <row r="35" customFormat="false" ht="12.75" hidden="false" customHeight="false" outlineLevel="0" collapsed="false">
      <c r="A35" s="180"/>
    </row>
    <row r="36" customFormat="false" ht="12.75" hidden="false" customHeight="false" outlineLevel="0" collapsed="false">
      <c r="A36" s="180"/>
    </row>
    <row r="37" customFormat="false" ht="12.75" hidden="false" customHeight="false" outlineLevel="0" collapsed="false">
      <c r="A37" s="180"/>
    </row>
    <row r="38" customFormat="false" ht="12.75" hidden="false" customHeight="false" outlineLevel="0" collapsed="false">
      <c r="A38" s="180"/>
    </row>
    <row r="39" customFormat="false" ht="12.75" hidden="false" customHeight="false" outlineLevel="0" collapsed="false">
      <c r="A39" s="180"/>
    </row>
    <row r="40" customFormat="false" ht="12.75" hidden="false" customHeight="false" outlineLevel="0" collapsed="false">
      <c r="A40" s="180"/>
    </row>
    <row r="41" customFormat="false" ht="12.75" hidden="false" customHeight="false" outlineLevel="0" collapsed="false">
      <c r="A41" s="180"/>
    </row>
    <row r="42" customFormat="false" ht="12.75" hidden="false" customHeight="false" outlineLevel="0" collapsed="false">
      <c r="A42" s="180"/>
    </row>
    <row r="43" customFormat="false" ht="12.75" hidden="false" customHeight="false" outlineLevel="0" collapsed="false">
      <c r="A43" s="180"/>
    </row>
    <row r="44" customFormat="false" ht="12.75" hidden="false" customHeight="false" outlineLevel="0" collapsed="false">
      <c r="A44" s="180"/>
    </row>
    <row r="45" customFormat="false" ht="12.75" hidden="false" customHeight="false" outlineLevel="0" collapsed="false">
      <c r="A45" s="180"/>
    </row>
    <row r="46" customFormat="false" ht="12.75" hidden="false" customHeight="false" outlineLevel="0" collapsed="false">
      <c r="A46" s="180"/>
    </row>
    <row r="47" customFormat="false" ht="12.75" hidden="false" customHeight="false" outlineLevel="0" collapsed="false">
      <c r="A47" s="180"/>
    </row>
    <row r="48" customFormat="false" ht="12.75" hidden="false" customHeight="false" outlineLevel="0" collapsed="false">
      <c r="A48" s="180"/>
    </row>
    <row r="49" customFormat="false" ht="12.75" hidden="false" customHeight="false" outlineLevel="0" collapsed="false">
      <c r="A49" s="180"/>
    </row>
    <row r="50" customFormat="false" ht="12.75" hidden="false" customHeight="false" outlineLevel="0" collapsed="false">
      <c r="A50" s="180"/>
    </row>
    <row r="51" customFormat="false" ht="12.75" hidden="false" customHeight="false" outlineLevel="0" collapsed="false">
      <c r="A51" s="180"/>
    </row>
    <row r="52" customFormat="false" ht="12.75" hidden="false" customHeight="false" outlineLevel="0" collapsed="false">
      <c r="A52" s="180"/>
    </row>
    <row r="53" customFormat="false" ht="12.75" hidden="false" customHeight="false" outlineLevel="0" collapsed="false">
      <c r="A53" s="180"/>
    </row>
    <row r="54" customFormat="false" ht="12.75" hidden="false" customHeight="false" outlineLevel="0" collapsed="false">
      <c r="A54" s="180"/>
    </row>
    <row r="55" customFormat="false" ht="12.75" hidden="false" customHeight="false" outlineLevel="0" collapsed="false">
      <c r="A55" s="180"/>
    </row>
    <row r="56" customFormat="false" ht="12.75" hidden="false" customHeight="false" outlineLevel="0" collapsed="false">
      <c r="A56" s="180"/>
    </row>
    <row r="57" customFormat="false" ht="12.75" hidden="false" customHeight="false" outlineLevel="0" collapsed="false">
      <c r="A57" s="180"/>
    </row>
    <row r="58" customFormat="false" ht="12.75" hidden="false" customHeight="false" outlineLevel="0" collapsed="false">
      <c r="A58" s="180"/>
    </row>
    <row r="59" customFormat="false" ht="12.75" hidden="false" customHeight="false" outlineLevel="0" collapsed="false">
      <c r="A59" s="180"/>
    </row>
    <row r="60" customFormat="false" ht="12.75" hidden="false" customHeight="false" outlineLevel="0" collapsed="false">
      <c r="A60" s="180"/>
    </row>
    <row r="61" customFormat="false" ht="12.75" hidden="false" customHeight="false" outlineLevel="0" collapsed="false">
      <c r="A61" s="180"/>
    </row>
    <row r="62" customFormat="false" ht="12.75" hidden="false" customHeight="false" outlineLevel="0" collapsed="false">
      <c r="A62" s="180"/>
    </row>
    <row r="63" customFormat="false" ht="12.75" hidden="false" customHeight="false" outlineLevel="0" collapsed="false">
      <c r="A63" s="180"/>
    </row>
    <row r="64" customFormat="false" ht="12.75" hidden="false" customHeight="false" outlineLevel="0" collapsed="false">
      <c r="A64" s="180"/>
    </row>
    <row r="65" customFormat="false" ht="12.75" hidden="false" customHeight="false" outlineLevel="0" collapsed="false">
      <c r="A65" s="180"/>
    </row>
    <row r="66" customFormat="false" ht="12.75" hidden="false" customHeight="false" outlineLevel="0" collapsed="false">
      <c r="A66" s="180"/>
    </row>
    <row r="67" customFormat="false" ht="12.75" hidden="false" customHeight="false" outlineLevel="0" collapsed="false">
      <c r="A67" s="180"/>
    </row>
    <row r="68" customFormat="false" ht="12.75" hidden="false" customHeight="false" outlineLevel="0" collapsed="false">
      <c r="A68" s="180"/>
    </row>
    <row r="69" customFormat="false" ht="12.75" hidden="false" customHeight="false" outlineLevel="0" collapsed="false">
      <c r="A69" s="180"/>
    </row>
    <row r="70" customFormat="false" ht="12.75" hidden="false" customHeight="false" outlineLevel="0" collapsed="false">
      <c r="A70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22"/>
      <c r="B1" s="122"/>
      <c r="C1" s="122"/>
      <c r="D1" s="122"/>
    </row>
    <row r="2" customFormat="false" ht="15" hidden="false" customHeight="false" outlineLevel="0" collapsed="false">
      <c r="A2" s="131"/>
      <c r="B2" s="131"/>
      <c r="C2" s="131"/>
      <c r="D2" s="131"/>
    </row>
    <row r="3" customFormat="false" ht="15.75" hidden="false" customHeight="false" outlineLevel="0" collapsed="false">
      <c r="A3" s="131"/>
      <c r="B3" s="131"/>
      <c r="C3" s="131"/>
      <c r="D3" s="131"/>
      <c r="G3" s="0" t="e">
        <f aca="false">STRADDLES!BE23</f>
        <v>#N/A</v>
      </c>
      <c r="I3" s="0" t="s">
        <v>167</v>
      </c>
      <c r="K3" s="0" t="s">
        <v>168</v>
      </c>
      <c r="L3" s="0" t="s">
        <v>169</v>
      </c>
      <c r="M3" s="0" t="s">
        <v>170</v>
      </c>
      <c r="N3" s="44"/>
      <c r="O3" s="44"/>
      <c r="P3" s="44"/>
    </row>
    <row r="4" customFormat="false" ht="13.5" hidden="false" customHeight="false" outlineLevel="0" collapsed="false">
      <c r="A4" s="137"/>
      <c r="B4" s="137"/>
      <c r="C4" s="137"/>
      <c r="D4" s="137"/>
      <c r="H4" s="0" t="s">
        <v>171</v>
      </c>
      <c r="I4" s="0" t="s">
        <v>172</v>
      </c>
      <c r="K4" s="0" t="s">
        <v>173</v>
      </c>
      <c r="L4" s="0" t="s">
        <v>174</v>
      </c>
      <c r="M4" s="0" t="s">
        <v>175</v>
      </c>
      <c r="N4" s="44"/>
      <c r="O4" s="44"/>
      <c r="P4" s="44"/>
    </row>
    <row r="5" customFormat="false" ht="12.75" hidden="false" customHeight="false" outlineLevel="0" collapsed="false">
      <c r="A5" s="142"/>
      <c r="B5" s="142"/>
      <c r="C5" s="142"/>
      <c r="D5" s="142"/>
      <c r="E5" s="182"/>
      <c r="F5" s="0" t="s">
        <v>176</v>
      </c>
      <c r="G5" s="0" t="n">
        <v>-0.84</v>
      </c>
      <c r="H5" s="183" t="e">
        <f aca="false">G5+G$3</f>
        <v>#N/A</v>
      </c>
      <c r="I5" s="0" t="n">
        <f aca="false">((K5*(1-M5))+(L5*M5))</f>
        <v>2.266</v>
      </c>
      <c r="J5" s="183" t="e">
        <f aca="false">H5-I5</f>
        <v>#N/A</v>
      </c>
      <c r="K5" s="0" t="n">
        <v>2.27</v>
      </c>
      <c r="L5" s="0" t="n">
        <v>2.266</v>
      </c>
      <c r="M5" s="0" t="n">
        <v>1</v>
      </c>
      <c r="N5" s="44"/>
      <c r="O5" s="44"/>
      <c r="P5" s="44"/>
    </row>
    <row r="6" customFormat="false" ht="12.75" hidden="false" customHeight="false" outlineLevel="0" collapsed="false">
      <c r="A6" s="142"/>
      <c r="B6" s="142"/>
      <c r="C6" s="142"/>
      <c r="D6" s="142"/>
      <c r="E6" s="182"/>
      <c r="F6" s="0" t="s">
        <v>177</v>
      </c>
      <c r="G6" s="0" t="n">
        <v>-0.655</v>
      </c>
      <c r="H6" s="183" t="e">
        <f aca="false">G6+G$3</f>
        <v>#N/A</v>
      </c>
      <c r="I6" s="0" t="n">
        <f aca="false">((K6*(1-M6))+(L6*M6))</f>
        <v>2.419</v>
      </c>
      <c r="J6" s="183" t="e">
        <f aca="false">H6-I6</f>
        <v>#N/A</v>
      </c>
      <c r="K6" s="0" t="n">
        <v>2.51</v>
      </c>
      <c r="L6" s="0" t="n">
        <v>2.419</v>
      </c>
      <c r="M6" s="0" t="n">
        <v>1</v>
      </c>
      <c r="N6" s="44"/>
      <c r="O6" s="44"/>
      <c r="P6" s="44"/>
    </row>
    <row r="7" customFormat="false" ht="12.75" hidden="false" customHeight="false" outlineLevel="0" collapsed="false">
      <c r="A7" s="127"/>
      <c r="B7" s="127"/>
      <c r="C7" s="127"/>
      <c r="D7" s="127"/>
      <c r="E7" s="153"/>
      <c r="F7" s="0" t="s">
        <v>178</v>
      </c>
      <c r="G7" s="0" t="n">
        <v>0.55</v>
      </c>
      <c r="H7" s="183" t="e">
        <f aca="false">G7+G$3</f>
        <v>#N/A</v>
      </c>
      <c r="I7" s="0" t="n">
        <f aca="false">((K7*(1-M7))+(L7*M7))</f>
        <v>3.7</v>
      </c>
      <c r="J7" s="183" t="e">
        <f aca="false">H7-I7</f>
        <v>#N/A</v>
      </c>
      <c r="K7" s="0" t="n">
        <v>3.73</v>
      </c>
      <c r="L7" s="0" t="n">
        <v>3.7</v>
      </c>
      <c r="M7" s="0" t="n">
        <v>1</v>
      </c>
      <c r="N7" s="44"/>
      <c r="O7" s="44"/>
      <c r="P7" s="44"/>
    </row>
    <row r="8" customFormat="false" ht="12.75" hidden="false" customHeight="false" outlineLevel="0" collapsed="false">
      <c r="A8" s="127"/>
      <c r="B8" s="127"/>
      <c r="C8" s="127"/>
      <c r="D8" s="127"/>
      <c r="E8" s="184"/>
      <c r="F8" s="0" t="s">
        <v>179</v>
      </c>
      <c r="G8" s="0" t="n">
        <v>-0.03</v>
      </c>
      <c r="H8" s="183" t="e">
        <f aca="false">G8+G$3</f>
        <v>#N/A</v>
      </c>
      <c r="I8" s="0" t="n">
        <f aca="false">((K8*(1-M8))+(L8*M8))</f>
        <v>3.097</v>
      </c>
      <c r="J8" s="183" t="e">
        <f aca="false">H8-I8</f>
        <v>#N/A</v>
      </c>
      <c r="K8" s="0" t="n">
        <v>3.09</v>
      </c>
      <c r="L8" s="0" t="n">
        <v>3.097</v>
      </c>
      <c r="M8" s="0" t="n">
        <v>1</v>
      </c>
      <c r="N8" s="44"/>
      <c r="O8" s="44"/>
      <c r="P8" s="44"/>
    </row>
    <row r="9" customFormat="false" ht="12.75" hidden="false" customHeight="false" outlineLevel="0" collapsed="false">
      <c r="A9" s="127"/>
      <c r="B9" s="127"/>
      <c r="C9" s="127"/>
      <c r="D9" s="127"/>
      <c r="E9" s="184"/>
      <c r="N9" s="44"/>
      <c r="O9" s="44"/>
      <c r="P9" s="44"/>
    </row>
    <row r="10" customFormat="false" ht="12.75" hidden="false" customHeight="false" outlineLevel="0" collapsed="false">
      <c r="A10" s="2"/>
      <c r="B10" s="2"/>
      <c r="C10" s="2"/>
      <c r="D10" s="2"/>
      <c r="E10" s="184"/>
      <c r="N10" s="44"/>
      <c r="O10" s="44"/>
      <c r="P10" s="44"/>
    </row>
    <row r="11" customFormat="false" ht="12.75" hidden="false" customHeight="false" outlineLevel="0" collapsed="false">
      <c r="A11" s="2"/>
      <c r="B11" s="2"/>
      <c r="C11" s="2"/>
      <c r="D11" s="2"/>
      <c r="E11" s="184"/>
      <c r="N11" s="44"/>
      <c r="O11" s="44"/>
      <c r="P11" s="44"/>
    </row>
    <row r="12" customFormat="false" ht="13.5" hidden="false" customHeight="false" outlineLevel="0" collapsed="false">
      <c r="A12" s="2"/>
      <c r="B12" s="2"/>
      <c r="C12" s="2"/>
      <c r="D12" s="2"/>
      <c r="E12" s="184"/>
      <c r="N12" s="44"/>
      <c r="O12" s="44"/>
      <c r="P12" s="44"/>
    </row>
    <row r="13" customFormat="false" ht="13.5" hidden="false" customHeight="false" outlineLevel="0" collapsed="false">
      <c r="A13" s="137"/>
      <c r="B13" s="185"/>
      <c r="C13" s="185"/>
      <c r="D13" s="186"/>
      <c r="E13" s="184"/>
      <c r="N13" s="44"/>
      <c r="O13" s="44"/>
      <c r="P13" s="44"/>
    </row>
    <row r="14" customFormat="false" ht="12.75" hidden="false" customHeight="false" outlineLevel="0" collapsed="false">
      <c r="A14" s="153"/>
      <c r="B14" s="153"/>
      <c r="C14" s="153"/>
      <c r="D14" s="153"/>
      <c r="E14" s="184"/>
      <c r="N14" s="44"/>
      <c r="O14" s="44"/>
      <c r="P14" s="44"/>
    </row>
    <row r="15" customFormat="false" ht="12.75" hidden="false" customHeight="false" outlineLevel="0" collapsed="false">
      <c r="A15" s="16"/>
      <c r="B15" s="16"/>
      <c r="C15" s="16"/>
      <c r="D15" s="16"/>
      <c r="E15" s="184"/>
    </row>
    <row r="16" customFormat="false" ht="12.75" hidden="false" customHeight="false" outlineLevel="0" collapsed="false">
      <c r="A16" s="16"/>
      <c r="B16" s="16"/>
      <c r="C16" s="16"/>
      <c r="D16" s="16"/>
    </row>
    <row r="20" customFormat="false" ht="12.75" hidden="false" customHeight="false" outlineLevel="0" collapsed="false">
      <c r="H20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A2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9.56"/>
    <col collapsed="false" customWidth="true" hidden="false" outlineLevel="0" max="4" min="3" style="1" width="9.14"/>
    <col collapsed="false" customWidth="true" hidden="false" outlineLevel="0" max="5" min="5" style="1" width="10.13"/>
    <col collapsed="false" customWidth="true" hidden="false" outlineLevel="0" max="9" min="6" style="1" width="9.14"/>
    <col collapsed="false" customWidth="true" hidden="false" outlineLevel="0" max="10" min="10" style="1" width="10.41"/>
    <col collapsed="false" customWidth="true" hidden="false" outlineLevel="0" max="12" min="11" style="1" width="9.14"/>
    <col collapsed="false" customWidth="true" hidden="false" outlineLevel="0" max="13" min="13" style="1" width="10.13"/>
    <col collapsed="false" customWidth="true" hidden="false" outlineLevel="0" max="27" min="14" style="1" width="9.99"/>
    <col collapsed="false" customWidth="true" hidden="false" outlineLevel="0" max="37" min="28" style="1" width="9.14"/>
    <col collapsed="false" customWidth="true" hidden="false" outlineLevel="0" max="38" min="38" style="188" width="9.14"/>
    <col collapsed="false" customWidth="true" hidden="false" outlineLevel="0" max="46" min="39" style="1" width="9.14"/>
    <col collapsed="false" customWidth="true" hidden="false" outlineLevel="0" max="48" min="48" style="1" width="9.14"/>
    <col collapsed="false" customWidth="true" hidden="false" outlineLevel="0" max="49" min="49" style="188" width="9.14"/>
    <col collapsed="false" customWidth="true" hidden="false" outlineLevel="0" max="57" min="50" style="1" width="9.14"/>
    <col collapsed="false" customWidth="true" hidden="false" outlineLevel="0" max="59" min="59" style="1" width="9.14"/>
    <col collapsed="false" customWidth="true" hidden="false" outlineLevel="0" max="60" min="60" style="188" width="9.14"/>
    <col collapsed="false" customWidth="true" hidden="false" outlineLevel="0" max="68" min="61" style="1" width="9.14"/>
    <col collapsed="false" customWidth="true" hidden="false" outlineLevel="0" max="70" min="70" style="1" width="9.14"/>
    <col collapsed="false" customWidth="true" hidden="false" outlineLevel="0" max="71" min="71" style="188" width="9.14"/>
    <col collapsed="false" customWidth="true" hidden="false" outlineLevel="0" max="79" min="72" style="1" width="9.14"/>
  </cols>
  <sheetData>
    <row r="1" customFormat="false" ht="12.75" hidden="false" customHeight="false" outlineLevel="0" collapsed="false">
      <c r="A1" s="5"/>
      <c r="B1" s="189"/>
      <c r="C1" s="4"/>
      <c r="D1" s="2" t="s">
        <v>180</v>
      </c>
      <c r="E1" s="2" t="e">
        <f aca="false">summerstrip</f>
        <v>#REF!</v>
      </c>
      <c r="F1" s="2"/>
      <c r="G1" s="190" t="s">
        <v>4</v>
      </c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</row>
    <row r="2" customFormat="false" ht="12.75" hidden="false" customHeight="false" outlineLevel="0" collapsed="false">
      <c r="A2" s="5" t="s">
        <v>181</v>
      </c>
      <c r="B2" s="191" t="n">
        <f aca="true">TODAY()</f>
        <v>45926</v>
      </c>
      <c r="C2" s="4"/>
      <c r="D2" s="2" t="s">
        <v>182</v>
      </c>
      <c r="E2" s="2" t="e">
        <f aca="false">winterstrip</f>
        <v>#REF!</v>
      </c>
      <c r="F2" s="2"/>
      <c r="G2" s="2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H2" s="10"/>
      <c r="AI2" s="10"/>
      <c r="AJ2" s="11"/>
      <c r="AK2" s="10"/>
      <c r="AL2" s="192"/>
      <c r="AV2" s="10"/>
      <c r="AW2" s="192"/>
      <c r="BG2" s="10"/>
      <c r="BH2" s="192"/>
      <c r="BR2" s="10"/>
      <c r="BS2" s="192"/>
    </row>
    <row r="3" customFormat="false" ht="12.75" hidden="false" customHeight="false" outlineLevel="0" collapsed="false">
      <c r="A3" s="5"/>
      <c r="B3" s="189"/>
      <c r="D3" s="2"/>
      <c r="E3" s="2"/>
      <c r="F3" s="122" t="s">
        <v>183</v>
      </c>
      <c r="G3" s="2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H3" s="10"/>
      <c r="AI3" s="10"/>
      <c r="AJ3" s="11"/>
      <c r="AK3" s="10"/>
      <c r="AL3" s="192"/>
      <c r="AV3" s="10"/>
      <c r="AW3" s="192"/>
      <c r="BG3" s="10"/>
      <c r="BH3" s="192"/>
      <c r="BR3" s="10"/>
      <c r="BS3" s="192"/>
    </row>
    <row r="4" customFormat="false" ht="12.75" hidden="false" customHeight="false" outlineLevel="0" collapsed="false">
      <c r="A4" s="2" t="s">
        <v>184</v>
      </c>
      <c r="B4" s="122" t="str">
        <f aca="false">STRADDLES!$B5</f>
        <v>nymex</v>
      </c>
      <c r="D4" s="122" t="str">
        <f aca="false">STRADDLES!$C5</f>
        <v>nymex</v>
      </c>
      <c r="E4" s="2"/>
      <c r="F4" s="122" t="str">
        <f aca="false">STRADDLES!$D5</f>
        <v>nymex</v>
      </c>
      <c r="H4" s="122" t="str">
        <f aca="false">STRADDLES!$E5</f>
        <v>nymex</v>
      </c>
      <c r="I4" s="14"/>
      <c r="J4" s="0"/>
      <c r="K4" s="0"/>
      <c r="L4" s="0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4"/>
      <c r="AC4" s="14"/>
      <c r="AD4" s="14"/>
      <c r="AH4" s="10"/>
      <c r="AI4" s="10"/>
      <c r="AJ4" s="11"/>
      <c r="AK4" s="10"/>
      <c r="AL4" s="192"/>
      <c r="AV4" s="10"/>
      <c r="AW4" s="192"/>
      <c r="BG4" s="10"/>
      <c r="BH4" s="192"/>
      <c r="BR4" s="10"/>
      <c r="BS4" s="192"/>
    </row>
    <row r="5" customFormat="false" ht="12.75" hidden="false" customHeight="false" outlineLevel="0" collapsed="false">
      <c r="A5" s="2"/>
      <c r="B5" s="2" t="s">
        <v>7</v>
      </c>
      <c r="D5" s="2" t="s">
        <v>8</v>
      </c>
      <c r="F5" s="2" t="s">
        <v>185</v>
      </c>
      <c r="H5" s="2" t="s">
        <v>186</v>
      </c>
      <c r="J5" s="0"/>
      <c r="K5" s="0"/>
      <c r="L5" s="0"/>
      <c r="AH5" s="10"/>
      <c r="AI5" s="10"/>
      <c r="AJ5" s="11"/>
      <c r="AK5" s="10"/>
      <c r="AL5" s="192"/>
      <c r="AV5" s="10"/>
      <c r="AW5" s="192"/>
      <c r="BG5" s="10"/>
      <c r="BH5" s="192"/>
      <c r="BR5" s="10"/>
      <c r="BS5" s="192"/>
    </row>
    <row r="6" customFormat="false" ht="12.75" hidden="false" customHeight="false" outlineLevel="0" collapsed="false">
      <c r="A6" s="2" t="s">
        <v>187</v>
      </c>
      <c r="B6" s="193" t="n">
        <f aca="false">STRADDLES!$B6</f>
        <v>37347</v>
      </c>
      <c r="C6" s="194"/>
      <c r="D6" s="193" t="n">
        <f aca="false">STRADDLES!$C6</f>
        <v>37347</v>
      </c>
      <c r="E6" s="194"/>
      <c r="F6" s="193" t="n">
        <f aca="false">STRADDLES!$D6</f>
        <v>37347</v>
      </c>
      <c r="G6" s="194"/>
      <c r="H6" s="193" t="n">
        <f aca="false">STRADDLES!$E6</f>
        <v>37347</v>
      </c>
      <c r="J6" s="0"/>
      <c r="K6" s="0"/>
      <c r="L6" s="0"/>
      <c r="AH6" s="10"/>
      <c r="AI6" s="10"/>
      <c r="AJ6" s="11"/>
      <c r="AK6" s="10"/>
      <c r="AL6" s="192"/>
      <c r="AV6" s="10"/>
      <c r="AW6" s="192"/>
      <c r="BG6" s="10"/>
      <c r="BH6" s="192"/>
      <c r="BR6" s="10"/>
      <c r="BS6" s="192"/>
    </row>
    <row r="7" customFormat="false" ht="12.75" hidden="false" customHeight="false" outlineLevel="0" collapsed="false">
      <c r="A7" s="5" t="s">
        <v>188</v>
      </c>
      <c r="B7" s="193" t="n">
        <f aca="false">STRADDLES!$B7</f>
        <v>37530</v>
      </c>
      <c r="C7" s="194"/>
      <c r="D7" s="193" t="n">
        <f aca="false">STRADDLES!$C7</f>
        <v>37530</v>
      </c>
      <c r="E7" s="194"/>
      <c r="F7" s="193" t="n">
        <f aca="false">STRADDLES!$D7</f>
        <v>37530</v>
      </c>
      <c r="G7" s="194"/>
      <c r="H7" s="193" t="n">
        <f aca="false">STRADDLES!$E7</f>
        <v>37530</v>
      </c>
      <c r="J7" s="0"/>
      <c r="K7" s="0"/>
      <c r="L7" s="0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C7" s="122" t="s">
        <v>183</v>
      </c>
      <c r="AD7" s="122"/>
      <c r="AH7" s="10"/>
      <c r="AI7" s="10"/>
      <c r="AJ7" s="11"/>
      <c r="AK7" s="10"/>
      <c r="AL7" s="192"/>
      <c r="AV7" s="10"/>
      <c r="AW7" s="192"/>
      <c r="BG7" s="10"/>
      <c r="BH7" s="192"/>
      <c r="BR7" s="10"/>
      <c r="BS7" s="192"/>
    </row>
    <row r="8" customFormat="false" ht="12.75" hidden="false" customHeight="false" outlineLevel="0" collapsed="false">
      <c r="I8" s="196"/>
      <c r="J8" s="0"/>
      <c r="K8" s="0"/>
      <c r="L8" s="0"/>
      <c r="AC8" s="122"/>
      <c r="AD8" s="122"/>
      <c r="AH8" s="10"/>
      <c r="AI8" s="10"/>
      <c r="AJ8" s="11"/>
      <c r="AK8" s="10"/>
      <c r="AL8" s="192"/>
      <c r="AV8" s="10"/>
      <c r="AW8" s="192"/>
      <c r="BG8" s="10"/>
      <c r="BH8" s="192"/>
      <c r="BR8" s="10"/>
      <c r="BS8" s="192"/>
    </row>
    <row r="9" customFormat="false" ht="12.75" hidden="false" customHeight="false" outlineLevel="0" collapsed="false">
      <c r="A9" s="197" t="s">
        <v>189</v>
      </c>
      <c r="B9" s="198" t="n">
        <f aca="false">AM24</f>
        <v>2.48836448598131</v>
      </c>
      <c r="C9" s="196"/>
      <c r="D9" s="198" t="n">
        <f aca="false">AX24</f>
        <v>2.48836448598131</v>
      </c>
      <c r="E9" s="196"/>
      <c r="F9" s="198" t="n">
        <f aca="false">BI24</f>
        <v>2.48836448598131</v>
      </c>
      <c r="G9" s="196"/>
      <c r="H9" s="198" t="n">
        <f aca="false">BT24</f>
        <v>2.48836448598131</v>
      </c>
      <c r="I9" s="196"/>
      <c r="J9" s="0"/>
      <c r="K9" s="0"/>
      <c r="L9" s="0"/>
      <c r="AC9" s="122" t="s">
        <v>190</v>
      </c>
      <c r="AD9" s="122"/>
      <c r="AH9" s="10"/>
      <c r="AI9" s="10"/>
      <c r="AJ9" s="11"/>
      <c r="AK9" s="10"/>
      <c r="AL9" s="192"/>
      <c r="AV9" s="10"/>
      <c r="AW9" s="192"/>
      <c r="BG9" s="10"/>
      <c r="BH9" s="192"/>
      <c r="BR9" s="10"/>
      <c r="BS9" s="192"/>
    </row>
    <row r="10" customFormat="false" ht="12.75" hidden="false" customHeight="false" outlineLevel="0" collapsed="false">
      <c r="A10" s="197" t="s">
        <v>16</v>
      </c>
      <c r="B10" s="198" t="n">
        <f aca="false">AN24</f>
        <v>2.48836448598131</v>
      </c>
      <c r="C10" s="196"/>
      <c r="D10" s="198" t="n">
        <f aca="false">AY24</f>
        <v>2.48836448598131</v>
      </c>
      <c r="E10" s="196"/>
      <c r="F10" s="198" t="n">
        <f aca="false">BJ24</f>
        <v>2.48836448598131</v>
      </c>
      <c r="G10" s="196"/>
      <c r="H10" s="198" t="n">
        <f aca="false">BU24</f>
        <v>2.48836448598131</v>
      </c>
      <c r="I10" s="196"/>
      <c r="J10" s="0"/>
      <c r="K10" s="0"/>
      <c r="L10" s="0"/>
      <c r="M10" s="199"/>
      <c r="N10" s="122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D10" s="122"/>
      <c r="AH10" s="10"/>
      <c r="AI10" s="10"/>
      <c r="AJ10" s="11"/>
      <c r="AK10" s="10"/>
      <c r="AL10" s="192"/>
      <c r="AV10" s="10"/>
      <c r="AW10" s="192"/>
      <c r="BG10" s="10"/>
      <c r="BH10" s="192"/>
      <c r="BR10" s="10"/>
      <c r="BS10" s="192"/>
    </row>
    <row r="11" customFormat="false" ht="12.75" hidden="false" customHeight="false" outlineLevel="0" collapsed="false">
      <c r="A11" s="197" t="s">
        <v>138</v>
      </c>
      <c r="B11" s="198" t="n">
        <f aca="false">B10-B9</f>
        <v>0</v>
      </c>
      <c r="C11" s="198"/>
      <c r="D11" s="198" t="n">
        <f aca="false">D10-D9</f>
        <v>0</v>
      </c>
      <c r="E11" s="198"/>
      <c r="F11" s="198" t="n">
        <f aca="false">F10-F9</f>
        <v>0</v>
      </c>
      <c r="G11" s="198"/>
      <c r="H11" s="198" t="n">
        <f aca="false">H10-H9</f>
        <v>0</v>
      </c>
      <c r="I11" s="196"/>
      <c r="J11" s="0"/>
      <c r="K11" s="0"/>
      <c r="L11" s="0"/>
      <c r="AC11" s="122"/>
      <c r="AD11" s="122"/>
      <c r="AH11" s="10"/>
      <c r="AI11" s="10"/>
      <c r="AJ11" s="11"/>
      <c r="AK11" s="10"/>
      <c r="AL11" s="192"/>
      <c r="AV11" s="10"/>
      <c r="AW11" s="192"/>
      <c r="BG11" s="10"/>
      <c r="BH11" s="192"/>
      <c r="BR11" s="10"/>
      <c r="BS11" s="192"/>
    </row>
    <row r="12" customFormat="false" ht="12.75" hidden="false" customHeight="false" outlineLevel="0" collapsed="false">
      <c r="A12" s="197"/>
      <c r="B12" s="198"/>
      <c r="C12" s="196"/>
      <c r="D12" s="198"/>
      <c r="E12" s="196"/>
      <c r="F12" s="198"/>
      <c r="G12" s="196"/>
      <c r="H12" s="198"/>
      <c r="I12" s="196"/>
      <c r="J12" s="0"/>
      <c r="K12" s="0"/>
      <c r="L12" s="0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C12" s="122"/>
      <c r="AD12" s="122"/>
      <c r="AH12" s="10"/>
      <c r="AI12" s="10"/>
      <c r="AJ12" s="11"/>
      <c r="AK12" s="10"/>
      <c r="AL12" s="192"/>
      <c r="AV12" s="10"/>
      <c r="AW12" s="192"/>
      <c r="BG12" s="10"/>
      <c r="BH12" s="192"/>
      <c r="BR12" s="10"/>
      <c r="BS12" s="192"/>
    </row>
    <row r="13" customFormat="false" ht="12.75" hidden="false" customHeight="false" outlineLevel="0" collapsed="false">
      <c r="A13" s="197" t="s">
        <v>191</v>
      </c>
      <c r="B13" s="200" t="n">
        <f aca="false">STRADDLES!$B10</f>
        <v>0</v>
      </c>
      <c r="C13" s="201"/>
      <c r="D13" s="200" t="n">
        <f aca="false">STRADDLES!$C10</f>
        <v>0</v>
      </c>
      <c r="E13" s="201"/>
      <c r="F13" s="200" t="n">
        <f aca="false">STRADDLES!$D10</f>
        <v>0</v>
      </c>
      <c r="G13" s="201"/>
      <c r="H13" s="200" t="n">
        <f aca="false">STRADDLES!$E10</f>
        <v>0</v>
      </c>
      <c r="I13" s="196"/>
      <c r="J13" s="0"/>
      <c r="K13" s="0"/>
      <c r="L13" s="0"/>
      <c r="M13" s="199"/>
      <c r="N13" s="122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D13" s="122"/>
      <c r="AH13" s="10"/>
      <c r="AI13" s="10"/>
      <c r="AJ13" s="11"/>
      <c r="AK13" s="10"/>
      <c r="AL13" s="192"/>
      <c r="AV13" s="10"/>
      <c r="AW13" s="192"/>
      <c r="BG13" s="10"/>
      <c r="BH13" s="192"/>
      <c r="BR13" s="10"/>
      <c r="BS13" s="192"/>
    </row>
    <row r="14" customFormat="false" ht="12.75" hidden="false" customHeight="false" outlineLevel="0" collapsed="false">
      <c r="A14" s="197" t="s">
        <v>192</v>
      </c>
      <c r="B14" s="200" t="n">
        <v>0</v>
      </c>
      <c r="C14" s="201"/>
      <c r="D14" s="200" t="n">
        <v>0</v>
      </c>
      <c r="E14" s="201"/>
      <c r="F14" s="200" t="n">
        <v>0</v>
      </c>
      <c r="G14" s="201"/>
      <c r="H14" s="200" t="n">
        <v>0</v>
      </c>
      <c r="I14" s="133"/>
      <c r="J14" s="0"/>
      <c r="K14" s="0"/>
      <c r="L14" s="0"/>
      <c r="M14" s="10"/>
      <c r="N14" s="122"/>
      <c r="AD14" s="122"/>
      <c r="AG14" s="14"/>
      <c r="AH14" s="10"/>
      <c r="AI14" s="10"/>
      <c r="AJ14" s="11"/>
      <c r="AK14" s="10"/>
      <c r="AL14" s="192"/>
      <c r="AV14" s="10"/>
      <c r="AW14" s="192"/>
      <c r="BG14" s="10"/>
      <c r="BH14" s="192"/>
      <c r="BR14" s="10"/>
      <c r="BS14" s="192"/>
    </row>
    <row r="15" customFormat="false" ht="12.75" hidden="false" customHeight="false" outlineLevel="0" collapsed="false">
      <c r="A15" s="126" t="s">
        <v>11</v>
      </c>
      <c r="B15" s="202" t="n">
        <f aca="false">STRADDLES!$B11</f>
        <v>0</v>
      </c>
      <c r="C15" s="202"/>
      <c r="D15" s="202" t="n">
        <f aca="false">STRADDLES!$C11</f>
        <v>0</v>
      </c>
      <c r="E15" s="202"/>
      <c r="F15" s="202" t="n">
        <f aca="false">STRADDLES!$D11</f>
        <v>0</v>
      </c>
      <c r="G15" s="202"/>
      <c r="H15" s="202" t="n">
        <f aca="false">STRADDLES!$E11</f>
        <v>0</v>
      </c>
      <c r="I15" s="134"/>
      <c r="J15" s="0"/>
      <c r="K15" s="0"/>
      <c r="L15" s="0"/>
      <c r="M15" s="10"/>
      <c r="N15" s="122"/>
      <c r="AD15" s="122"/>
      <c r="AG15" s="14"/>
      <c r="AH15" s="10"/>
      <c r="AI15" s="10"/>
      <c r="AJ15" s="11"/>
      <c r="AK15" s="10"/>
      <c r="AL15" s="192"/>
      <c r="AV15" s="10"/>
      <c r="AW15" s="192"/>
      <c r="BG15" s="10"/>
      <c r="BH15" s="192"/>
      <c r="BR15" s="10"/>
      <c r="BS15" s="192"/>
    </row>
    <row r="16" customFormat="false" ht="12.75" hidden="false" customHeight="false" outlineLevel="0" collapsed="false">
      <c r="A16" s="118" t="s">
        <v>193</v>
      </c>
      <c r="B16" s="148" t="n">
        <f aca="false">STRADDLES!$B12</f>
        <v>1</v>
      </c>
      <c r="C16" s="203"/>
      <c r="D16" s="148" t="n">
        <f aca="false">STRADDLES!$C12</f>
        <v>1</v>
      </c>
      <c r="E16" s="204"/>
      <c r="F16" s="148" t="n">
        <f aca="false">STRADDLES!$D12</f>
        <v>1</v>
      </c>
      <c r="G16" s="204"/>
      <c r="H16" s="148" t="n">
        <f aca="false">STRADDLES!$E12</f>
        <v>1</v>
      </c>
      <c r="I16" s="196"/>
      <c r="J16" s="0"/>
      <c r="K16" s="0"/>
      <c r="L16" s="0"/>
      <c r="AC16" s="122"/>
      <c r="AD16" s="122"/>
      <c r="AH16" s="10"/>
      <c r="AI16" s="10"/>
      <c r="AJ16" s="11"/>
      <c r="AK16" s="10"/>
      <c r="AL16" s="192"/>
      <c r="AV16" s="10"/>
      <c r="AW16" s="192"/>
      <c r="BG16" s="10"/>
      <c r="BH16" s="192"/>
      <c r="BR16" s="10"/>
      <c r="BS16" s="192"/>
    </row>
    <row r="17" customFormat="false" ht="12.75" hidden="false" customHeight="false" outlineLevel="0" collapsed="false">
      <c r="A17" s="197"/>
      <c r="B17" s="200"/>
      <c r="C17" s="201"/>
      <c r="D17" s="200"/>
      <c r="E17" s="201"/>
      <c r="F17" s="200"/>
      <c r="G17" s="201"/>
      <c r="H17" s="200"/>
      <c r="I17" s="133"/>
      <c r="J17" s="0"/>
      <c r="K17" s="0"/>
      <c r="L17" s="0"/>
      <c r="M17" s="199"/>
      <c r="N17" s="122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D17" s="122"/>
      <c r="AH17" s="10"/>
      <c r="AI17" s="10"/>
      <c r="AJ17" s="11"/>
      <c r="AK17" s="10"/>
      <c r="AL17" s="192"/>
      <c r="AV17" s="10"/>
      <c r="AW17" s="192"/>
      <c r="BG17" s="10"/>
      <c r="BH17" s="192"/>
      <c r="BR17" s="10"/>
      <c r="BS17" s="192"/>
    </row>
    <row r="18" customFormat="false" ht="12.75" hidden="false" customHeight="false" outlineLevel="0" collapsed="false">
      <c r="A18" s="126" t="s">
        <v>9</v>
      </c>
      <c r="B18" s="205" t="n">
        <f aca="false">STRADDLES!$B14</f>
        <v>2.44</v>
      </c>
      <c r="C18" s="204"/>
      <c r="D18" s="205" t="n">
        <f aca="false">STRADDLES!$C14</f>
        <v>2.44</v>
      </c>
      <c r="E18" s="204"/>
      <c r="F18" s="205" t="n">
        <f aca="false">STRADDLES!$D14</f>
        <v>2.44</v>
      </c>
      <c r="G18" s="204"/>
      <c r="H18" s="205" t="n">
        <f aca="false">STRADDLES!$E14</f>
        <v>2.44</v>
      </c>
      <c r="I18" s="133"/>
      <c r="J18" s="0"/>
      <c r="K18" s="0"/>
      <c r="L18" s="0"/>
      <c r="M18" s="10"/>
      <c r="N18" s="122"/>
      <c r="AD18" s="122"/>
      <c r="AH18" s="10"/>
      <c r="AI18" s="10"/>
      <c r="AJ18" s="11"/>
      <c r="AK18" s="10"/>
      <c r="AL18" s="192"/>
      <c r="AV18" s="10"/>
      <c r="AW18" s="192"/>
      <c r="BG18" s="10"/>
      <c r="BH18" s="192"/>
      <c r="BR18" s="10"/>
      <c r="BS18" s="192"/>
    </row>
    <row r="19" customFormat="false" ht="12.75" hidden="false" customHeight="false" outlineLevel="0" collapsed="false">
      <c r="A19" s="126" t="s">
        <v>10</v>
      </c>
      <c r="B19" s="206" t="n">
        <f aca="false">STRADDLES!$B13</f>
        <v>3</v>
      </c>
      <c r="C19" s="204"/>
      <c r="D19" s="206" t="n">
        <f aca="false">STRADDLES!$C13</f>
        <v>3</v>
      </c>
      <c r="E19" s="204"/>
      <c r="F19" s="206" t="n">
        <f aca="false">STRADDLES!$D13</f>
        <v>3</v>
      </c>
      <c r="G19" s="204"/>
      <c r="H19" s="206" t="n">
        <f aca="false">STRADDLES!$E13</f>
        <v>3</v>
      </c>
      <c r="J19" s="0"/>
      <c r="K19" s="0"/>
      <c r="L19" s="0"/>
    </row>
    <row r="20" customFormat="false" ht="12.75" hidden="false" customHeight="false" outlineLevel="0" collapsed="false">
      <c r="A20" s="1" t="s">
        <v>194</v>
      </c>
      <c r="J20" s="0"/>
      <c r="K20" s="0"/>
      <c r="L20" s="0"/>
      <c r="AC20" s="0"/>
      <c r="AD20" s="0"/>
      <c r="AE20" s="0"/>
      <c r="AF20" s="0"/>
    </row>
    <row r="21" customFormat="false" ht="12.75" hidden="false" customHeight="false" outlineLevel="0" collapsed="false">
      <c r="A21" s="126" t="s">
        <v>1</v>
      </c>
      <c r="B21" s="207" t="e">
        <f aca="false">AR24</f>
        <v>#VALUE!</v>
      </c>
      <c r="C21" s="133"/>
      <c r="D21" s="207" t="e">
        <f aca="false">BC24</f>
        <v>#VALUE!</v>
      </c>
      <c r="E21" s="133"/>
      <c r="F21" s="207" t="e">
        <f aca="false">BN24</f>
        <v>#VALUE!</v>
      </c>
      <c r="G21" s="133"/>
      <c r="H21" s="207" t="e">
        <f aca="false">BY24</f>
        <v>#VALUE!</v>
      </c>
      <c r="J21" s="0"/>
      <c r="K21" s="0"/>
      <c r="L21" s="0"/>
      <c r="AC21" s="0"/>
      <c r="AD21" s="0"/>
      <c r="AE21" s="0"/>
      <c r="AF21" s="0"/>
    </row>
    <row r="22" customFormat="false" ht="12.75" hidden="false" customHeight="false" outlineLevel="0" collapsed="false">
      <c r="A22" s="126" t="s">
        <v>2</v>
      </c>
      <c r="B22" s="207" t="e">
        <f aca="false">AS24</f>
        <v>#VALUE!</v>
      </c>
      <c r="C22" s="133"/>
      <c r="D22" s="207" t="e">
        <f aca="false">BD24</f>
        <v>#VALUE!</v>
      </c>
      <c r="E22" s="133"/>
      <c r="F22" s="207" t="e">
        <f aca="false">BO24</f>
        <v>#VALUE!</v>
      </c>
      <c r="G22" s="133"/>
      <c r="H22" s="207" t="e">
        <f aca="false">BZ24</f>
        <v>#VALUE!</v>
      </c>
      <c r="J22" s="0"/>
      <c r="K22" s="0"/>
      <c r="L22" s="0"/>
      <c r="AC22" s="0"/>
      <c r="AD22" s="0"/>
      <c r="AE22" s="0"/>
      <c r="AF22" s="0"/>
    </row>
    <row r="23" customFormat="false" ht="12.75" hidden="false" customHeight="false" outlineLevel="0" collapsed="false">
      <c r="A23" s="126" t="str">
        <f aca="false">G1</f>
        <v>VEGA</v>
      </c>
      <c r="B23" s="207" t="e">
        <f aca="false">AT24</f>
        <v>#VALUE!</v>
      </c>
      <c r="C23" s="133"/>
      <c r="D23" s="207" t="e">
        <f aca="false">BE24</f>
        <v>#VALUE!</v>
      </c>
      <c r="E23" s="133"/>
      <c r="F23" s="207" t="e">
        <f aca="false">BP24</f>
        <v>#VALUE!</v>
      </c>
      <c r="G23" s="133"/>
      <c r="H23" s="207" t="e">
        <f aca="false">CA24</f>
        <v>#VALUE!</v>
      </c>
      <c r="J23" s="0"/>
      <c r="K23" s="0"/>
      <c r="L23" s="0"/>
      <c r="AC23" s="0"/>
      <c r="AD23" s="0"/>
      <c r="AE23" s="0"/>
      <c r="AF23" s="0"/>
    </row>
    <row r="24" customFormat="false" ht="12.75" hidden="false" customHeight="false" outlineLevel="0" collapsed="false">
      <c r="A24" s="10"/>
      <c r="B24" s="208"/>
      <c r="C24" s="10"/>
      <c r="D24" s="208"/>
      <c r="E24" s="10"/>
      <c r="F24" s="208"/>
      <c r="G24" s="10"/>
      <c r="H24" s="10"/>
      <c r="I24" s="10"/>
      <c r="J24" s="0"/>
      <c r="K24" s="0"/>
      <c r="L24" s="0"/>
      <c r="M24" s="10"/>
      <c r="N24" s="122"/>
      <c r="AC24" s="0"/>
      <c r="AD24" s="0"/>
      <c r="AE24" s="0"/>
      <c r="AF24" s="0"/>
      <c r="AH24" s="10"/>
      <c r="AI24" s="10"/>
      <c r="AJ24" s="11"/>
      <c r="AK24" s="10"/>
      <c r="AM24" s="1" t="n">
        <f aca="false">AM26/AK28</f>
        <v>2.48836448598131</v>
      </c>
      <c r="AN24" s="1" t="n">
        <f aca="false">AN26/AK28</f>
        <v>2.48836448598131</v>
      </c>
      <c r="AR24" s="209" t="e">
        <f aca="false">AR26/AK28</f>
        <v>#VALUE!</v>
      </c>
      <c r="AS24" s="209" t="e">
        <f aca="false">AS26/AK28</f>
        <v>#VALUE!</v>
      </c>
      <c r="AT24" s="209" t="e">
        <f aca="false">AT26/AK28</f>
        <v>#VALUE!</v>
      </c>
      <c r="AV24" s="10"/>
      <c r="AX24" s="1" t="n">
        <f aca="false">AX26/AV28</f>
        <v>2.48836448598131</v>
      </c>
      <c r="AY24" s="1" t="n">
        <f aca="false">AY26/AV28</f>
        <v>2.48836448598131</v>
      </c>
      <c r="BC24" s="209" t="e">
        <f aca="false">BC26/AV28</f>
        <v>#VALUE!</v>
      </c>
      <c r="BD24" s="209" t="e">
        <f aca="false">BD26/AV28</f>
        <v>#VALUE!</v>
      </c>
      <c r="BE24" s="209" t="e">
        <f aca="false">BE26/AV28</f>
        <v>#VALUE!</v>
      </c>
      <c r="BG24" s="10"/>
      <c r="BI24" s="1" t="n">
        <f aca="false">BI26/BG28</f>
        <v>2.48836448598131</v>
      </c>
      <c r="BJ24" s="1" t="n">
        <f aca="false">BJ26/BG28</f>
        <v>2.48836448598131</v>
      </c>
      <c r="BN24" s="209" t="e">
        <f aca="false">BN26/BG28</f>
        <v>#VALUE!</v>
      </c>
      <c r="BO24" s="209" t="e">
        <f aca="false">BO26/BG28</f>
        <v>#VALUE!</v>
      </c>
      <c r="BP24" s="209" t="e">
        <f aca="false">BP26/BG28</f>
        <v>#VALUE!</v>
      </c>
      <c r="BR24" s="10"/>
      <c r="BT24" s="1" t="n">
        <f aca="false">BT26/BR28</f>
        <v>2.48836448598131</v>
      </c>
      <c r="BU24" s="1" t="n">
        <f aca="false">BU26/BR28</f>
        <v>2.48836448598131</v>
      </c>
      <c r="BY24" s="209" t="e">
        <f aca="false">BY26/BR28</f>
        <v>#VALUE!</v>
      </c>
      <c r="BZ24" s="209" t="e">
        <f aca="false">BZ26/BR28</f>
        <v>#VALUE!</v>
      </c>
      <c r="CA24" s="209" t="e">
        <f aca="false">CA26/BR28</f>
        <v>#VALUE!</v>
      </c>
    </row>
    <row r="25" customFormat="false" ht="12.75" hidden="false" customHeight="false" outlineLevel="0" collapsed="false">
      <c r="A25" s="10"/>
      <c r="B25" s="208" t="e">
        <f aca="false">B21-D21</f>
        <v>#VALUE!</v>
      </c>
      <c r="C25" s="10"/>
      <c r="D25" s="10"/>
      <c r="E25" s="10"/>
      <c r="F25" s="208" t="e">
        <f aca="false">F21-H21</f>
        <v>#VALUE!</v>
      </c>
      <c r="G25" s="10"/>
      <c r="H25" s="10"/>
      <c r="I25" s="10"/>
      <c r="J25" s="122"/>
      <c r="K25" s="10"/>
      <c r="L25" s="10"/>
      <c r="M25" s="10"/>
      <c r="N25" s="122"/>
      <c r="AC25" s="0"/>
      <c r="AD25" s="0"/>
      <c r="AE25" s="0"/>
      <c r="AF25" s="0"/>
      <c r="AH25" s="10"/>
      <c r="AI25" s="10"/>
      <c r="AJ25" s="11"/>
      <c r="AK25" s="10"/>
      <c r="AL25" s="210" t="n">
        <f aca="false">B6</f>
        <v>37347</v>
      </c>
      <c r="AT25" s="0"/>
      <c r="AV25" s="10"/>
      <c r="AW25" s="210" t="n">
        <f aca="false">D6</f>
        <v>37347</v>
      </c>
      <c r="BE25" s="0"/>
      <c r="BG25" s="10"/>
      <c r="BH25" s="210" t="n">
        <f aca="false">F6</f>
        <v>37347</v>
      </c>
      <c r="BP25" s="0"/>
      <c r="BR25" s="10"/>
      <c r="BS25" s="210" t="n">
        <f aca="false">H6</f>
        <v>37347</v>
      </c>
      <c r="CA25" s="0"/>
    </row>
    <row r="26" customFormat="false" ht="12.75" hidden="false" customHeight="false" outlineLevel="0" collapsed="false">
      <c r="A26" s="10"/>
      <c r="B26" s="211"/>
      <c r="C26" s="10"/>
      <c r="D26" s="211"/>
      <c r="E26" s="10"/>
      <c r="F26" s="10"/>
      <c r="G26" s="10"/>
      <c r="H26" s="10"/>
      <c r="I26" s="10"/>
      <c r="J26" s="212"/>
      <c r="K26" s="212"/>
      <c r="L26" s="212"/>
      <c r="M26" s="212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4"/>
      <c r="AC26" s="0"/>
      <c r="AD26" s="0"/>
      <c r="AE26" s="0"/>
      <c r="AF26" s="0"/>
      <c r="AG26" s="30"/>
      <c r="AH26" s="10"/>
      <c r="AI26" s="10"/>
      <c r="AJ26" s="11"/>
      <c r="AK26" s="10" t="s">
        <v>195</v>
      </c>
      <c r="AL26" s="210" t="n">
        <f aca="false">B7</f>
        <v>37530</v>
      </c>
      <c r="AM26" s="33" t="n">
        <f aca="false">SUM(AM31:AM149)</f>
        <v>532.51</v>
      </c>
      <c r="AN26" s="33" t="n">
        <f aca="false">SUM(AN31:AN149)</f>
        <v>532.51</v>
      </c>
      <c r="AO26" s="33"/>
      <c r="AP26" s="33"/>
      <c r="AQ26" s="33"/>
      <c r="AR26" s="33" t="e">
        <f aca="false">SUM(AR31:AR149)</f>
        <v>#VALUE!</v>
      </c>
      <c r="AS26" s="33" t="e">
        <f aca="false">SUM(AS31:AS149)</f>
        <v>#VALUE!</v>
      </c>
      <c r="AT26" s="33" t="e">
        <f aca="false">SUM(AT31:AT149)</f>
        <v>#VALUE!</v>
      </c>
      <c r="AV26" s="10" t="s">
        <v>196</v>
      </c>
      <c r="AW26" s="210" t="n">
        <f aca="false">D7</f>
        <v>37530</v>
      </c>
      <c r="AX26" s="33" t="n">
        <f aca="false">SUM(AX31:AX149)</f>
        <v>532.51</v>
      </c>
      <c r="AY26" s="33" t="n">
        <f aca="false">SUM(AY31:AY149)</f>
        <v>532.51</v>
      </c>
      <c r="AZ26" s="33"/>
      <c r="BA26" s="33"/>
      <c r="BB26" s="33"/>
      <c r="BC26" s="33" t="e">
        <f aca="false">SUM(BC31:BC149)</f>
        <v>#VALUE!</v>
      </c>
      <c r="BD26" s="33" t="e">
        <f aca="false">SUM(BD31:BD149)</f>
        <v>#VALUE!</v>
      </c>
      <c r="BE26" s="33" t="e">
        <f aca="false">SUM(BE31:BE149)</f>
        <v>#VALUE!</v>
      </c>
      <c r="BG26" s="10" t="s">
        <v>197</v>
      </c>
      <c r="BH26" s="210" t="n">
        <f aca="false">F7</f>
        <v>37530</v>
      </c>
      <c r="BI26" s="33" t="n">
        <f aca="false">SUM(BI31:BI149)</f>
        <v>532.51</v>
      </c>
      <c r="BJ26" s="33" t="n">
        <f aca="false">SUM(BJ31:BJ149)</f>
        <v>532.51</v>
      </c>
      <c r="BK26" s="33"/>
      <c r="BL26" s="33"/>
      <c r="BM26" s="33"/>
      <c r="BN26" s="33" t="e">
        <f aca="false">SUM(BN31:BN149)</f>
        <v>#VALUE!</v>
      </c>
      <c r="BO26" s="33" t="e">
        <f aca="false">SUM(BO31:BO149)</f>
        <v>#VALUE!</v>
      </c>
      <c r="BP26" s="33" t="e">
        <f aca="false">SUM(BP31:BP149)</f>
        <v>#VALUE!</v>
      </c>
      <c r="BR26" s="10" t="s">
        <v>198</v>
      </c>
      <c r="BS26" s="210" t="n">
        <f aca="false">H7</f>
        <v>37530</v>
      </c>
      <c r="BT26" s="33" t="n">
        <f aca="false">SUM(BT31:BT149)</f>
        <v>532.51</v>
      </c>
      <c r="BU26" s="33" t="n">
        <f aca="false">SUM(BU31:BU149)</f>
        <v>532.51</v>
      </c>
      <c r="BV26" s="33"/>
      <c r="BW26" s="33"/>
      <c r="BX26" s="33"/>
      <c r="BY26" s="33" t="e">
        <f aca="false">SUM(BY31:BY149)</f>
        <v>#VALUE!</v>
      </c>
      <c r="BZ26" s="33" t="e">
        <f aca="false">SUM(BZ31:BZ149)</f>
        <v>#VALUE!</v>
      </c>
      <c r="CA26" s="33" t="e">
        <f aca="false">SUM(CA31:CA149)</f>
        <v>#VALUE!</v>
      </c>
    </row>
    <row r="27" customFormat="false" ht="12.75" hidden="false" customHeight="false" outlineLevel="0" collapsed="false">
      <c r="A27" s="10"/>
      <c r="B27" s="199"/>
      <c r="C27" s="10"/>
      <c r="D27" s="2" t="s">
        <v>7</v>
      </c>
      <c r="E27" s="10"/>
      <c r="F27" s="199"/>
      <c r="G27" s="10"/>
      <c r="H27" s="199"/>
      <c r="I27" s="10"/>
      <c r="J27" s="2" t="s">
        <v>8</v>
      </c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C27" s="0"/>
      <c r="AD27" s="0"/>
      <c r="AE27" s="0"/>
      <c r="AF27" s="0"/>
      <c r="AH27" s="10"/>
      <c r="AI27" s="10"/>
      <c r="AJ27" s="11"/>
      <c r="AK27" s="10"/>
      <c r="AO27" s="1" t="s">
        <v>10</v>
      </c>
      <c r="AP27" s="1" t="n">
        <f aca="false">IF(B19=4,3,B19)</f>
        <v>3</v>
      </c>
      <c r="AT27" s="0"/>
      <c r="AV27" s="10"/>
      <c r="AZ27" s="1" t="s">
        <v>10</v>
      </c>
      <c r="BA27" s="1" t="n">
        <f aca="false">IF(D19=4,3,D19)</f>
        <v>3</v>
      </c>
      <c r="BE27" s="0"/>
      <c r="BG27" s="10"/>
      <c r="BK27" s="1" t="s">
        <v>10</v>
      </c>
      <c r="BL27" s="1" t="n">
        <f aca="false">IF(F19=4,3,F19)</f>
        <v>3</v>
      </c>
      <c r="BP27" s="0"/>
      <c r="BR27" s="10"/>
      <c r="BV27" s="1" t="s">
        <v>10</v>
      </c>
      <c r="BW27" s="1" t="n">
        <f aca="false">IF(H19=4,3,H19)</f>
        <v>3</v>
      </c>
      <c r="CA27" s="0"/>
    </row>
    <row r="28" customFormat="false" ht="12.75" hidden="false" customHeight="false" outlineLevel="0" collapsed="false">
      <c r="A28" s="10"/>
      <c r="B28" s="216"/>
      <c r="C28" s="216"/>
      <c r="D28" s="122" t="str">
        <f aca="false">B4</f>
        <v>nymex</v>
      </c>
      <c r="E28" s="1" t="s">
        <v>133</v>
      </c>
      <c r="J28" s="122" t="str">
        <f aca="false">D4</f>
        <v>nymex</v>
      </c>
      <c r="P28" s="122" t="str">
        <f aca="false">F4</f>
        <v>nymex</v>
      </c>
      <c r="V28" s="122" t="str">
        <f aca="false">H4</f>
        <v>nymex</v>
      </c>
      <c r="AC28" s="217" t="n">
        <v>37173</v>
      </c>
      <c r="AD28" s="212"/>
      <c r="AE28" s="0"/>
      <c r="AJ28" s="11"/>
      <c r="AK28" s="35" t="n">
        <f aca="false">SUM(AK31:AK149)</f>
        <v>214</v>
      </c>
      <c r="AO28" s="1" t="s">
        <v>199</v>
      </c>
      <c r="AP28" s="1" t="n">
        <f aca="false">IF($G$1="GAMMA",3,IF($G$1="THETA",4,5))</f>
        <v>5</v>
      </c>
      <c r="AT28" s="0"/>
      <c r="AV28" s="35" t="n">
        <f aca="false">SUM(AV31:AV149)</f>
        <v>214</v>
      </c>
      <c r="AZ28" s="1" t="s">
        <v>199</v>
      </c>
      <c r="BA28" s="1" t="n">
        <f aca="false">IF($G$1="GAMMA",3,IF($G$1="THETA",4,5))</f>
        <v>5</v>
      </c>
      <c r="BE28" s="0"/>
      <c r="BG28" s="35" t="n">
        <f aca="false">SUM(BG31:BG149)</f>
        <v>214</v>
      </c>
      <c r="BK28" s="1" t="s">
        <v>199</v>
      </c>
      <c r="BL28" s="1" t="n">
        <f aca="false">IF($G$1="GAMMA",3,IF($G$1="THETA",4,5))</f>
        <v>5</v>
      </c>
      <c r="BP28" s="0"/>
      <c r="BR28" s="35" t="n">
        <f aca="false">SUM(BR31:BR149)</f>
        <v>214</v>
      </c>
      <c r="BV28" s="1" t="s">
        <v>199</v>
      </c>
      <c r="BW28" s="1" t="n">
        <f aca="false">IF($G$1="GAMMA",3,IF($G$1="THETA",4,5))</f>
        <v>5</v>
      </c>
      <c r="CA28" s="0"/>
    </row>
    <row r="29" customFormat="false" ht="13.5" hidden="false" customHeight="false" outlineLevel="0" collapsed="false">
      <c r="B29" s="218"/>
      <c r="C29" s="218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214"/>
      <c r="AC29" s="1" t="s">
        <v>200</v>
      </c>
      <c r="AF29" s="0"/>
      <c r="AG29" s="10"/>
      <c r="AI29" s="10"/>
      <c r="AL29" s="188" t="s">
        <v>201</v>
      </c>
      <c r="AM29" s="23" t="s">
        <v>6</v>
      </c>
      <c r="AN29" s="23" t="s">
        <v>202</v>
      </c>
      <c r="AO29" s="23" t="s">
        <v>1</v>
      </c>
      <c r="AP29" s="23" t="s">
        <v>2</v>
      </c>
      <c r="AQ29" s="23" t="str">
        <f aca="false">$G1</f>
        <v>VEGA</v>
      </c>
      <c r="AR29" s="4" t="s">
        <v>1</v>
      </c>
      <c r="AS29" s="4" t="s">
        <v>2</v>
      </c>
      <c r="AT29" s="4" t="str">
        <f aca="false">AQ29</f>
        <v>VEGA</v>
      </c>
      <c r="AW29" s="188" t="s">
        <v>201</v>
      </c>
      <c r="AX29" s="23" t="s">
        <v>6</v>
      </c>
      <c r="AY29" s="23" t="s">
        <v>202</v>
      </c>
      <c r="AZ29" s="23" t="s">
        <v>1</v>
      </c>
      <c r="BA29" s="23" t="s">
        <v>2</v>
      </c>
      <c r="BB29" s="23" t="str">
        <f aca="false">$G1</f>
        <v>VEGA</v>
      </c>
      <c r="BC29" s="4" t="s">
        <v>1</v>
      </c>
      <c r="BD29" s="4" t="s">
        <v>2</v>
      </c>
      <c r="BE29" s="4" t="str">
        <f aca="false">BB29</f>
        <v>VEGA</v>
      </c>
      <c r="BH29" s="188" t="s">
        <v>201</v>
      </c>
      <c r="BI29" s="23" t="s">
        <v>6</v>
      </c>
      <c r="BJ29" s="23" t="s">
        <v>202</v>
      </c>
      <c r="BK29" s="23" t="s">
        <v>1</v>
      </c>
      <c r="BL29" s="23" t="s">
        <v>2</v>
      </c>
      <c r="BM29" s="23" t="str">
        <f aca="false">$G1</f>
        <v>VEGA</v>
      </c>
      <c r="BN29" s="4" t="s">
        <v>1</v>
      </c>
      <c r="BO29" s="4" t="s">
        <v>2</v>
      </c>
      <c r="BP29" s="4" t="str">
        <f aca="false">BM29</f>
        <v>VEGA</v>
      </c>
      <c r="BS29" s="188" t="s">
        <v>201</v>
      </c>
      <c r="BT29" s="23" t="s">
        <v>6</v>
      </c>
      <c r="BU29" s="23" t="s">
        <v>202</v>
      </c>
      <c r="BV29" s="23" t="s">
        <v>1</v>
      </c>
      <c r="BW29" s="23" t="s">
        <v>2</v>
      </c>
      <c r="BX29" s="23" t="str">
        <f aca="false">$G1</f>
        <v>VEGA</v>
      </c>
      <c r="BY29" s="4" t="s">
        <v>1</v>
      </c>
      <c r="BZ29" s="4" t="s">
        <v>2</v>
      </c>
      <c r="CA29" s="4" t="str">
        <f aca="false">BX29</f>
        <v>VEGA</v>
      </c>
    </row>
    <row r="30" customFormat="false" ht="14.25" hidden="false" customHeight="false" outlineLevel="0" collapsed="false">
      <c r="A30" s="37" t="s">
        <v>0</v>
      </c>
      <c r="B30" s="37" t="s">
        <v>133</v>
      </c>
      <c r="C30" s="37" t="s">
        <v>203</v>
      </c>
      <c r="D30" s="37" t="s">
        <v>138</v>
      </c>
      <c r="E30" s="37" t="s">
        <v>22</v>
      </c>
      <c r="F30" s="37" t="s">
        <v>204</v>
      </c>
      <c r="G30" s="37" t="s">
        <v>205</v>
      </c>
      <c r="H30" s="37" t="s">
        <v>17</v>
      </c>
      <c r="J30" s="37" t="s">
        <v>138</v>
      </c>
      <c r="K30" s="37" t="s">
        <v>22</v>
      </c>
      <c r="L30" s="37" t="s">
        <v>206</v>
      </c>
      <c r="M30" s="37" t="s">
        <v>207</v>
      </c>
      <c r="N30" s="37" t="s">
        <v>18</v>
      </c>
      <c r="P30" s="37" t="s">
        <v>138</v>
      </c>
      <c r="Q30" s="37" t="s">
        <v>22</v>
      </c>
      <c r="R30" s="37" t="s">
        <v>208</v>
      </c>
      <c r="S30" s="37" t="s">
        <v>209</v>
      </c>
      <c r="T30" s="37" t="s">
        <v>210</v>
      </c>
      <c r="V30" s="37" t="s">
        <v>138</v>
      </c>
      <c r="W30" s="37" t="s">
        <v>22</v>
      </c>
      <c r="X30" s="37" t="s">
        <v>211</v>
      </c>
      <c r="Y30" s="37" t="s">
        <v>212</v>
      </c>
      <c r="Z30" s="37" t="s">
        <v>213</v>
      </c>
      <c r="AC30" s="1" t="s">
        <v>214</v>
      </c>
      <c r="AD30" s="37" t="s">
        <v>215</v>
      </c>
      <c r="AE30" s="37" t="s">
        <v>21</v>
      </c>
      <c r="AF30" s="10"/>
      <c r="AI30" s="38"/>
      <c r="AK30" s="1" t="s">
        <v>216</v>
      </c>
      <c r="AN30" s="11"/>
      <c r="AO30" s="10"/>
      <c r="AP30" s="10"/>
      <c r="AQ30" s="10"/>
      <c r="AT30" s="0" t="s">
        <v>217</v>
      </c>
      <c r="AV30" s="1" t="s">
        <v>216</v>
      </c>
      <c r="AY30" s="11"/>
      <c r="AZ30" s="10"/>
      <c r="BA30" s="10"/>
      <c r="BB30" s="10"/>
      <c r="BE30" s="0" t="s">
        <v>217</v>
      </c>
      <c r="BG30" s="1" t="s">
        <v>216</v>
      </c>
      <c r="BJ30" s="11"/>
      <c r="BK30" s="10"/>
      <c r="BL30" s="10"/>
      <c r="BM30" s="10"/>
      <c r="BP30" s="0" t="s">
        <v>217</v>
      </c>
      <c r="BR30" s="1" t="s">
        <v>216</v>
      </c>
      <c r="BU30" s="11"/>
      <c r="BV30" s="10"/>
      <c r="BW30" s="10"/>
      <c r="BX30" s="10"/>
      <c r="CA30" s="0" t="s">
        <v>217</v>
      </c>
    </row>
    <row r="31" customFormat="false" ht="13.5" hidden="false" customHeight="false" outlineLevel="0" collapsed="false">
      <c r="A31" s="48" t="n">
        <v>37288</v>
      </c>
      <c r="B31" s="40" t="n">
        <f aca="false">VLOOKUP(A31,STRADDLE,5,FALSE())</f>
        <v>2.32</v>
      </c>
      <c r="C31" s="4" t="e">
        <f aca="false">VLOOKUP(A31,STRADDLE,6,FALSE())</f>
        <v>#VALUE!</v>
      </c>
      <c r="D31" s="40" t="n">
        <f aca="false">IF(D$28="nymex",0,VLOOKUP($A31,curvesettle,HLOOKUP(D$28,curvesettle,2,FALSE())))</f>
        <v>0</v>
      </c>
      <c r="E31" s="219" t="n">
        <f aca="false">IF(D$28="NYMEX",$AD31,$AC31)</f>
        <v>-8642</v>
      </c>
      <c r="F31" s="4" t="e">
        <f aca="false">($C31+G31)+B$15</f>
        <v>#DIV/0!</v>
      </c>
      <c r="G31" s="4" t="e">
        <f aca="false">IF(B$16=1,xCalcSkew(A31,H31-AL31,b)/100,0)</f>
        <v>#DIV/0!</v>
      </c>
      <c r="H31" s="41" t="n">
        <f aca="false">IF($B$19=4,$AL31,$B$18)</f>
        <v>2.44</v>
      </c>
      <c r="J31" s="40" t="n">
        <f aca="false">IF(J$28="nymex",0,VLOOKUP($A31,curvesettle,HLOOKUP(J$28,curvesettle,2,FALSE())))</f>
        <v>0</v>
      </c>
      <c r="K31" s="219" t="n">
        <f aca="false">IF(J$28="NYMEX",$AD31,$AC31)</f>
        <v>-8642</v>
      </c>
      <c r="L31" s="220" t="e">
        <f aca="false">($C31+M31)+D$15</f>
        <v>#DIV/0!</v>
      </c>
      <c r="M31" s="4" t="e">
        <f aca="false">IF(D$16=1,xCalcSkew($A31,N31-AW31,b)/100,0)</f>
        <v>#DIV/0!</v>
      </c>
      <c r="N31" s="41" t="n">
        <f aca="false">IF($D$19=4,$AW31,$D$18)</f>
        <v>2.44</v>
      </c>
      <c r="P31" s="40" t="n">
        <f aca="false">IF(P$28="nymex",0,VLOOKUP($A31,curvesettle,HLOOKUP(P$28,curvesettle,2,FALSE())))</f>
        <v>0</v>
      </c>
      <c r="Q31" s="219" t="n">
        <f aca="false">IF(P$28="NYMEX",$AD31,$AC31)</f>
        <v>-8642</v>
      </c>
      <c r="R31" s="220" t="e">
        <f aca="false">($C31+S31)+F$15</f>
        <v>#DIV/0!</v>
      </c>
      <c r="S31" s="4" t="e">
        <f aca="false">IF(F$16=1,xCalcSkew($A31,T31-BH31,b)/100,0)</f>
        <v>#DIV/0!</v>
      </c>
      <c r="T31" s="41" t="n">
        <f aca="false">IF($F$19=4,$BH31,$F$18)</f>
        <v>2.44</v>
      </c>
      <c r="V31" s="40" t="n">
        <f aca="false">IF(V$28="nymex",0,VLOOKUP($A31,curvesettle,HLOOKUP(V$28,curvesettle,2,FALSE())))</f>
        <v>0</v>
      </c>
      <c r="W31" s="219" t="n">
        <f aca="false">IF(V$28="NYMEX",$AD31,$AC31)</f>
        <v>-8642</v>
      </c>
      <c r="X31" s="4" t="e">
        <f aca="false">($C31+Y31)+H$15</f>
        <v>#DIV/0!</v>
      </c>
      <c r="Y31" s="4" t="e">
        <f aca="false">IF(H$16=1,xCalcSkew($A31,Z31-BS31,b)/100,0)</f>
        <v>#DIV/0!</v>
      </c>
      <c r="Z31" s="41" t="n">
        <f aca="false">IF($H$19=4,$BS31,$H$18)</f>
        <v>2.44</v>
      </c>
      <c r="AC31" s="219" t="n">
        <f aca="false">VLOOKUP($A31,expiration,2,FALSE())-$B$2</f>
        <v>-8641</v>
      </c>
      <c r="AD31" s="219" t="n">
        <f aca="false">VLOOKUP($A31,expiration,3,FALSE())-$B$2</f>
        <v>-8642</v>
      </c>
      <c r="AE31" s="4" t="n">
        <f aca="false">VLOOKUP($A31,STRADDLE,15,FALSE())</f>
        <v>0.0217808492956433</v>
      </c>
      <c r="AF31" s="43" t="n">
        <f aca="false">A32-A31</f>
        <v>28</v>
      </c>
      <c r="AG31" s="44"/>
      <c r="AH31" s="44"/>
      <c r="AI31" s="44"/>
      <c r="AJ31" s="44"/>
      <c r="AK31" s="9" t="n">
        <f aca="false">IF($A31&gt;=AL$25,IF($A31&lt;=AL$26,$AF31,0),0)</f>
        <v>0</v>
      </c>
      <c r="AL31" s="221" t="e">
        <f aca="false">AN31/AK31</f>
        <v>#DIV/0!</v>
      </c>
      <c r="AM31" s="1" t="n">
        <f aca="false">AK31*($B31+B$13)</f>
        <v>0</v>
      </c>
      <c r="AN31" s="33" t="n">
        <f aca="false">IF(ISNUMBER(((AM31/AK31)+B$14+$D31)*AK31),((AM31/AK31)+B$14+$D31)*AK31,0)</f>
        <v>0</v>
      </c>
      <c r="AO31" s="44" t="n">
        <f aca="false">IF(AK31=0,0,bsd(1,AP$27,AL31,$H31,$E31,$F31,$AE31,0.1))</f>
        <v>0</v>
      </c>
      <c r="AP31" s="44" t="n">
        <f aca="false">IF(AK31=0,0,bsd(2,AP$27,AL31,$H31,$E31,$F31,$AE31,0.1))</f>
        <v>0</v>
      </c>
      <c r="AQ31" s="44" t="n">
        <f aca="false">IF(AK31=0,0,bsd(AP$28,AP$27,AL31,$H31,$E31,$F31,$AE31,0.1))</f>
        <v>0</v>
      </c>
      <c r="AR31" s="45" t="n">
        <f aca="false">AK31*AO31</f>
        <v>0</v>
      </c>
      <c r="AS31" s="45" t="n">
        <f aca="false">AK31*AP31</f>
        <v>0</v>
      </c>
      <c r="AT31" s="45" t="n">
        <f aca="false">AK31*AQ31</f>
        <v>0</v>
      </c>
      <c r="AV31" s="9" t="n">
        <f aca="false">IF($A31&gt;=AW$25,IF($A31&lt;=AW$26,$AF31,0),0)</f>
        <v>0</v>
      </c>
      <c r="AW31" s="221" t="e">
        <f aca="false">AY31/AV31</f>
        <v>#DIV/0!</v>
      </c>
      <c r="AX31" s="1" t="n">
        <f aca="false">AV31*($B31+D$13)</f>
        <v>0</v>
      </c>
      <c r="AY31" s="33" t="n">
        <f aca="false">IF(ISNUMBER(((AX31/AV31)+D$14+$J31)*AV31),((AX31/AV31)+D$14+$J31)*AV31,0)</f>
        <v>0</v>
      </c>
      <c r="AZ31" s="44" t="n">
        <f aca="false">IF(AV31=0,0,bsd(1,BA$27,AW31,$N31,$K31,$L31,$AE31,0.1))</f>
        <v>0</v>
      </c>
      <c r="BA31" s="44" t="n">
        <f aca="false">IF(AV31=0,0,bsd(2,BA$27,AW31,$N31,$K31,$L31,$AE31,0.1))</f>
        <v>0</v>
      </c>
      <c r="BB31" s="44" t="n">
        <f aca="false">IF(AV31=0,0,bsd(BA$28,BA$27,AW31,$N31,$K31,$L31,$AE31,0.1))</f>
        <v>0</v>
      </c>
      <c r="BC31" s="45" t="n">
        <f aca="false">AV31*AZ31</f>
        <v>0</v>
      </c>
      <c r="BD31" s="45" t="n">
        <f aca="false">AV31*BA31</f>
        <v>0</v>
      </c>
      <c r="BE31" s="45" t="n">
        <f aca="false">AV31*BB31</f>
        <v>0</v>
      </c>
      <c r="BG31" s="9" t="n">
        <f aca="false">IF($A31&gt;=BH$25,IF($A31&lt;=BH$26,$AF31,0),0)</f>
        <v>0</v>
      </c>
      <c r="BH31" s="221" t="e">
        <f aca="false">BJ31/BG31</f>
        <v>#DIV/0!</v>
      </c>
      <c r="BI31" s="1" t="n">
        <f aca="false">BG31*($B31+F$13)</f>
        <v>0</v>
      </c>
      <c r="BJ31" s="33" t="n">
        <f aca="false">IF(ISNUMBER(((BI31/BG31)+F$14+$P31)*BG31),((BI31/BG31)+F$14+$P31)*BG31,0)</f>
        <v>0</v>
      </c>
      <c r="BK31" s="44" t="n">
        <f aca="false">IF(BG31=0,0,bsd(1,BL$27,BH31,$T31,$Q31,$R31,$AE31,0.1))</f>
        <v>0</v>
      </c>
      <c r="BL31" s="44" t="n">
        <f aca="false">IF(BG31=0,0,bsd(2,BL$27,BH31,$T31,$Q31,$R31,$AE31,0.1))</f>
        <v>0</v>
      </c>
      <c r="BM31" s="44" t="n">
        <f aca="false">IF(BG31=0,0,bsd(BL$28,BL$27,BH31,$T31,$Q31,$R31,$AE31,0.1))</f>
        <v>0</v>
      </c>
      <c r="BN31" s="45" t="n">
        <f aca="false">BG31*BK31</f>
        <v>0</v>
      </c>
      <c r="BO31" s="45" t="n">
        <f aca="false">BG31*BL31</f>
        <v>0</v>
      </c>
      <c r="BP31" s="45" t="n">
        <f aca="false">BG31*BM31</f>
        <v>0</v>
      </c>
      <c r="BR31" s="9" t="n">
        <f aca="false">IF($A31&gt;=BS$25,IF($A31&lt;=BS$26,$AF31,0),0)</f>
        <v>0</v>
      </c>
      <c r="BS31" s="221" t="e">
        <f aca="false">BU31/BR31</f>
        <v>#DIV/0!</v>
      </c>
      <c r="BT31" s="1" t="n">
        <f aca="false">BR31*($B31+H$13)</f>
        <v>0</v>
      </c>
      <c r="BU31" s="33" t="n">
        <f aca="false">IF(ISNUMBER(((BT31/BR31)+H$14+$V31)*BR31),((BT31/BR31)+H$14+$V31)*BR31,0)</f>
        <v>0</v>
      </c>
      <c r="BV31" s="44" t="n">
        <f aca="false">IF(BR31=0,0,bsd(1,BW$27,BS31,$Z31,$W31,$X31,$AE31,0.1))</f>
        <v>0</v>
      </c>
      <c r="BW31" s="44" t="n">
        <f aca="false">IF(BR31=0,0,bsd(2,BW$27,BS31,$Z31,$W31,$X31,$AE31,0.1))</f>
        <v>0</v>
      </c>
      <c r="BX31" s="44" t="n">
        <f aca="false">IF(BR31=0,0,bsd(BW$28,BW$27,BS31,$Z31,$W31,$X31,$AE31,0.1))</f>
        <v>0</v>
      </c>
      <c r="BY31" s="45" t="n">
        <f aca="false">BR31*BV31</f>
        <v>0</v>
      </c>
      <c r="BZ31" s="45" t="n">
        <f aca="false">BR31*BW31</f>
        <v>0</v>
      </c>
      <c r="CA31" s="45" t="n">
        <f aca="false">BR31*BX31</f>
        <v>0</v>
      </c>
    </row>
    <row r="32" customFormat="false" ht="12.75" hidden="false" customHeight="false" outlineLevel="0" collapsed="false">
      <c r="A32" s="48" t="n">
        <f aca="false">DATE(YEAR(A31),MONTH(A31)+1,1)</f>
        <v>37316</v>
      </c>
      <c r="B32" s="40" t="n">
        <f aca="false">VLOOKUP(A32,STRADDLE,5,FALSE())</f>
        <v>2.3</v>
      </c>
      <c r="C32" s="4" t="e">
        <f aca="false">VLOOKUP(A32,STRADDLE,6,FALSE())</f>
        <v>#VALUE!</v>
      </c>
      <c r="D32" s="40" t="n">
        <f aca="false">IF(D$28="nymex",0,VLOOKUP($A32,curvesettle,HLOOKUP(D$28,curvesettle,2,FALSE())))</f>
        <v>0</v>
      </c>
      <c r="E32" s="219" t="n">
        <f aca="false">IF(D$28="NYMEX",$AD32,$AC32)</f>
        <v>-8614</v>
      </c>
      <c r="F32" s="4" t="e">
        <f aca="false">($C32+G32)+B$15</f>
        <v>#DIV/0!</v>
      </c>
      <c r="G32" s="4" t="e">
        <f aca="false">IF(B$16=1,xCalcSkew(A32,H32-AL32,b)/100,0)</f>
        <v>#DIV/0!</v>
      </c>
      <c r="H32" s="41" t="n">
        <f aca="false">IF($B$19=4,$AL32,$B$18)</f>
        <v>2.44</v>
      </c>
      <c r="J32" s="40" t="n">
        <f aca="false">IF(J$28="nymex",0,VLOOKUP($A32,curvesettle,HLOOKUP(J$28,curvesettle,2,FALSE())))</f>
        <v>0</v>
      </c>
      <c r="K32" s="219" t="n">
        <f aca="false">IF(J$28="NYMEX",$AD32,$AC32)</f>
        <v>-8614</v>
      </c>
      <c r="L32" s="220" t="e">
        <f aca="false">($C32+M32)+D$15</f>
        <v>#DIV/0!</v>
      </c>
      <c r="M32" s="4" t="e">
        <f aca="false">IF(D$16=1,xCalcSkew($A32,N32-AW32,b)/100,0)</f>
        <v>#DIV/0!</v>
      </c>
      <c r="N32" s="41" t="n">
        <f aca="false">IF($D$19=4,$AW32,$D$18)</f>
        <v>2.44</v>
      </c>
      <c r="P32" s="40" t="n">
        <f aca="false">IF(P$28="nymex",0,VLOOKUP($A32,curvesettle,HLOOKUP(P$28,curvesettle,2,FALSE())))</f>
        <v>0</v>
      </c>
      <c r="Q32" s="219" t="n">
        <f aca="false">IF(P$28="NYMEX",$AD32,$AC32)</f>
        <v>-8614</v>
      </c>
      <c r="R32" s="220" t="e">
        <f aca="false">($C32+S32)+F$15</f>
        <v>#DIV/0!</v>
      </c>
      <c r="S32" s="4" t="e">
        <f aca="false">IF(F$16=1,xCalcSkew($A32,T32-BH32,b)/100,0)</f>
        <v>#DIV/0!</v>
      </c>
      <c r="T32" s="41" t="n">
        <f aca="false">IF($F$19=4,$BH32,$F$18)</f>
        <v>2.44</v>
      </c>
      <c r="V32" s="40" t="n">
        <f aca="false">IF(V$28="nymex",0,VLOOKUP($A32,curvesettle,HLOOKUP(V$28,curvesettle,2,FALSE())))</f>
        <v>0</v>
      </c>
      <c r="W32" s="219" t="n">
        <f aca="false">IF(V$28="NYMEX",$AD32,$AC32)</f>
        <v>-8614</v>
      </c>
      <c r="X32" s="4" t="e">
        <f aca="false">($C32+Y32)+H$15</f>
        <v>#DIV/0!</v>
      </c>
      <c r="Y32" s="4" t="e">
        <f aca="false">IF(H$16=1,xCalcSkew($A32,Z32-BS32,b)/100,0)</f>
        <v>#DIV/0!</v>
      </c>
      <c r="Z32" s="41" t="n">
        <f aca="false">IF($H$19=4,$BS32,$H$18)</f>
        <v>2.44</v>
      </c>
      <c r="AC32" s="219" t="n">
        <f aca="false">VLOOKUP($A32,expiration,2,FALSE())-$B$2</f>
        <v>-8613</v>
      </c>
      <c r="AD32" s="219" t="n">
        <f aca="false">VLOOKUP($A32,expiration,3,FALSE())-$B$2</f>
        <v>-8614</v>
      </c>
      <c r="AE32" s="4" t="n">
        <f aca="false">VLOOKUP($A32,STRADDLE,15,FALSE())</f>
        <v>0.0211456580710117</v>
      </c>
      <c r="AF32" s="43" t="n">
        <f aca="false">A33-A32</f>
        <v>31</v>
      </c>
      <c r="AG32" s="44"/>
      <c r="AH32" s="44"/>
      <c r="AI32" s="44"/>
      <c r="AJ32" s="44"/>
      <c r="AK32" s="9" t="n">
        <f aca="false">IF($A32&gt;=AL$25,IF($A32&lt;=AL$26,$AF32,0),0)</f>
        <v>0</v>
      </c>
      <c r="AL32" s="221" t="e">
        <f aca="false">AN32/AK32</f>
        <v>#DIV/0!</v>
      </c>
      <c r="AM32" s="1" t="n">
        <f aca="false">AK32*($B32+B$13)</f>
        <v>0</v>
      </c>
      <c r="AN32" s="33" t="n">
        <f aca="false">IF(ISNUMBER(((AM32/AK32)+B$14+$D32)*AK32),((AM32/AK32)+B$14+$D32)*AK32,0)</f>
        <v>0</v>
      </c>
      <c r="AO32" s="44" t="n">
        <f aca="false">IF(AK32=0,0,bsd(1,AP$27,AL32,$H32,$E32,$F32,$AE32,0.1))</f>
        <v>0</v>
      </c>
      <c r="AP32" s="44" t="n">
        <f aca="false">IF(AK32=0,0,bsd(2,AP$27,AL32,$H32,$E32,$F32,$AE32,0.1))</f>
        <v>0</v>
      </c>
      <c r="AQ32" s="44" t="n">
        <f aca="false">IF(AK32=0,0,bsd(AP$28,AP$27,AL32,$H32,$E32,$F32,$AE32,0.1))</f>
        <v>0</v>
      </c>
      <c r="AR32" s="45" t="n">
        <f aca="false">AK32*AO32</f>
        <v>0</v>
      </c>
      <c r="AS32" s="45" t="n">
        <f aca="false">AK32*AP32</f>
        <v>0</v>
      </c>
      <c r="AT32" s="45" t="n">
        <f aca="false">AK32*AQ32</f>
        <v>0</v>
      </c>
      <c r="AV32" s="9" t="n">
        <f aca="false">IF($A32&gt;=AW$25,IF($A32&lt;=AW$26,$AF32,0),0)</f>
        <v>0</v>
      </c>
      <c r="AW32" s="221" t="e">
        <f aca="false">AY32/AV32</f>
        <v>#DIV/0!</v>
      </c>
      <c r="AX32" s="1" t="n">
        <f aca="false">AV32*($B32+D$13)</f>
        <v>0</v>
      </c>
      <c r="AY32" s="33" t="n">
        <f aca="false">IF(ISNUMBER(((AX32/AV32)+D$14+$J32)*AV32),((AX32/AV32)+D$14+$J32)*AV32,0)</f>
        <v>0</v>
      </c>
      <c r="AZ32" s="44" t="n">
        <f aca="false">IF(AV32=0,0,bsd(1,BA$27,AW32,$N32,$K32,$L32,$AE32,0.1))</f>
        <v>0</v>
      </c>
      <c r="BA32" s="44" t="n">
        <f aca="false">IF(AV32=0,0,bsd(2,BA$27,AW32,$N32,$K32,$L32,$AE32,0.1))</f>
        <v>0</v>
      </c>
      <c r="BB32" s="44" t="n">
        <f aca="false">IF(AV32=0,0,bsd(BA$28,BA$27,AW32,$N32,$K32,$L32,$AE32,0.1))</f>
        <v>0</v>
      </c>
      <c r="BC32" s="45" t="n">
        <f aca="false">AV32*AZ32</f>
        <v>0</v>
      </c>
      <c r="BD32" s="45" t="n">
        <f aca="false">AV32*BA32</f>
        <v>0</v>
      </c>
      <c r="BE32" s="45" t="n">
        <f aca="false">AV32*BB32</f>
        <v>0</v>
      </c>
      <c r="BG32" s="9" t="n">
        <f aca="false">IF($A32&gt;=BH$25,IF($A32&lt;=BH$26,$AF32,0),0)</f>
        <v>0</v>
      </c>
      <c r="BH32" s="221" t="e">
        <f aca="false">BJ32/BG32</f>
        <v>#DIV/0!</v>
      </c>
      <c r="BI32" s="1" t="n">
        <f aca="false">BG32*($B32+F$13)</f>
        <v>0</v>
      </c>
      <c r="BJ32" s="33" t="n">
        <f aca="false">IF(ISNUMBER(((BI32/BG32)+F$14+$P32)*BG32),((BI32/BG32)+F$14+$P32)*BG32,0)</f>
        <v>0</v>
      </c>
      <c r="BK32" s="44" t="n">
        <f aca="false">IF(BG32=0,0,bsd(1,BL$27,BH32,$T32,$Q32,$R32,$AE32,0.1))</f>
        <v>0</v>
      </c>
      <c r="BL32" s="44" t="n">
        <f aca="false">IF(BG32=0,0,bsd(2,BL$27,BH32,$T32,$Q32,$R32,$AE32,0.1))</f>
        <v>0</v>
      </c>
      <c r="BM32" s="44" t="n">
        <f aca="false">IF(BG32=0,0,bsd(BL$28,BL$27,BH32,$T32,$Q32,$R32,$AE32,0.1))</f>
        <v>0</v>
      </c>
      <c r="BN32" s="45" t="n">
        <f aca="false">BG32*BK32</f>
        <v>0</v>
      </c>
      <c r="BO32" s="45" t="n">
        <f aca="false">BG32*BL32</f>
        <v>0</v>
      </c>
      <c r="BP32" s="45" t="n">
        <f aca="false">BG32*BM32</f>
        <v>0</v>
      </c>
      <c r="BR32" s="9" t="n">
        <f aca="false">IF($A32&gt;=BS$25,IF($A32&lt;=BS$26,$AF32,0),0)</f>
        <v>0</v>
      </c>
      <c r="BS32" s="221" t="e">
        <f aca="false">BU32/BR32</f>
        <v>#DIV/0!</v>
      </c>
      <c r="BT32" s="1" t="n">
        <f aca="false">BR32*($B32+H$13)</f>
        <v>0</v>
      </c>
      <c r="BU32" s="33" t="n">
        <f aca="false">IF(ISNUMBER(((BT32/BR32)+H$14+$V32)*BR32),((BT32/BR32)+H$14+$V32)*BR32,0)</f>
        <v>0</v>
      </c>
      <c r="BV32" s="44" t="n">
        <f aca="false">IF(BR32=0,0,bsd(1,BW$27,BS32,$Z32,$W32,$X32,$AE32,0.1))</f>
        <v>0</v>
      </c>
      <c r="BW32" s="44" t="n">
        <f aca="false">IF(BR32=0,0,bsd(2,BW$27,BS32,$Z32,$W32,$X32,$AE32,0.1))</f>
        <v>0</v>
      </c>
      <c r="BX32" s="44" t="n">
        <f aca="false">IF(BR32=0,0,bsd(BW$28,BW$27,BS32,$Z32,$W32,$X32,$AE32,0.1))</f>
        <v>0</v>
      </c>
      <c r="BY32" s="45" t="n">
        <f aca="false">BR32*BV32</f>
        <v>0</v>
      </c>
      <c r="BZ32" s="45" t="n">
        <f aca="false">BR32*BW32</f>
        <v>0</v>
      </c>
      <c r="CA32" s="45" t="n">
        <f aca="false">BR32*BX32</f>
        <v>0</v>
      </c>
    </row>
    <row r="33" customFormat="false" ht="12.75" hidden="false" customHeight="false" outlineLevel="0" collapsed="false">
      <c r="A33" s="48" t="n">
        <f aca="false">DATE(YEAR(A32),MONTH(A32)+1,1)</f>
        <v>37347</v>
      </c>
      <c r="B33" s="40" t="n">
        <f aca="false">VLOOKUP(A33,STRADDLE,5,FALSE())</f>
        <v>2.32</v>
      </c>
      <c r="C33" s="4" t="e">
        <f aca="false">VLOOKUP(A33,STRADDLE,6,FALSE())</f>
        <v>#VALUE!</v>
      </c>
      <c r="D33" s="40" t="n">
        <f aca="false">IF(D$28="nymex",0,VLOOKUP($A33,curvesettle,HLOOKUP(D$28,curvesettle,2,FALSE())))</f>
        <v>0</v>
      </c>
      <c r="E33" s="219" t="n">
        <f aca="false">IF(D$28="NYMEX",$AD33,$AC33)</f>
        <v>-8586</v>
      </c>
      <c r="F33" s="4" t="e">
        <f aca="false">($C33+G33)+B$15</f>
        <v>#NAME?</v>
      </c>
      <c r="G33" s="4" t="e">
        <f aca="false">IF(B$16=1,xCalcSkew(A33,H33-AL33,b)/100,0)</f>
        <v>#NAME?</v>
      </c>
      <c r="H33" s="41" t="n">
        <f aca="false">IF($B$19=4,$AL33,$B$18)</f>
        <v>2.44</v>
      </c>
      <c r="J33" s="40" t="n">
        <f aca="false">IF(J$28="nymex",0,VLOOKUP($A33,curvesettle,HLOOKUP(J$28,curvesettle,2,FALSE())))</f>
        <v>0</v>
      </c>
      <c r="K33" s="219" t="n">
        <f aca="false">IF(J$28="NYMEX",$AD33,$AC33)</f>
        <v>-8586</v>
      </c>
      <c r="L33" s="220" t="e">
        <f aca="false">($C33+M33)+D$15</f>
        <v>#NAME?</v>
      </c>
      <c r="M33" s="4" t="e">
        <f aca="false">IF(D$16=1,xCalcSkew($A33,N33-AW33,b)/100,0)</f>
        <v>#NAME?</v>
      </c>
      <c r="N33" s="41" t="n">
        <f aca="false">IF($D$19=4,$AW33,$D$18)</f>
        <v>2.44</v>
      </c>
      <c r="P33" s="40" t="n">
        <f aca="false">IF(P$28="nymex",0,VLOOKUP($A33,curvesettle,HLOOKUP(P$28,curvesettle,2,FALSE())))</f>
        <v>0</v>
      </c>
      <c r="Q33" s="219" t="n">
        <f aca="false">IF(P$28="NYMEX",$AD33,$AC33)</f>
        <v>-8586</v>
      </c>
      <c r="R33" s="220" t="e">
        <f aca="false">($C33+S33)+F$15</f>
        <v>#NAME?</v>
      </c>
      <c r="S33" s="4" t="e">
        <f aca="false">IF(F$16=1,xCalcSkew($A33,T33-BH33,b)/100,0)</f>
        <v>#NAME?</v>
      </c>
      <c r="T33" s="41" t="n">
        <f aca="false">IF($F$19=4,$BH33,$F$18)</f>
        <v>2.44</v>
      </c>
      <c r="V33" s="40" t="n">
        <f aca="false">IF(V$28="nymex",0,VLOOKUP($A33,curvesettle,HLOOKUP(V$28,curvesettle,2,FALSE())))</f>
        <v>0</v>
      </c>
      <c r="W33" s="219" t="n">
        <f aca="false">IF(V$28="NYMEX",$AD33,$AC33)</f>
        <v>-8586</v>
      </c>
      <c r="X33" s="4" t="e">
        <f aca="false">($C33+Y33)+H$15</f>
        <v>#NAME?</v>
      </c>
      <c r="Y33" s="4" t="e">
        <f aca="false">IF(H$16=1,xCalcSkew($A33,Z33-BS33,b)/100,0)</f>
        <v>#NAME?</v>
      </c>
      <c r="Z33" s="41" t="n">
        <f aca="false">IF($H$19=4,$BS33,$H$18)</f>
        <v>2.44</v>
      </c>
      <c r="AC33" s="219" t="n">
        <f aca="false">VLOOKUP($A33,expiration,2,FALSE())-$B$2</f>
        <v>-8585</v>
      </c>
      <c r="AD33" s="219" t="n">
        <f aca="false">VLOOKUP($A33,expiration,3,FALSE())-$B$2</f>
        <v>-8586</v>
      </c>
      <c r="AE33" s="4" t="n">
        <f aca="false">VLOOKUP($A33,STRADDLE,15,FALSE())</f>
        <v>0.0207759939054513</v>
      </c>
      <c r="AF33" s="43" t="n">
        <f aca="false">A34-A33</f>
        <v>30</v>
      </c>
      <c r="AG33" s="44"/>
      <c r="AH33" s="44"/>
      <c r="AI33" s="44"/>
      <c r="AJ33" s="44"/>
      <c r="AK33" s="9" t="n">
        <f aca="false">IF($A33&gt;=AL$25,IF($A33&lt;=AL$26,$AF33,0),0)</f>
        <v>30</v>
      </c>
      <c r="AL33" s="221" t="n">
        <f aca="false">AN33/AK33</f>
        <v>2.32</v>
      </c>
      <c r="AM33" s="1" t="n">
        <f aca="false">AK33*($B33+B$13)</f>
        <v>69.6</v>
      </c>
      <c r="AN33" s="33" t="n">
        <f aca="false">IF(ISNUMBER(((AM33/AK33)+B$14+$D33)*AK33),((AM33/AK33)+B$14+$D33)*AK33,0)</f>
        <v>69.6</v>
      </c>
      <c r="AO33" s="44" t="e">
        <f aca="false">IF(AK33=0,0,bsd(1,AP$27,AL33,$H33,$E33,$F33,$AE33,0.1))</f>
        <v>#VALUE!</v>
      </c>
      <c r="AP33" s="44" t="e">
        <f aca="false">IF(AK33=0,0,bsd(2,AP$27,AL33,$H33,$E33,$F33,$AE33,0.1))</f>
        <v>#VALUE!</v>
      </c>
      <c r="AQ33" s="44" t="e">
        <f aca="false">IF(AK33=0,0,bsd(AP$28,AP$27,AL33,$H33,$E33,$F33,$AE33,0.1))</f>
        <v>#VALUE!</v>
      </c>
      <c r="AR33" s="45" t="e">
        <f aca="false">AK33*AO33</f>
        <v>#VALUE!</v>
      </c>
      <c r="AS33" s="45" t="e">
        <f aca="false">AK33*AP33</f>
        <v>#VALUE!</v>
      </c>
      <c r="AT33" s="45" t="e">
        <f aca="false">AK33*AQ33</f>
        <v>#VALUE!</v>
      </c>
      <c r="AV33" s="9" t="n">
        <f aca="false">IF($A33&gt;=AW$25,IF($A33&lt;=AW$26,$AF33,0),0)</f>
        <v>30</v>
      </c>
      <c r="AW33" s="221" t="n">
        <f aca="false">AY33/AV33</f>
        <v>2.32</v>
      </c>
      <c r="AX33" s="1" t="n">
        <f aca="false">AV33*($B33+D$13)</f>
        <v>69.6</v>
      </c>
      <c r="AY33" s="33" t="n">
        <f aca="false">IF(ISNUMBER(((AX33/AV33)+D$14+$J33)*AV33),((AX33/AV33)+D$14+$J33)*AV33,0)</f>
        <v>69.6</v>
      </c>
      <c r="AZ33" s="44" t="e">
        <f aca="false">IF(AV33=0,0,bsd(1,BA$27,AW33,$N33,$K33,$L33,$AE33,0.1))</f>
        <v>#VALUE!</v>
      </c>
      <c r="BA33" s="44" t="e">
        <f aca="false">IF(AV33=0,0,bsd(2,BA$27,AW33,$N33,$K33,$L33,$AE33,0.1))</f>
        <v>#VALUE!</v>
      </c>
      <c r="BB33" s="44" t="e">
        <f aca="false">IF(AV33=0,0,bsd(BA$28,BA$27,AW33,$N33,$K33,$L33,$AE33,0.1))</f>
        <v>#VALUE!</v>
      </c>
      <c r="BC33" s="45" t="e">
        <f aca="false">AV33*AZ33</f>
        <v>#VALUE!</v>
      </c>
      <c r="BD33" s="45" t="e">
        <f aca="false">AV33*BA33</f>
        <v>#VALUE!</v>
      </c>
      <c r="BE33" s="45" t="e">
        <f aca="false">AV33*BB33</f>
        <v>#VALUE!</v>
      </c>
      <c r="BG33" s="9" t="n">
        <f aca="false">IF($A33&gt;=BH$25,IF($A33&lt;=BH$26,$AF33,0),0)</f>
        <v>30</v>
      </c>
      <c r="BH33" s="221" t="n">
        <f aca="false">BJ33/BG33</f>
        <v>2.32</v>
      </c>
      <c r="BI33" s="1" t="n">
        <f aca="false">BG33*($B33+F$13)</f>
        <v>69.6</v>
      </c>
      <c r="BJ33" s="33" t="n">
        <f aca="false">IF(ISNUMBER(((BI33/BG33)+F$14+$P33)*BG33),((BI33/BG33)+F$14+$P33)*BG33,0)</f>
        <v>69.6</v>
      </c>
      <c r="BK33" s="44" t="e">
        <f aca="false">IF(BG33=0,0,bsd(1,BL$27,BH33,$T33,$Q33,$R33,$AE33,0.1))</f>
        <v>#VALUE!</v>
      </c>
      <c r="BL33" s="44" t="e">
        <f aca="false">IF(BG33=0,0,bsd(2,BL$27,BH33,$T33,$Q33,$R33,$AE33,0.1))</f>
        <v>#VALUE!</v>
      </c>
      <c r="BM33" s="44" t="e">
        <f aca="false">IF(BG33=0,0,bsd(BL$28,BL$27,BH33,$T33,$Q33,$R33,$AE33,0.1))</f>
        <v>#VALUE!</v>
      </c>
      <c r="BN33" s="45" t="e">
        <f aca="false">BG33*BK33</f>
        <v>#VALUE!</v>
      </c>
      <c r="BO33" s="45" t="e">
        <f aca="false">BG33*BL33</f>
        <v>#VALUE!</v>
      </c>
      <c r="BP33" s="45" t="e">
        <f aca="false">BG33*BM33</f>
        <v>#VALUE!</v>
      </c>
      <c r="BR33" s="9" t="n">
        <f aca="false">IF($A33&gt;=BS$25,IF($A33&lt;=BS$26,$AF33,0),0)</f>
        <v>30</v>
      </c>
      <c r="BS33" s="221" t="n">
        <f aca="false">BU33/BR33</f>
        <v>2.32</v>
      </c>
      <c r="BT33" s="1" t="n">
        <f aca="false">BR33*($B33+H$13)</f>
        <v>69.6</v>
      </c>
      <c r="BU33" s="33" t="n">
        <f aca="false">IF(ISNUMBER(((BT33/BR33)+H$14+$V33)*BR33),((BT33/BR33)+H$14+$V33)*BR33,0)</f>
        <v>69.6</v>
      </c>
      <c r="BV33" s="44" t="e">
        <f aca="false">IF(BR33=0,0,bsd(1,BW$27,BS33,$Z33,$W33,$X33,$AE33,0.1))</f>
        <v>#VALUE!</v>
      </c>
      <c r="BW33" s="44" t="e">
        <f aca="false">IF(BR33=0,0,bsd(2,BW$27,BS33,$Z33,$W33,$X33,$AE33,0.1))</f>
        <v>#VALUE!</v>
      </c>
      <c r="BX33" s="44" t="e">
        <f aca="false">IF(BR33=0,0,bsd(BW$28,BW$27,BS33,$Z33,$W33,$X33,$AE33,0.1))</f>
        <v>#VALUE!</v>
      </c>
      <c r="BY33" s="45" t="e">
        <f aca="false">BR33*BV33</f>
        <v>#VALUE!</v>
      </c>
      <c r="BZ33" s="45" t="e">
        <f aca="false">BR33*BW33</f>
        <v>#VALUE!</v>
      </c>
      <c r="CA33" s="45" t="e">
        <f aca="false">BR33*BX33</f>
        <v>#VALUE!</v>
      </c>
    </row>
    <row r="34" customFormat="false" ht="12.75" hidden="false" customHeight="false" outlineLevel="0" collapsed="false">
      <c r="A34" s="48" t="n">
        <f aca="false">DATE(YEAR(A33),MONTH(A33)+1,1)</f>
        <v>37377</v>
      </c>
      <c r="B34" s="40" t="n">
        <f aca="false">VLOOKUP(A34,STRADDLE,5,FALSE())</f>
        <v>2.38</v>
      </c>
      <c r="C34" s="4" t="e">
        <f aca="false">VLOOKUP(A34,STRADDLE,6,FALSE())</f>
        <v>#VALUE!</v>
      </c>
      <c r="D34" s="40" t="n">
        <f aca="false">IF(D$28="nymex",0,VLOOKUP($A34,curvesettle,HLOOKUP(D$28,curvesettle,2,FALSE())))</f>
        <v>0</v>
      </c>
      <c r="E34" s="219" t="n">
        <f aca="false">IF(D$28="NYMEX",$AD34,$AC34)</f>
        <v>-8555</v>
      </c>
      <c r="F34" s="4" t="e">
        <f aca="false">($C34+G34)+B$15</f>
        <v>#NAME?</v>
      </c>
      <c r="G34" s="4" t="e">
        <f aca="false">IF(B$16=1,xCalcSkew(A34,H34-AL34,b)/100,0)</f>
        <v>#NAME?</v>
      </c>
      <c r="H34" s="41" t="n">
        <f aca="false">IF($B$19=4,$AL34,$B$18)</f>
        <v>2.44</v>
      </c>
      <c r="J34" s="40" t="n">
        <f aca="false">IF(J$28="nymex",0,VLOOKUP($A34,curvesettle,HLOOKUP(J$28,curvesettle,2,FALSE())))</f>
        <v>0</v>
      </c>
      <c r="K34" s="219" t="n">
        <f aca="false">IF(J$28="NYMEX",$AD34,$AC34)</f>
        <v>-8555</v>
      </c>
      <c r="L34" s="220" t="e">
        <f aca="false">($C34+M34)+D$15</f>
        <v>#NAME?</v>
      </c>
      <c r="M34" s="4" t="e">
        <f aca="false">IF(D$16=1,xCalcSkew($A34,N34-AW34,b)/100,0)</f>
        <v>#NAME?</v>
      </c>
      <c r="N34" s="41" t="n">
        <f aca="false">IF($D$19=4,$AW34,$D$18)</f>
        <v>2.44</v>
      </c>
      <c r="P34" s="40" t="n">
        <f aca="false">IF(P$28="nymex",0,VLOOKUP($A34,curvesettle,HLOOKUP(P$28,curvesettle,2,FALSE())))</f>
        <v>0</v>
      </c>
      <c r="Q34" s="219" t="n">
        <f aca="false">IF(P$28="NYMEX",$AD34,$AC34)</f>
        <v>-8555</v>
      </c>
      <c r="R34" s="220" t="e">
        <f aca="false">($C34+S34)+F$15</f>
        <v>#NAME?</v>
      </c>
      <c r="S34" s="4" t="e">
        <f aca="false">IF(F$16=1,xCalcSkew($A34,T34-BH34,b)/100,0)</f>
        <v>#NAME?</v>
      </c>
      <c r="T34" s="41" t="n">
        <f aca="false">IF($F$19=4,$BH34,$F$18)</f>
        <v>2.44</v>
      </c>
      <c r="V34" s="40" t="n">
        <f aca="false">IF(V$28="nymex",0,VLOOKUP($A34,curvesettle,HLOOKUP(V$28,curvesettle,2,FALSE())))</f>
        <v>0</v>
      </c>
      <c r="W34" s="219" t="n">
        <f aca="false">IF(V$28="NYMEX",$AD34,$AC34)</f>
        <v>-8555</v>
      </c>
      <c r="X34" s="4" t="e">
        <f aca="false">($C34+Y34)+H$15</f>
        <v>#NAME?</v>
      </c>
      <c r="Y34" s="4" t="e">
        <f aca="false">IF(H$16=1,xCalcSkew($A34,Z34-BS34,b)/100,0)</f>
        <v>#NAME?</v>
      </c>
      <c r="Z34" s="41" t="n">
        <f aca="false">IF($H$19=4,$BS34,$H$18)</f>
        <v>2.44</v>
      </c>
      <c r="AC34" s="219" t="n">
        <f aca="false">VLOOKUP($A34,expiration,2,FALSE())-$B$2</f>
        <v>-8554</v>
      </c>
      <c r="AD34" s="219" t="n">
        <f aca="false">VLOOKUP($A34,expiration,3,FALSE())-$B$2</f>
        <v>-8555</v>
      </c>
      <c r="AE34" s="4" t="n">
        <f aca="false">VLOOKUP($A34,STRADDLE,15,FALSE())</f>
        <v>0.0200334599021574</v>
      </c>
      <c r="AF34" s="43" t="n">
        <f aca="false">A35-A34</f>
        <v>31</v>
      </c>
      <c r="AG34" s="44"/>
      <c r="AH34" s="44"/>
      <c r="AI34" s="44"/>
      <c r="AJ34" s="44"/>
      <c r="AK34" s="9" t="n">
        <f aca="false">IF($A34&gt;=AL$25,IF($A34&lt;=AL$26,$AF34,0),0)</f>
        <v>31</v>
      </c>
      <c r="AL34" s="221" t="n">
        <f aca="false">AN34/AK34</f>
        <v>2.38</v>
      </c>
      <c r="AM34" s="1" t="n">
        <f aca="false">AK34*($B34+B$13)</f>
        <v>73.78</v>
      </c>
      <c r="AN34" s="33" t="n">
        <f aca="false">IF(ISNUMBER(((AM34/AK34)+B$14+$D34)*AK34),((AM34/AK34)+B$14+$D34)*AK34,0)</f>
        <v>73.78</v>
      </c>
      <c r="AO34" s="44" t="e">
        <f aca="false">IF(AK34=0,0,bsd(1,AP$27,AL34,$H34,$E34,$F34,$AE34,0.1))</f>
        <v>#VALUE!</v>
      </c>
      <c r="AP34" s="44" t="e">
        <f aca="false">IF(AK34=0,0,bsd(2,AP$27,AL34,$H34,$E34,$F34,$AE34,0.1))</f>
        <v>#VALUE!</v>
      </c>
      <c r="AQ34" s="44" t="e">
        <f aca="false">IF(AK34=0,0,bsd(AP$28,AP$27,AL34,$H34,$E34,$F34,$AE34,0.1))</f>
        <v>#VALUE!</v>
      </c>
      <c r="AR34" s="45" t="e">
        <f aca="false">AK34*AO34</f>
        <v>#VALUE!</v>
      </c>
      <c r="AS34" s="45" t="e">
        <f aca="false">AK34*AP34</f>
        <v>#VALUE!</v>
      </c>
      <c r="AT34" s="45" t="e">
        <f aca="false">AK34*AQ34</f>
        <v>#VALUE!</v>
      </c>
      <c r="AV34" s="9" t="n">
        <f aca="false">IF($A34&gt;=AW$25,IF($A34&lt;=AW$26,$AF34,0),0)</f>
        <v>31</v>
      </c>
      <c r="AW34" s="221" t="n">
        <f aca="false">AY34/AV34</f>
        <v>2.38</v>
      </c>
      <c r="AX34" s="1" t="n">
        <f aca="false">AV34*($B34+D$13)</f>
        <v>73.78</v>
      </c>
      <c r="AY34" s="33" t="n">
        <f aca="false">IF(ISNUMBER(((AX34/AV34)+D$14+$J34)*AV34),((AX34/AV34)+D$14+$J34)*AV34,0)</f>
        <v>73.78</v>
      </c>
      <c r="AZ34" s="44" t="e">
        <f aca="false">IF(AV34=0,0,bsd(1,BA$27,AW34,$N34,$K34,$L34,$AE34,0.1))</f>
        <v>#VALUE!</v>
      </c>
      <c r="BA34" s="44" t="e">
        <f aca="false">IF(AV34=0,0,bsd(2,BA$27,AW34,$N34,$K34,$L34,$AE34,0.1))</f>
        <v>#VALUE!</v>
      </c>
      <c r="BB34" s="44" t="e">
        <f aca="false">IF(AV34=0,0,bsd(BA$28,BA$27,AW34,$N34,$K34,$L34,$AE34,0.1))</f>
        <v>#VALUE!</v>
      </c>
      <c r="BC34" s="45" t="e">
        <f aca="false">AV34*AZ34</f>
        <v>#VALUE!</v>
      </c>
      <c r="BD34" s="45" t="e">
        <f aca="false">AV34*BA34</f>
        <v>#VALUE!</v>
      </c>
      <c r="BE34" s="45" t="e">
        <f aca="false">AV34*BB34</f>
        <v>#VALUE!</v>
      </c>
      <c r="BG34" s="9" t="n">
        <f aca="false">IF($A34&gt;=BH$25,IF($A34&lt;=BH$26,$AF34,0),0)</f>
        <v>31</v>
      </c>
      <c r="BH34" s="221" t="n">
        <f aca="false">BJ34/BG34</f>
        <v>2.38</v>
      </c>
      <c r="BI34" s="1" t="n">
        <f aca="false">BG34*($B34+F$13)</f>
        <v>73.78</v>
      </c>
      <c r="BJ34" s="33" t="n">
        <f aca="false">IF(ISNUMBER(((BI34/BG34)+F$14+$P34)*BG34),((BI34/BG34)+F$14+$P34)*BG34,0)</f>
        <v>73.78</v>
      </c>
      <c r="BK34" s="44" t="e">
        <f aca="false">IF(BG34=0,0,bsd(1,BL$27,BH34,$T34,$Q34,$R34,$AE34,0.1))</f>
        <v>#VALUE!</v>
      </c>
      <c r="BL34" s="44" t="e">
        <f aca="false">IF(BG34=0,0,bsd(2,BL$27,BH34,$T34,$Q34,$R34,$AE34,0.1))</f>
        <v>#VALUE!</v>
      </c>
      <c r="BM34" s="44" t="e">
        <f aca="false">IF(BG34=0,0,bsd(BL$28,BL$27,BH34,$T34,$Q34,$R34,$AE34,0.1))</f>
        <v>#VALUE!</v>
      </c>
      <c r="BN34" s="45" t="e">
        <f aca="false">BG34*BK34</f>
        <v>#VALUE!</v>
      </c>
      <c r="BO34" s="45" t="e">
        <f aca="false">BG34*BL34</f>
        <v>#VALUE!</v>
      </c>
      <c r="BP34" s="45" t="e">
        <f aca="false">BG34*BM34</f>
        <v>#VALUE!</v>
      </c>
      <c r="BR34" s="9" t="n">
        <f aca="false">IF($A34&gt;=BS$25,IF($A34&lt;=BS$26,$AF34,0),0)</f>
        <v>31</v>
      </c>
      <c r="BS34" s="221" t="n">
        <f aca="false">BU34/BR34</f>
        <v>2.38</v>
      </c>
      <c r="BT34" s="1" t="n">
        <f aca="false">BR34*($B34+H$13)</f>
        <v>73.78</v>
      </c>
      <c r="BU34" s="33" t="n">
        <f aca="false">IF(ISNUMBER(((BT34/BR34)+H$14+$V34)*BR34),((BT34/BR34)+H$14+$V34)*BR34,0)</f>
        <v>73.78</v>
      </c>
      <c r="BV34" s="44" t="e">
        <f aca="false">IF(BR34=0,0,bsd(1,BW$27,BS34,$Z34,$W34,$X34,$AE34,0.1))</f>
        <v>#VALUE!</v>
      </c>
      <c r="BW34" s="44" t="e">
        <f aca="false">IF(BR34=0,0,bsd(2,BW$27,BS34,$Z34,$W34,$X34,$AE34,0.1))</f>
        <v>#VALUE!</v>
      </c>
      <c r="BX34" s="44" t="e">
        <f aca="false">IF(BR34=0,0,bsd(BW$28,BW$27,BS34,$Z34,$W34,$X34,$AE34,0.1))</f>
        <v>#VALUE!</v>
      </c>
      <c r="BY34" s="45" t="e">
        <f aca="false">BR34*BV34</f>
        <v>#VALUE!</v>
      </c>
      <c r="BZ34" s="45" t="e">
        <f aca="false">BR34*BW34</f>
        <v>#VALUE!</v>
      </c>
      <c r="CA34" s="45" t="e">
        <f aca="false">BR34*BX34</f>
        <v>#VALUE!</v>
      </c>
    </row>
    <row r="35" customFormat="false" ht="12.75" hidden="false" customHeight="false" outlineLevel="0" collapsed="false">
      <c r="A35" s="48" t="n">
        <f aca="false">DATE(YEAR(A34),MONTH(A34)+1,1)</f>
        <v>37408</v>
      </c>
      <c r="B35" s="40" t="n">
        <f aca="false">VLOOKUP(A35,STRADDLE,5,FALSE())</f>
        <v>2.455</v>
      </c>
      <c r="C35" s="4" t="e">
        <f aca="false">VLOOKUP(A35,STRADDLE,6,FALSE())</f>
        <v>#VALUE!</v>
      </c>
      <c r="D35" s="40" t="n">
        <f aca="false">IF(D$28="nymex",0,VLOOKUP($A35,curvesettle,HLOOKUP(D$28,curvesettle,2,FALSE())))</f>
        <v>0</v>
      </c>
      <c r="E35" s="219" t="n">
        <f aca="false">IF(D$28="NYMEX",$AD35,$AC35)</f>
        <v>-8522</v>
      </c>
      <c r="F35" s="4" t="e">
        <f aca="false">($C35+G35)+B$15</f>
        <v>#NAME?</v>
      </c>
      <c r="G35" s="4" t="e">
        <f aca="false">IF(B$16=1,xCalcSkew(A35,H35-AL35,b)/100,0)</f>
        <v>#NAME?</v>
      </c>
      <c r="H35" s="41" t="n">
        <f aca="false">IF($B$19=4,$AL35,$B$18)</f>
        <v>2.44</v>
      </c>
      <c r="J35" s="40" t="n">
        <f aca="false">IF(J$28="nymex",0,VLOOKUP($A35,curvesettle,HLOOKUP(J$28,curvesettle,2,FALSE())))</f>
        <v>0</v>
      </c>
      <c r="K35" s="219" t="n">
        <f aca="false">IF(J$28="NYMEX",$AD35,$AC35)</f>
        <v>-8522</v>
      </c>
      <c r="L35" s="220" t="e">
        <f aca="false">($C35+M35)+D$15</f>
        <v>#NAME?</v>
      </c>
      <c r="M35" s="4" t="e">
        <f aca="false">IF(D$16=1,xCalcSkew($A35,N35-AW35,b)/100,0)</f>
        <v>#NAME?</v>
      </c>
      <c r="N35" s="41" t="n">
        <f aca="false">IF($D$19=4,$AW35,$D$18)</f>
        <v>2.44</v>
      </c>
      <c r="P35" s="40" t="n">
        <f aca="false">IF(P$28="nymex",0,VLOOKUP($A35,curvesettle,HLOOKUP(P$28,curvesettle,2,FALSE())))</f>
        <v>0</v>
      </c>
      <c r="Q35" s="219" t="n">
        <f aca="false">IF(P$28="NYMEX",$AD35,$AC35)</f>
        <v>-8522</v>
      </c>
      <c r="R35" s="220" t="e">
        <f aca="false">($C35+S35)+F$15</f>
        <v>#NAME?</v>
      </c>
      <c r="S35" s="4" t="e">
        <f aca="false">IF(F$16=1,xCalcSkew($A35,T35-BH35,b)/100,0)</f>
        <v>#NAME?</v>
      </c>
      <c r="T35" s="41" t="n">
        <f aca="false">IF($F$19=4,$BH35,$F$18)</f>
        <v>2.44</v>
      </c>
      <c r="V35" s="40" t="n">
        <f aca="false">IF(V$28="nymex",0,VLOOKUP($A35,curvesettle,HLOOKUP(V$28,curvesettle,2,FALSE())))</f>
        <v>0</v>
      </c>
      <c r="W35" s="219" t="n">
        <f aca="false">IF(V$28="NYMEX",$AD35,$AC35)</f>
        <v>-8522</v>
      </c>
      <c r="X35" s="4" t="e">
        <f aca="false">($C35+Y35)+H$15</f>
        <v>#NAME?</v>
      </c>
      <c r="Y35" s="4" t="e">
        <f aca="false">IF(H$16=1,xCalcSkew($A35,Z35-BS35,b)/100,0)</f>
        <v>#NAME?</v>
      </c>
      <c r="Z35" s="41" t="n">
        <f aca="false">IF($H$19=4,$BS35,$H$18)</f>
        <v>2.44</v>
      </c>
      <c r="AC35" s="219" t="n">
        <f aca="false">VLOOKUP($A35,expiration,2,FALSE())-$B$2</f>
        <v>-8521</v>
      </c>
      <c r="AD35" s="219" t="n">
        <f aca="false">VLOOKUP($A35,expiration,3,FALSE())-$B$2</f>
        <v>-8522</v>
      </c>
      <c r="AE35" s="4" t="n">
        <f aca="false">VLOOKUP($A35,STRADDLE,15,FALSE())</f>
        <v>0.0201562427304349</v>
      </c>
      <c r="AF35" s="43" t="n">
        <f aca="false">A36-A35</f>
        <v>30</v>
      </c>
      <c r="AG35" s="44"/>
      <c r="AH35" s="44"/>
      <c r="AI35" s="44"/>
      <c r="AJ35" s="44"/>
      <c r="AK35" s="9" t="n">
        <f aca="false">IF($A35&gt;=AL$25,IF($A35&lt;=AL$26,$AF35,0),0)</f>
        <v>30</v>
      </c>
      <c r="AL35" s="221" t="n">
        <f aca="false">AN35/AK35</f>
        <v>2.455</v>
      </c>
      <c r="AM35" s="1" t="n">
        <f aca="false">AK35*($B35+B$13)</f>
        <v>73.65</v>
      </c>
      <c r="AN35" s="33" t="n">
        <f aca="false">IF(ISNUMBER(((AM35/AK35)+B$14+$D35)*AK35),((AM35/AK35)+B$14+$D35)*AK35,0)</f>
        <v>73.65</v>
      </c>
      <c r="AO35" s="44" t="e">
        <f aca="false">IF(AK35=0,0,bsd(1,AP$27,AL35,$H35,$E35,$F35,$AE35,0.1))</f>
        <v>#VALUE!</v>
      </c>
      <c r="AP35" s="44" t="e">
        <f aca="false">IF(AK35=0,0,bsd(2,AP$27,AL35,$H35,$E35,$F35,$AE35,0.1))</f>
        <v>#VALUE!</v>
      </c>
      <c r="AQ35" s="44" t="e">
        <f aca="false">IF(AK35=0,0,bsd(AP$28,AP$27,AL35,$H35,$E35,$F35,$AE35,0.1))</f>
        <v>#VALUE!</v>
      </c>
      <c r="AR35" s="45" t="e">
        <f aca="false">AK35*AO35</f>
        <v>#VALUE!</v>
      </c>
      <c r="AS35" s="45" t="e">
        <f aca="false">AK35*AP35</f>
        <v>#VALUE!</v>
      </c>
      <c r="AT35" s="45" t="e">
        <f aca="false">AK35*AQ35</f>
        <v>#VALUE!</v>
      </c>
      <c r="AV35" s="9" t="n">
        <f aca="false">IF($A35&gt;=AW$25,IF($A35&lt;=AW$26,$AF35,0),0)</f>
        <v>30</v>
      </c>
      <c r="AW35" s="221" t="n">
        <f aca="false">AY35/AV35</f>
        <v>2.455</v>
      </c>
      <c r="AX35" s="1" t="n">
        <f aca="false">AV35*($B35+D$13)</f>
        <v>73.65</v>
      </c>
      <c r="AY35" s="33" t="n">
        <f aca="false">IF(ISNUMBER(((AX35/AV35)+D$14+$J35)*AV35),((AX35/AV35)+D$14+$J35)*AV35,0)</f>
        <v>73.65</v>
      </c>
      <c r="AZ35" s="44" t="e">
        <f aca="false">IF(AV35=0,0,bsd(1,BA$27,AW35,$N35,$K35,$L35,$AE35,0.1))</f>
        <v>#VALUE!</v>
      </c>
      <c r="BA35" s="44" t="e">
        <f aca="false">IF(AV35=0,0,bsd(2,BA$27,AW35,$N35,$K35,$L35,$AE35,0.1))</f>
        <v>#VALUE!</v>
      </c>
      <c r="BB35" s="44" t="e">
        <f aca="false">IF(AV35=0,0,bsd(BA$28,BA$27,AW35,$N35,$K35,$L35,$AE35,0.1))</f>
        <v>#VALUE!</v>
      </c>
      <c r="BC35" s="45" t="e">
        <f aca="false">AV35*AZ35</f>
        <v>#VALUE!</v>
      </c>
      <c r="BD35" s="45" t="e">
        <f aca="false">AV35*BA35</f>
        <v>#VALUE!</v>
      </c>
      <c r="BE35" s="45" t="e">
        <f aca="false">AV35*BB35</f>
        <v>#VALUE!</v>
      </c>
      <c r="BG35" s="9" t="n">
        <f aca="false">IF($A35&gt;=BH$25,IF($A35&lt;=BH$26,$AF35,0),0)</f>
        <v>30</v>
      </c>
      <c r="BH35" s="221" t="n">
        <f aca="false">BJ35/BG35</f>
        <v>2.455</v>
      </c>
      <c r="BI35" s="1" t="n">
        <f aca="false">BG35*($B35+F$13)</f>
        <v>73.65</v>
      </c>
      <c r="BJ35" s="33" t="n">
        <f aca="false">IF(ISNUMBER(((BI35/BG35)+F$14+$P35)*BG35),((BI35/BG35)+F$14+$P35)*BG35,0)</f>
        <v>73.65</v>
      </c>
      <c r="BK35" s="44" t="e">
        <f aca="false">IF(BG35=0,0,bsd(1,BL$27,BH35,$T35,$Q35,$R35,$AE35,0.1))</f>
        <v>#VALUE!</v>
      </c>
      <c r="BL35" s="44" t="e">
        <f aca="false">IF(BG35=0,0,bsd(2,BL$27,BH35,$T35,$Q35,$R35,$AE35,0.1))</f>
        <v>#VALUE!</v>
      </c>
      <c r="BM35" s="44" t="e">
        <f aca="false">IF(BG35=0,0,bsd(BL$28,BL$27,BH35,$T35,$Q35,$R35,$AE35,0.1))</f>
        <v>#VALUE!</v>
      </c>
      <c r="BN35" s="45" t="e">
        <f aca="false">BG35*BK35</f>
        <v>#VALUE!</v>
      </c>
      <c r="BO35" s="45" t="e">
        <f aca="false">BG35*BL35</f>
        <v>#VALUE!</v>
      </c>
      <c r="BP35" s="45" t="e">
        <f aca="false">BG35*BM35</f>
        <v>#VALUE!</v>
      </c>
      <c r="BR35" s="9" t="n">
        <f aca="false">IF($A35&gt;=BS$25,IF($A35&lt;=BS$26,$AF35,0),0)</f>
        <v>30</v>
      </c>
      <c r="BS35" s="221" t="n">
        <f aca="false">BU35/BR35</f>
        <v>2.455</v>
      </c>
      <c r="BT35" s="1" t="n">
        <f aca="false">BR35*($B35+H$13)</f>
        <v>73.65</v>
      </c>
      <c r="BU35" s="33" t="n">
        <f aca="false">IF(ISNUMBER(((BT35/BR35)+H$14+$V35)*BR35),((BT35/BR35)+H$14+$V35)*BR35,0)</f>
        <v>73.65</v>
      </c>
      <c r="BV35" s="44" t="e">
        <f aca="false">IF(BR35=0,0,bsd(1,BW$27,BS35,$Z35,$W35,$X35,$AE35,0.1))</f>
        <v>#VALUE!</v>
      </c>
      <c r="BW35" s="44" t="e">
        <f aca="false">IF(BR35=0,0,bsd(2,BW$27,BS35,$Z35,$W35,$X35,$AE35,0.1))</f>
        <v>#VALUE!</v>
      </c>
      <c r="BX35" s="44" t="e">
        <f aca="false">IF(BR35=0,0,bsd(BW$28,BW$27,BS35,$Z35,$W35,$X35,$AE35,0.1))</f>
        <v>#VALUE!</v>
      </c>
      <c r="BY35" s="45" t="e">
        <f aca="false">BR35*BV35</f>
        <v>#VALUE!</v>
      </c>
      <c r="BZ35" s="45" t="e">
        <f aca="false">BR35*BW35</f>
        <v>#VALUE!</v>
      </c>
      <c r="CA35" s="45" t="e">
        <f aca="false">BR35*BX35</f>
        <v>#VALUE!</v>
      </c>
    </row>
    <row r="36" customFormat="false" ht="12.75" hidden="false" customHeight="false" outlineLevel="0" collapsed="false">
      <c r="A36" s="48" t="n">
        <f aca="false">DATE(YEAR(A35),MONTH(A35)+1,1)</f>
        <v>37438</v>
      </c>
      <c r="B36" s="40" t="n">
        <f aca="false">VLOOKUP(A36,STRADDLE,5,FALSE())</f>
        <v>2.52</v>
      </c>
      <c r="C36" s="4" t="e">
        <f aca="false">VLOOKUP(A36,STRADDLE,6,FALSE())</f>
        <v>#VALUE!</v>
      </c>
      <c r="D36" s="40" t="n">
        <f aca="false">IF(D$28="nymex",0,VLOOKUP($A36,curvesettle,HLOOKUP(D$28,curvesettle,2,FALSE())))</f>
        <v>0</v>
      </c>
      <c r="E36" s="219" t="n">
        <f aca="false">IF(D$28="NYMEX",$AD36,$AC36)</f>
        <v>-8494</v>
      </c>
      <c r="F36" s="4" t="e">
        <f aca="false">($C36+G36)+B$15</f>
        <v>#NAME?</v>
      </c>
      <c r="G36" s="4" t="e">
        <f aca="false">IF(B$16=1,xCalcSkew(A36,H36-AL36,b)/100,0)</f>
        <v>#NAME?</v>
      </c>
      <c r="H36" s="41" t="n">
        <f aca="false">IF($B$19=4,$AL36,$B$18)</f>
        <v>2.44</v>
      </c>
      <c r="J36" s="40" t="n">
        <f aca="false">IF(J$28="nymex",0,VLOOKUP($A36,curvesettle,HLOOKUP(J$28,curvesettle,2,FALSE())))</f>
        <v>0</v>
      </c>
      <c r="K36" s="219" t="n">
        <f aca="false">IF(J$28="NYMEX",$AD36,$AC36)</f>
        <v>-8494</v>
      </c>
      <c r="L36" s="220" t="e">
        <f aca="false">($C36+M36)+D$15</f>
        <v>#NAME?</v>
      </c>
      <c r="M36" s="4" t="e">
        <f aca="false">IF(D$16=1,xCalcSkew($A36,N36-AW36,b)/100,0)</f>
        <v>#NAME?</v>
      </c>
      <c r="N36" s="41" t="n">
        <f aca="false">IF($D$19=4,$AW36,$D$18)</f>
        <v>2.44</v>
      </c>
      <c r="P36" s="40" t="n">
        <f aca="false">IF(P$28="nymex",0,VLOOKUP($A36,curvesettle,HLOOKUP(P$28,curvesettle,2,FALSE())))</f>
        <v>0</v>
      </c>
      <c r="Q36" s="219" t="n">
        <f aca="false">IF(P$28="NYMEX",$AD36,$AC36)</f>
        <v>-8494</v>
      </c>
      <c r="R36" s="220" t="e">
        <f aca="false">($C36+S36)+F$15</f>
        <v>#NAME?</v>
      </c>
      <c r="S36" s="4" t="e">
        <f aca="false">IF(F$16=1,xCalcSkew($A36,T36-BH36,b)/100,0)</f>
        <v>#NAME?</v>
      </c>
      <c r="T36" s="41" t="n">
        <f aca="false">IF($F$19=4,$BH36,$F$18)</f>
        <v>2.44</v>
      </c>
      <c r="V36" s="40" t="n">
        <f aca="false">IF(V$28="nymex",0,VLOOKUP($A36,curvesettle,HLOOKUP(V$28,curvesettle,2,FALSE())))</f>
        <v>0</v>
      </c>
      <c r="W36" s="219" t="n">
        <f aca="false">IF(V$28="NYMEX",$AD36,$AC36)</f>
        <v>-8494</v>
      </c>
      <c r="X36" s="4" t="e">
        <f aca="false">($C36+Y36)+H$15</f>
        <v>#NAME?</v>
      </c>
      <c r="Y36" s="4" t="e">
        <f aca="false">IF(H$16=1,xCalcSkew($A36,Z36-BS36,b)/100,0)</f>
        <v>#NAME?</v>
      </c>
      <c r="Z36" s="41" t="n">
        <f aca="false">IF($H$19=4,$BS36,$H$18)</f>
        <v>2.44</v>
      </c>
      <c r="AC36" s="219" t="n">
        <f aca="false">VLOOKUP($A36,expiration,2,FALSE())-$B$2</f>
        <v>-8493</v>
      </c>
      <c r="AD36" s="219" t="n">
        <f aca="false">VLOOKUP($A36,expiration,3,FALSE())-$B$2</f>
        <v>-8494</v>
      </c>
      <c r="AE36" s="4" t="n">
        <f aca="false">VLOOKUP($A36,STRADDLE,15,FALSE())</f>
        <v>0.0202831183250214</v>
      </c>
      <c r="AF36" s="43" t="n">
        <f aca="false">A37-A36</f>
        <v>31</v>
      </c>
      <c r="AG36" s="44"/>
      <c r="AH36" s="44"/>
      <c r="AI36" s="44"/>
      <c r="AJ36" s="44"/>
      <c r="AK36" s="9" t="n">
        <f aca="false">IF($A36&gt;=AL$25,IF($A36&lt;=AL$26,$AF36,0),0)</f>
        <v>31</v>
      </c>
      <c r="AL36" s="221" t="n">
        <f aca="false">AN36/AK36</f>
        <v>2.52</v>
      </c>
      <c r="AM36" s="1" t="n">
        <f aca="false">AK36*($B36+B$13)</f>
        <v>78.12</v>
      </c>
      <c r="AN36" s="33" t="n">
        <f aca="false">IF(ISNUMBER(((AM36/AK36)+B$14+$D36)*AK36),((AM36/AK36)+B$14+$D36)*AK36,0)</f>
        <v>78.12</v>
      </c>
      <c r="AO36" s="44" t="e">
        <f aca="false">IF(AK36=0,0,bsd(1,AP$27,AL36,$H36,$E36,$F36,$AE36,0.1))</f>
        <v>#VALUE!</v>
      </c>
      <c r="AP36" s="44" t="e">
        <f aca="false">IF(AK36=0,0,bsd(2,AP$27,AL36,$H36,$E36,$F36,$AE36,0.1))</f>
        <v>#VALUE!</v>
      </c>
      <c r="AQ36" s="44" t="e">
        <f aca="false">IF(AK36=0,0,bsd(AP$28,AP$27,AL36,$H36,$E36,$F36,$AE36,0.1))</f>
        <v>#VALUE!</v>
      </c>
      <c r="AR36" s="45" t="e">
        <f aca="false">AK36*AO36</f>
        <v>#VALUE!</v>
      </c>
      <c r="AS36" s="45" t="e">
        <f aca="false">AK36*AP36</f>
        <v>#VALUE!</v>
      </c>
      <c r="AT36" s="45" t="e">
        <f aca="false">AK36*AQ36</f>
        <v>#VALUE!</v>
      </c>
      <c r="AV36" s="9" t="n">
        <f aca="false">IF($A36&gt;=AW$25,IF($A36&lt;=AW$26,$AF36,0),0)</f>
        <v>31</v>
      </c>
      <c r="AW36" s="221" t="n">
        <f aca="false">AY36/AV36</f>
        <v>2.52</v>
      </c>
      <c r="AX36" s="1" t="n">
        <f aca="false">AV36*($B36+D$13)</f>
        <v>78.12</v>
      </c>
      <c r="AY36" s="33" t="n">
        <f aca="false">IF(ISNUMBER(((AX36/AV36)+D$14+$J36)*AV36),((AX36/AV36)+D$14+$J36)*AV36,0)</f>
        <v>78.12</v>
      </c>
      <c r="AZ36" s="44" t="e">
        <f aca="false">IF(AV36=0,0,bsd(1,BA$27,AW36,$N36,$K36,$L36,$AE36,0.1))</f>
        <v>#VALUE!</v>
      </c>
      <c r="BA36" s="44" t="e">
        <f aca="false">IF(AV36=0,0,bsd(2,BA$27,AW36,$N36,$K36,$L36,$AE36,0.1))</f>
        <v>#VALUE!</v>
      </c>
      <c r="BB36" s="44" t="e">
        <f aca="false">IF(AV36=0,0,bsd(BA$28,BA$27,AW36,$N36,$K36,$L36,$AE36,0.1))</f>
        <v>#VALUE!</v>
      </c>
      <c r="BC36" s="45" t="e">
        <f aca="false">AV36*AZ36</f>
        <v>#VALUE!</v>
      </c>
      <c r="BD36" s="45" t="e">
        <f aca="false">AV36*BA36</f>
        <v>#VALUE!</v>
      </c>
      <c r="BE36" s="45" t="e">
        <f aca="false">AV36*BB36</f>
        <v>#VALUE!</v>
      </c>
      <c r="BG36" s="9" t="n">
        <f aca="false">IF($A36&gt;=BH$25,IF($A36&lt;=BH$26,$AF36,0),0)</f>
        <v>31</v>
      </c>
      <c r="BH36" s="221" t="n">
        <f aca="false">BJ36/BG36</f>
        <v>2.52</v>
      </c>
      <c r="BI36" s="1" t="n">
        <f aca="false">BG36*($B36+F$13)</f>
        <v>78.12</v>
      </c>
      <c r="BJ36" s="33" t="n">
        <f aca="false">IF(ISNUMBER(((BI36/BG36)+F$14+$P36)*BG36),((BI36/BG36)+F$14+$P36)*BG36,0)</f>
        <v>78.12</v>
      </c>
      <c r="BK36" s="44" t="e">
        <f aca="false">IF(BG36=0,0,bsd(1,BL$27,BH36,$T36,$Q36,$R36,$AE36,0.1))</f>
        <v>#VALUE!</v>
      </c>
      <c r="BL36" s="44" t="e">
        <f aca="false">IF(BG36=0,0,bsd(2,BL$27,BH36,$T36,$Q36,$R36,$AE36,0.1))</f>
        <v>#VALUE!</v>
      </c>
      <c r="BM36" s="44" t="e">
        <f aca="false">IF(BG36=0,0,bsd(BL$28,BL$27,BH36,$T36,$Q36,$R36,$AE36,0.1))</f>
        <v>#VALUE!</v>
      </c>
      <c r="BN36" s="45" t="e">
        <f aca="false">BG36*BK36</f>
        <v>#VALUE!</v>
      </c>
      <c r="BO36" s="45" t="e">
        <f aca="false">BG36*BL36</f>
        <v>#VALUE!</v>
      </c>
      <c r="BP36" s="45" t="e">
        <f aca="false">BG36*BM36</f>
        <v>#VALUE!</v>
      </c>
      <c r="BR36" s="9" t="n">
        <f aca="false">IF($A36&gt;=BS$25,IF($A36&lt;=BS$26,$AF36,0),0)</f>
        <v>31</v>
      </c>
      <c r="BS36" s="221" t="n">
        <f aca="false">BU36/BR36</f>
        <v>2.52</v>
      </c>
      <c r="BT36" s="1" t="n">
        <f aca="false">BR36*($B36+H$13)</f>
        <v>78.12</v>
      </c>
      <c r="BU36" s="33" t="n">
        <f aca="false">IF(ISNUMBER(((BT36/BR36)+H$14+$V36)*BR36),((BT36/BR36)+H$14+$V36)*BR36,0)</f>
        <v>78.12</v>
      </c>
      <c r="BV36" s="44" t="e">
        <f aca="false">IF(BR36=0,0,bsd(1,BW$27,BS36,$Z36,$W36,$X36,$AE36,0.1))</f>
        <v>#VALUE!</v>
      </c>
      <c r="BW36" s="44" t="e">
        <f aca="false">IF(BR36=0,0,bsd(2,BW$27,BS36,$Z36,$W36,$X36,$AE36,0.1))</f>
        <v>#VALUE!</v>
      </c>
      <c r="BX36" s="44" t="e">
        <f aca="false">IF(BR36=0,0,bsd(BW$28,BW$27,BS36,$Z36,$W36,$X36,$AE36,0.1))</f>
        <v>#VALUE!</v>
      </c>
      <c r="BY36" s="45" t="e">
        <f aca="false">BR36*BV36</f>
        <v>#VALUE!</v>
      </c>
      <c r="BZ36" s="45" t="e">
        <f aca="false">BR36*BW36</f>
        <v>#VALUE!</v>
      </c>
      <c r="CA36" s="45" t="e">
        <f aca="false">BR36*BX36</f>
        <v>#VALUE!</v>
      </c>
    </row>
    <row r="37" customFormat="false" ht="12.75" hidden="false" customHeight="false" outlineLevel="0" collapsed="false">
      <c r="A37" s="48" t="n">
        <f aca="false">DATE(YEAR(A36),MONTH(A36)+1,1)</f>
        <v>37469</v>
      </c>
      <c r="B37" s="40" t="n">
        <f aca="false">VLOOKUP(A37,STRADDLE,5,FALSE())</f>
        <v>2.55</v>
      </c>
      <c r="C37" s="4" t="e">
        <f aca="false">VLOOKUP(A37,STRADDLE,6,FALSE())</f>
        <v>#VALUE!</v>
      </c>
      <c r="D37" s="40" t="n">
        <f aca="false">IF(D$28="nymex",0,VLOOKUP($A37,curvesettle,HLOOKUP(D$28,curvesettle,2,FALSE())))</f>
        <v>0</v>
      </c>
      <c r="E37" s="219" t="n">
        <f aca="false">IF(D$28="NYMEX",$AD37,$AC37)</f>
        <v>-8463</v>
      </c>
      <c r="F37" s="4" t="e">
        <f aca="false">($C37+G37)+B$15</f>
        <v>#NAME?</v>
      </c>
      <c r="G37" s="4" t="e">
        <f aca="false">IF(B$16=1,xCalcSkew(A37,H37-AL37,b)/100,0)</f>
        <v>#NAME?</v>
      </c>
      <c r="H37" s="41" t="n">
        <f aca="false">IF($B$19=4,$AL37,$B$18)</f>
        <v>2.44</v>
      </c>
      <c r="J37" s="40" t="n">
        <f aca="false">IF(J$28="nymex",0,VLOOKUP($A37,curvesettle,HLOOKUP(J$28,curvesettle,2,FALSE())))</f>
        <v>0</v>
      </c>
      <c r="K37" s="219" t="n">
        <f aca="false">IF(J$28="NYMEX",$AD37,$AC37)</f>
        <v>-8463</v>
      </c>
      <c r="L37" s="220" t="e">
        <f aca="false">($C37+M37)+D$15</f>
        <v>#NAME?</v>
      </c>
      <c r="M37" s="4" t="e">
        <f aca="false">IF(D$16=1,xCalcSkew($A37,N37-AW37,b)/100,0)</f>
        <v>#NAME?</v>
      </c>
      <c r="N37" s="41" t="n">
        <f aca="false">IF($D$19=4,$AW37,$D$18)</f>
        <v>2.44</v>
      </c>
      <c r="P37" s="40" t="n">
        <f aca="false">IF(P$28="nymex",0,VLOOKUP($A37,curvesettle,HLOOKUP(P$28,curvesettle,2,FALSE())))</f>
        <v>0</v>
      </c>
      <c r="Q37" s="219" t="n">
        <f aca="false">IF(P$28="NYMEX",$AD37,$AC37)</f>
        <v>-8463</v>
      </c>
      <c r="R37" s="220" t="e">
        <f aca="false">($C37+S37)+F$15</f>
        <v>#NAME?</v>
      </c>
      <c r="S37" s="4" t="e">
        <f aca="false">IF(F$16=1,xCalcSkew($A37,T37-BH37,b)/100,0)</f>
        <v>#NAME?</v>
      </c>
      <c r="T37" s="41" t="n">
        <f aca="false">IF($F$19=4,$BH37,$F$18)</f>
        <v>2.44</v>
      </c>
      <c r="V37" s="40" t="n">
        <f aca="false">IF(V$28="nymex",0,VLOOKUP($A37,curvesettle,HLOOKUP(V$28,curvesettle,2,FALSE())))</f>
        <v>0</v>
      </c>
      <c r="W37" s="219" t="n">
        <f aca="false">IF(V$28="NYMEX",$AD37,$AC37)</f>
        <v>-8463</v>
      </c>
      <c r="X37" s="4" t="e">
        <f aca="false">($C37+Y37)+H$15</f>
        <v>#NAME?</v>
      </c>
      <c r="Y37" s="4" t="e">
        <f aca="false">IF(H$16=1,xCalcSkew($A37,Z37-BS37,b)/100,0)</f>
        <v>#NAME?</v>
      </c>
      <c r="Z37" s="41" t="n">
        <f aca="false">IF($H$19=4,$BS37,$H$18)</f>
        <v>2.44</v>
      </c>
      <c r="AC37" s="219" t="n">
        <f aca="false">VLOOKUP($A37,expiration,2,FALSE())-$B$2</f>
        <v>-8460</v>
      </c>
      <c r="AD37" s="219" t="n">
        <f aca="false">VLOOKUP($A37,expiration,3,FALSE())-$B$2</f>
        <v>-8463</v>
      </c>
      <c r="AE37" s="4" t="n">
        <f aca="false">VLOOKUP($A37,STRADDLE,15,FALSE())</f>
        <v>0.020560063885966</v>
      </c>
      <c r="AF37" s="43" t="n">
        <f aca="false">A38-A37</f>
        <v>31</v>
      </c>
      <c r="AG37" s="44"/>
      <c r="AH37" s="44"/>
      <c r="AI37" s="44"/>
      <c r="AJ37" s="44"/>
      <c r="AK37" s="9" t="n">
        <f aca="false">IF($A37&gt;=AL$25,IF($A37&lt;=AL$26,$AF37,0),0)</f>
        <v>31</v>
      </c>
      <c r="AL37" s="221" t="n">
        <f aca="false">AN37/AK37</f>
        <v>2.55</v>
      </c>
      <c r="AM37" s="1" t="n">
        <f aca="false">AK37*($B37+B$13)</f>
        <v>79.05</v>
      </c>
      <c r="AN37" s="33" t="n">
        <f aca="false">IF(ISNUMBER(((AM37/AK37)+B$14+$D37)*AK37),((AM37/AK37)+B$14+$D37)*AK37,0)</f>
        <v>79.05</v>
      </c>
      <c r="AO37" s="44" t="e">
        <f aca="false">IF(AK37=0,0,bsd(1,AP$27,AL37,$H37,$E37,$F37,$AE37,0.1))</f>
        <v>#VALUE!</v>
      </c>
      <c r="AP37" s="44" t="e">
        <f aca="false">IF(AK37=0,0,bsd(2,AP$27,AL37,$H37,$E37,$F37,$AE37,0.1))</f>
        <v>#VALUE!</v>
      </c>
      <c r="AQ37" s="44" t="e">
        <f aca="false">IF(AK37=0,0,bsd(AP$28,AP$27,AL37,$H37,$E37,$F37,$AE37,0.1))</f>
        <v>#VALUE!</v>
      </c>
      <c r="AR37" s="45" t="e">
        <f aca="false">AK37*AO37</f>
        <v>#VALUE!</v>
      </c>
      <c r="AS37" s="45" t="e">
        <f aca="false">AK37*AP37</f>
        <v>#VALUE!</v>
      </c>
      <c r="AT37" s="45" t="e">
        <f aca="false">AK37*AQ37</f>
        <v>#VALUE!</v>
      </c>
      <c r="AV37" s="9" t="n">
        <f aca="false">IF($A37&gt;=AW$25,IF($A37&lt;=AW$26,$AF37,0),0)</f>
        <v>31</v>
      </c>
      <c r="AW37" s="221" t="n">
        <f aca="false">AY37/AV37</f>
        <v>2.55</v>
      </c>
      <c r="AX37" s="1" t="n">
        <f aca="false">AV37*($B37+D$13)</f>
        <v>79.05</v>
      </c>
      <c r="AY37" s="33" t="n">
        <f aca="false">IF(ISNUMBER(((AX37/AV37)+D$14+$J37)*AV37),((AX37/AV37)+D$14+$J37)*AV37,0)</f>
        <v>79.05</v>
      </c>
      <c r="AZ37" s="44" t="e">
        <f aca="false">IF(AV37=0,0,bsd(1,BA$27,AW37,$N37,$K37,$L37,$AE37,0.1))</f>
        <v>#VALUE!</v>
      </c>
      <c r="BA37" s="44" t="e">
        <f aca="false">IF(AV37=0,0,bsd(2,BA$27,AW37,$N37,$K37,$L37,$AE37,0.1))</f>
        <v>#VALUE!</v>
      </c>
      <c r="BB37" s="44" t="e">
        <f aca="false">IF(AV37=0,0,bsd(BA$28,BA$27,AW37,$N37,$K37,$L37,$AE37,0.1))</f>
        <v>#VALUE!</v>
      </c>
      <c r="BC37" s="45" t="e">
        <f aca="false">AV37*AZ37</f>
        <v>#VALUE!</v>
      </c>
      <c r="BD37" s="45" t="e">
        <f aca="false">AV37*BA37</f>
        <v>#VALUE!</v>
      </c>
      <c r="BE37" s="45" t="e">
        <f aca="false">AV37*BB37</f>
        <v>#VALUE!</v>
      </c>
      <c r="BG37" s="9" t="n">
        <f aca="false">IF($A37&gt;=BH$25,IF($A37&lt;=BH$26,$AF37,0),0)</f>
        <v>31</v>
      </c>
      <c r="BH37" s="221" t="n">
        <f aca="false">BJ37/BG37</f>
        <v>2.55</v>
      </c>
      <c r="BI37" s="1" t="n">
        <f aca="false">BG37*($B37+F$13)</f>
        <v>79.05</v>
      </c>
      <c r="BJ37" s="33" t="n">
        <f aca="false">IF(ISNUMBER(((BI37/BG37)+F$14+$P37)*BG37),((BI37/BG37)+F$14+$P37)*BG37,0)</f>
        <v>79.05</v>
      </c>
      <c r="BK37" s="44" t="e">
        <f aca="false">IF(BG37=0,0,bsd(1,BL$27,BH37,$T37,$Q37,$R37,$AE37,0.1))</f>
        <v>#VALUE!</v>
      </c>
      <c r="BL37" s="44" t="e">
        <f aca="false">IF(BG37=0,0,bsd(2,BL$27,BH37,$T37,$Q37,$R37,$AE37,0.1))</f>
        <v>#VALUE!</v>
      </c>
      <c r="BM37" s="44" t="e">
        <f aca="false">IF(BG37=0,0,bsd(BL$28,BL$27,BH37,$T37,$Q37,$R37,$AE37,0.1))</f>
        <v>#VALUE!</v>
      </c>
      <c r="BN37" s="45" t="e">
        <f aca="false">BG37*BK37</f>
        <v>#VALUE!</v>
      </c>
      <c r="BO37" s="45" t="e">
        <f aca="false">BG37*BL37</f>
        <v>#VALUE!</v>
      </c>
      <c r="BP37" s="45" t="e">
        <f aca="false">BG37*BM37</f>
        <v>#VALUE!</v>
      </c>
      <c r="BR37" s="9" t="n">
        <f aca="false">IF($A37&gt;=BS$25,IF($A37&lt;=BS$26,$AF37,0),0)</f>
        <v>31</v>
      </c>
      <c r="BS37" s="221" t="n">
        <f aca="false">BU37/BR37</f>
        <v>2.55</v>
      </c>
      <c r="BT37" s="1" t="n">
        <f aca="false">BR37*($B37+H$13)</f>
        <v>79.05</v>
      </c>
      <c r="BU37" s="33" t="n">
        <f aca="false">IF(ISNUMBER(((BT37/BR37)+H$14+$V37)*BR37),((BT37/BR37)+H$14+$V37)*BR37,0)</f>
        <v>79.05</v>
      </c>
      <c r="BV37" s="44" t="e">
        <f aca="false">IF(BR37=0,0,bsd(1,BW$27,BS37,$Z37,$W37,$X37,$AE37,0.1))</f>
        <v>#VALUE!</v>
      </c>
      <c r="BW37" s="44" t="e">
        <f aca="false">IF(BR37=0,0,bsd(2,BW$27,BS37,$Z37,$W37,$X37,$AE37,0.1))</f>
        <v>#VALUE!</v>
      </c>
      <c r="BX37" s="44" t="e">
        <f aca="false">IF(BR37=0,0,bsd(BW$28,BW$27,BS37,$Z37,$W37,$X37,$AE37,0.1))</f>
        <v>#VALUE!</v>
      </c>
      <c r="BY37" s="45" t="e">
        <f aca="false">BR37*BV37</f>
        <v>#VALUE!</v>
      </c>
      <c r="BZ37" s="45" t="e">
        <f aca="false">BR37*BW37</f>
        <v>#VALUE!</v>
      </c>
      <c r="CA37" s="45" t="e">
        <f aca="false">BR37*BX37</f>
        <v>#VALUE!</v>
      </c>
    </row>
    <row r="38" customFormat="false" ht="12.75" hidden="false" customHeight="false" outlineLevel="0" collapsed="false">
      <c r="A38" s="48" t="n">
        <f aca="false">DATE(YEAR(A37),MONTH(A37)+1,1)</f>
        <v>37500</v>
      </c>
      <c r="B38" s="40" t="n">
        <f aca="false">VLOOKUP(A38,STRADDLE,5,FALSE())</f>
        <v>2.58</v>
      </c>
      <c r="C38" s="4" t="e">
        <f aca="false">VLOOKUP(A38,STRADDLE,6,FALSE())</f>
        <v>#VALUE!</v>
      </c>
      <c r="D38" s="40" t="n">
        <f aca="false">IF(D$28="nymex",0,VLOOKUP($A38,curvesettle,HLOOKUP(D$28,curvesettle,2,FALSE())))</f>
        <v>0</v>
      </c>
      <c r="E38" s="219" t="n">
        <f aca="false">IF(D$28="NYMEX",$AD38,$AC38)</f>
        <v>-8431</v>
      </c>
      <c r="F38" s="4" t="e">
        <f aca="false">($C38+G38)+B$15</f>
        <v>#NAME?</v>
      </c>
      <c r="G38" s="4" t="e">
        <f aca="false">IF(B$16=1,xCalcSkew(A38,H38-AL38,b)/100,0)</f>
        <v>#NAME?</v>
      </c>
      <c r="H38" s="41" t="n">
        <f aca="false">IF($B$19=4,$AL38,$B$18)</f>
        <v>2.44</v>
      </c>
      <c r="J38" s="40" t="n">
        <f aca="false">IF(J$28="nymex",0,VLOOKUP($A38,curvesettle,HLOOKUP(J$28,curvesettle,2,FALSE())))</f>
        <v>0</v>
      </c>
      <c r="K38" s="219" t="n">
        <f aca="false">IF(J$28="NYMEX",$AD38,$AC38)</f>
        <v>-8431</v>
      </c>
      <c r="L38" s="220" t="e">
        <f aca="false">($C38+M38)+D$15</f>
        <v>#NAME?</v>
      </c>
      <c r="M38" s="4" t="e">
        <f aca="false">IF(D$16=1,xCalcSkew($A38,N38-AW38,b)/100,0)</f>
        <v>#NAME?</v>
      </c>
      <c r="N38" s="41" t="n">
        <f aca="false">IF($D$19=4,$AW38,$D$18)</f>
        <v>2.44</v>
      </c>
      <c r="P38" s="40" t="n">
        <f aca="false">IF(P$28="nymex",0,VLOOKUP($A38,curvesettle,HLOOKUP(P$28,curvesettle,2,FALSE())))</f>
        <v>0</v>
      </c>
      <c r="Q38" s="219" t="n">
        <f aca="false">IF(P$28="NYMEX",$AD38,$AC38)</f>
        <v>-8431</v>
      </c>
      <c r="R38" s="220" t="e">
        <f aca="false">($C38+S38)+F$15</f>
        <v>#NAME?</v>
      </c>
      <c r="S38" s="4" t="e">
        <f aca="false">IF(F$16=1,xCalcSkew($A38,T38-BH38,b)/100,0)</f>
        <v>#NAME?</v>
      </c>
      <c r="T38" s="41" t="n">
        <f aca="false">IF($F$19=4,$BH38,$F$18)</f>
        <v>2.44</v>
      </c>
      <c r="V38" s="40" t="n">
        <f aca="false">IF(V$28="nymex",0,VLOOKUP($A38,curvesettle,HLOOKUP(V$28,curvesettle,2,FALSE())))</f>
        <v>0</v>
      </c>
      <c r="W38" s="219" t="n">
        <f aca="false">IF(V$28="NYMEX",$AD38,$AC38)</f>
        <v>-8431</v>
      </c>
      <c r="X38" s="4" t="e">
        <f aca="false">($C38+Y38)+H$15</f>
        <v>#NAME?</v>
      </c>
      <c r="Y38" s="4" t="e">
        <f aca="false">IF(H$16=1,xCalcSkew($A38,Z38-BS38,b)/100,0)</f>
        <v>#NAME?</v>
      </c>
      <c r="Z38" s="41" t="n">
        <f aca="false">IF($H$19=4,$BS38,$H$18)</f>
        <v>2.44</v>
      </c>
      <c r="AC38" s="219" t="n">
        <f aca="false">VLOOKUP($A38,expiration,2,FALSE())-$B$2</f>
        <v>-8430</v>
      </c>
      <c r="AD38" s="219" t="n">
        <f aca="false">VLOOKUP($A38,expiration,3,FALSE())-$B$2</f>
        <v>-8431</v>
      </c>
      <c r="AE38" s="4" t="n">
        <f aca="false">VLOOKUP($A38,STRADDLE,15,FALSE())</f>
        <v>0.0210943841345661</v>
      </c>
      <c r="AF38" s="43" t="n">
        <f aca="false">A39-A38</f>
        <v>30</v>
      </c>
      <c r="AG38" s="44"/>
      <c r="AH38" s="44"/>
      <c r="AI38" s="44"/>
      <c r="AJ38" s="44"/>
      <c r="AK38" s="9" t="n">
        <f aca="false">IF($A38&gt;=AL$25,IF($A38&lt;=AL$26,$AF38,0),0)</f>
        <v>30</v>
      </c>
      <c r="AL38" s="221" t="n">
        <f aca="false">AN38/AK38</f>
        <v>2.58</v>
      </c>
      <c r="AM38" s="1" t="n">
        <f aca="false">AK38*($B38+B$13)</f>
        <v>77.4</v>
      </c>
      <c r="AN38" s="33" t="n">
        <f aca="false">IF(ISNUMBER(((AM38/AK38)+B$14+$D38)*AK38),((AM38/AK38)+B$14+$D38)*AK38,0)</f>
        <v>77.4</v>
      </c>
      <c r="AO38" s="44" t="e">
        <f aca="false">IF(AK38=0,0,bsd(1,AP$27,AL38,$H38,$E38,$F38,$AE38,0.1))</f>
        <v>#VALUE!</v>
      </c>
      <c r="AP38" s="44" t="e">
        <f aca="false">IF(AK38=0,0,bsd(2,AP$27,AL38,$H38,$E38,$F38,$AE38,0.1))</f>
        <v>#VALUE!</v>
      </c>
      <c r="AQ38" s="44" t="e">
        <f aca="false">IF(AK38=0,0,bsd(AP$28,AP$27,AL38,$H38,$E38,$F38,$AE38,0.1))</f>
        <v>#VALUE!</v>
      </c>
      <c r="AR38" s="45" t="e">
        <f aca="false">AK38*AO38</f>
        <v>#VALUE!</v>
      </c>
      <c r="AS38" s="45" t="e">
        <f aca="false">AK38*AP38</f>
        <v>#VALUE!</v>
      </c>
      <c r="AT38" s="45" t="e">
        <f aca="false">AK38*AQ38</f>
        <v>#VALUE!</v>
      </c>
      <c r="AV38" s="9" t="n">
        <f aca="false">IF($A38&gt;=AW$25,IF($A38&lt;=AW$26,$AF38,0),0)</f>
        <v>30</v>
      </c>
      <c r="AW38" s="221" t="n">
        <f aca="false">AY38/AV38</f>
        <v>2.58</v>
      </c>
      <c r="AX38" s="1" t="n">
        <f aca="false">AV38*($B38+D$13)</f>
        <v>77.4</v>
      </c>
      <c r="AY38" s="33" t="n">
        <f aca="false">IF(ISNUMBER(((AX38/AV38)+D$14+$J38)*AV38),((AX38/AV38)+D$14+$J38)*AV38,0)</f>
        <v>77.4</v>
      </c>
      <c r="AZ38" s="44" t="e">
        <f aca="false">IF(AV38=0,0,bsd(1,BA$27,AW38,$N38,$K38,$L38,$AE38,0.1))</f>
        <v>#VALUE!</v>
      </c>
      <c r="BA38" s="44" t="e">
        <f aca="false">IF(AV38=0,0,bsd(2,BA$27,AW38,$N38,$K38,$L38,$AE38,0.1))</f>
        <v>#VALUE!</v>
      </c>
      <c r="BB38" s="44" t="e">
        <f aca="false">IF(AV38=0,0,bsd(BA$28,BA$27,AW38,$N38,$K38,$L38,$AE38,0.1))</f>
        <v>#VALUE!</v>
      </c>
      <c r="BC38" s="45" t="e">
        <f aca="false">AV38*AZ38</f>
        <v>#VALUE!</v>
      </c>
      <c r="BD38" s="45" t="e">
        <f aca="false">AV38*BA38</f>
        <v>#VALUE!</v>
      </c>
      <c r="BE38" s="45" t="e">
        <f aca="false">AV38*BB38</f>
        <v>#VALUE!</v>
      </c>
      <c r="BG38" s="9" t="n">
        <f aca="false">IF($A38&gt;=BH$25,IF($A38&lt;=BH$26,$AF38,0),0)</f>
        <v>30</v>
      </c>
      <c r="BH38" s="221" t="n">
        <f aca="false">BJ38/BG38</f>
        <v>2.58</v>
      </c>
      <c r="BI38" s="1" t="n">
        <f aca="false">BG38*($B38+F$13)</f>
        <v>77.4</v>
      </c>
      <c r="BJ38" s="33" t="n">
        <f aca="false">IF(ISNUMBER(((BI38/BG38)+F$14+$P38)*BG38),((BI38/BG38)+F$14+$P38)*BG38,0)</f>
        <v>77.4</v>
      </c>
      <c r="BK38" s="44" t="e">
        <f aca="false">IF(BG38=0,0,bsd(1,BL$27,BH38,$T38,$Q38,$R38,$AE38,0.1))</f>
        <v>#VALUE!</v>
      </c>
      <c r="BL38" s="44" t="e">
        <f aca="false">IF(BG38=0,0,bsd(2,BL$27,BH38,$T38,$Q38,$R38,$AE38,0.1))</f>
        <v>#VALUE!</v>
      </c>
      <c r="BM38" s="44" t="e">
        <f aca="false">IF(BG38=0,0,bsd(BL$28,BL$27,BH38,$T38,$Q38,$R38,$AE38,0.1))</f>
        <v>#VALUE!</v>
      </c>
      <c r="BN38" s="45" t="e">
        <f aca="false">BG38*BK38</f>
        <v>#VALUE!</v>
      </c>
      <c r="BO38" s="45" t="e">
        <f aca="false">BG38*BL38</f>
        <v>#VALUE!</v>
      </c>
      <c r="BP38" s="45" t="e">
        <f aca="false">BG38*BM38</f>
        <v>#VALUE!</v>
      </c>
      <c r="BR38" s="9" t="n">
        <f aca="false">IF($A38&gt;=BS$25,IF($A38&lt;=BS$26,$AF38,0),0)</f>
        <v>30</v>
      </c>
      <c r="BS38" s="221" t="n">
        <f aca="false">BU38/BR38</f>
        <v>2.58</v>
      </c>
      <c r="BT38" s="1" t="n">
        <f aca="false">BR38*($B38+H$13)</f>
        <v>77.4</v>
      </c>
      <c r="BU38" s="33" t="n">
        <f aca="false">IF(ISNUMBER(((BT38/BR38)+H$14+$V38)*BR38),((BT38/BR38)+H$14+$V38)*BR38,0)</f>
        <v>77.4</v>
      </c>
      <c r="BV38" s="44" t="e">
        <f aca="false">IF(BR38=0,0,bsd(1,BW$27,BS38,$Z38,$W38,$X38,$AE38,0.1))</f>
        <v>#VALUE!</v>
      </c>
      <c r="BW38" s="44" t="e">
        <f aca="false">IF(BR38=0,0,bsd(2,BW$27,BS38,$Z38,$W38,$X38,$AE38,0.1))</f>
        <v>#VALUE!</v>
      </c>
      <c r="BX38" s="44" t="e">
        <f aca="false">IF(BR38=0,0,bsd(BW$28,BW$27,BS38,$Z38,$W38,$X38,$AE38,0.1))</f>
        <v>#VALUE!</v>
      </c>
      <c r="BY38" s="45" t="e">
        <f aca="false">BR38*BV38</f>
        <v>#VALUE!</v>
      </c>
      <c r="BZ38" s="45" t="e">
        <f aca="false">BR38*BW38</f>
        <v>#VALUE!</v>
      </c>
      <c r="CA38" s="45" t="e">
        <f aca="false">BR38*BX38</f>
        <v>#VALUE!</v>
      </c>
    </row>
    <row r="39" customFormat="false" ht="12.75" hidden="false" customHeight="false" outlineLevel="0" collapsed="false">
      <c r="A39" s="48" t="n">
        <f aca="false">DATE(YEAR(A38),MONTH(A38)+1,1)</f>
        <v>37530</v>
      </c>
      <c r="B39" s="40" t="n">
        <f aca="false">VLOOKUP(A39,STRADDLE,5,FALSE())</f>
        <v>2.61</v>
      </c>
      <c r="C39" s="4" t="e">
        <f aca="false">VLOOKUP(A39,STRADDLE,6,FALSE())</f>
        <v>#VALUE!</v>
      </c>
      <c r="D39" s="40" t="n">
        <f aca="false">IF(D$28="nymex",0,VLOOKUP($A39,curvesettle,HLOOKUP(D$28,curvesettle,2,FALSE())))</f>
        <v>0</v>
      </c>
      <c r="E39" s="219" t="n">
        <f aca="false">IF(D$28="NYMEX",$AD39,$AC39)</f>
        <v>-8402</v>
      </c>
      <c r="F39" s="4" t="e">
        <f aca="false">($C39+G39)+B$15</f>
        <v>#NAME?</v>
      </c>
      <c r="G39" s="4" t="e">
        <f aca="false">IF(B$16=1,xCalcSkew(A39,H39-AL39,b)/100,0)</f>
        <v>#NAME?</v>
      </c>
      <c r="H39" s="41" t="n">
        <f aca="false">IF($B$19=4,$AL39,$B$18)</f>
        <v>2.44</v>
      </c>
      <c r="J39" s="40" t="n">
        <f aca="false">IF(J$28="nymex",0,VLOOKUP($A39,curvesettle,HLOOKUP(J$28,curvesettle,2,FALSE())))</f>
        <v>0</v>
      </c>
      <c r="K39" s="219" t="n">
        <f aca="false">IF(J$28="NYMEX",$AD39,$AC39)</f>
        <v>-8402</v>
      </c>
      <c r="L39" s="220" t="e">
        <f aca="false">($C39+M39)+D$15</f>
        <v>#NAME?</v>
      </c>
      <c r="M39" s="4" t="e">
        <f aca="false">IF(D$16=1,xCalcSkew($A39,N39-AW39,b)/100,0)</f>
        <v>#NAME?</v>
      </c>
      <c r="N39" s="41" t="n">
        <f aca="false">IF($D$19=4,$AW39,$D$18)</f>
        <v>2.44</v>
      </c>
      <c r="P39" s="40" t="n">
        <f aca="false">IF(P$28="nymex",0,VLOOKUP($A39,curvesettle,HLOOKUP(P$28,curvesettle,2,FALSE())))</f>
        <v>0</v>
      </c>
      <c r="Q39" s="219" t="n">
        <f aca="false">IF(P$28="NYMEX",$AD39,$AC39)</f>
        <v>-8402</v>
      </c>
      <c r="R39" s="220" t="e">
        <f aca="false">($C39+S39)+F$15</f>
        <v>#NAME?</v>
      </c>
      <c r="S39" s="4" t="e">
        <f aca="false">IF(F$16=1,xCalcSkew($A39,T39-BH39,b)/100,0)</f>
        <v>#NAME?</v>
      </c>
      <c r="T39" s="41" t="n">
        <f aca="false">IF($F$19=4,$BH39,$F$18)</f>
        <v>2.44</v>
      </c>
      <c r="V39" s="40" t="n">
        <f aca="false">IF(V$28="nymex",0,VLOOKUP($A39,curvesettle,HLOOKUP(V$28,curvesettle,2,FALSE())))</f>
        <v>0</v>
      </c>
      <c r="W39" s="219" t="n">
        <f aca="false">IF(V$28="NYMEX",$AD39,$AC39)</f>
        <v>-8402</v>
      </c>
      <c r="X39" s="4" t="e">
        <f aca="false">($C39+Y39)+H$15</f>
        <v>#NAME?</v>
      </c>
      <c r="Y39" s="4" t="e">
        <f aca="false">IF(H$16=1,xCalcSkew($A39,Z39-BS39,b)/100,0)</f>
        <v>#NAME?</v>
      </c>
      <c r="Z39" s="41" t="n">
        <f aca="false">IF($H$19=4,$BS39,$H$18)</f>
        <v>2.44</v>
      </c>
      <c r="AC39" s="219" t="n">
        <f aca="false">VLOOKUP($A39,expiration,2,FALSE())-$B$2</f>
        <v>-8401</v>
      </c>
      <c r="AD39" s="219" t="n">
        <f aca="false">VLOOKUP($A39,expiration,3,FALSE())-$B$2</f>
        <v>-8402</v>
      </c>
      <c r="AE39" s="4" t="n">
        <f aca="false">VLOOKUP($A39,STRADDLE,15,FALSE())</f>
        <v>0.0216287044798529</v>
      </c>
      <c r="AF39" s="43" t="n">
        <f aca="false">A40-A39</f>
        <v>31</v>
      </c>
      <c r="AG39" s="44"/>
      <c r="AH39" s="44"/>
      <c r="AI39" s="44"/>
      <c r="AJ39" s="44"/>
      <c r="AK39" s="9" t="n">
        <f aca="false">IF($A39&gt;=AL$25,IF($A39&lt;=AL$26,$AF39,0),0)</f>
        <v>31</v>
      </c>
      <c r="AL39" s="221" t="n">
        <f aca="false">AN39/AK39</f>
        <v>2.61</v>
      </c>
      <c r="AM39" s="1" t="n">
        <f aca="false">AK39*($B39+B$13)</f>
        <v>80.91</v>
      </c>
      <c r="AN39" s="33" t="n">
        <f aca="false">IF(ISNUMBER(((AM39/AK39)+B$14+$D39)*AK39),((AM39/AK39)+B$14+$D39)*AK39,0)</f>
        <v>80.91</v>
      </c>
      <c r="AO39" s="44" t="e">
        <f aca="false">IF(AK39=0,0,bsd(1,AP$27,AL39,$H39,$E39,$F39,$AE39,0.1))</f>
        <v>#VALUE!</v>
      </c>
      <c r="AP39" s="44" t="e">
        <f aca="false">IF(AK39=0,0,bsd(2,AP$27,AL39,$H39,$E39,$F39,$AE39,0.1))</f>
        <v>#VALUE!</v>
      </c>
      <c r="AQ39" s="44" t="e">
        <f aca="false">IF(AK39=0,0,bsd(AP$28,AP$27,AL39,$H39,$E39,$F39,$AE39,0.1))</f>
        <v>#VALUE!</v>
      </c>
      <c r="AR39" s="45" t="e">
        <f aca="false">AK39*AO39</f>
        <v>#VALUE!</v>
      </c>
      <c r="AS39" s="45" t="e">
        <f aca="false">AK39*AP39</f>
        <v>#VALUE!</v>
      </c>
      <c r="AT39" s="45" t="e">
        <f aca="false">AK39*AQ39</f>
        <v>#VALUE!</v>
      </c>
      <c r="AV39" s="9" t="n">
        <f aca="false">IF($A39&gt;=AW$25,IF($A39&lt;=AW$26,$AF39,0),0)</f>
        <v>31</v>
      </c>
      <c r="AW39" s="221" t="n">
        <f aca="false">AY39/AV39</f>
        <v>2.61</v>
      </c>
      <c r="AX39" s="1" t="n">
        <f aca="false">AV39*($B39+D$13)</f>
        <v>80.91</v>
      </c>
      <c r="AY39" s="33" t="n">
        <f aca="false">IF(ISNUMBER(((AX39/AV39)+D$14+$J39)*AV39),((AX39/AV39)+D$14+$J39)*AV39,0)</f>
        <v>80.91</v>
      </c>
      <c r="AZ39" s="44" t="e">
        <f aca="false">IF(AV39=0,0,bsd(1,BA$27,AW39,$N39,$K39,$L39,$AE39,0.1))</f>
        <v>#VALUE!</v>
      </c>
      <c r="BA39" s="44" t="e">
        <f aca="false">IF(AV39=0,0,bsd(2,BA$27,AW39,$N39,$K39,$L39,$AE39,0.1))</f>
        <v>#VALUE!</v>
      </c>
      <c r="BB39" s="44" t="e">
        <f aca="false">IF(AV39=0,0,bsd(BA$28,BA$27,AW39,$N39,$K39,$L39,$AE39,0.1))</f>
        <v>#VALUE!</v>
      </c>
      <c r="BC39" s="45" t="e">
        <f aca="false">AV39*AZ39</f>
        <v>#VALUE!</v>
      </c>
      <c r="BD39" s="45" t="e">
        <f aca="false">AV39*BA39</f>
        <v>#VALUE!</v>
      </c>
      <c r="BE39" s="45" t="e">
        <f aca="false">AV39*BB39</f>
        <v>#VALUE!</v>
      </c>
      <c r="BG39" s="9" t="n">
        <f aca="false">IF($A39&gt;=BH$25,IF($A39&lt;=BH$26,$AF39,0),0)</f>
        <v>31</v>
      </c>
      <c r="BH39" s="221" t="n">
        <f aca="false">BJ39/BG39</f>
        <v>2.61</v>
      </c>
      <c r="BI39" s="1" t="n">
        <f aca="false">BG39*($B39+F$13)</f>
        <v>80.91</v>
      </c>
      <c r="BJ39" s="33" t="n">
        <f aca="false">IF(ISNUMBER(((BI39/BG39)+F$14+$P39)*BG39),((BI39/BG39)+F$14+$P39)*BG39,0)</f>
        <v>80.91</v>
      </c>
      <c r="BK39" s="44" t="e">
        <f aca="false">IF(BG39=0,0,bsd(1,BL$27,BH39,$T39,$Q39,$R39,$AE39,0.1))</f>
        <v>#VALUE!</v>
      </c>
      <c r="BL39" s="44" t="e">
        <f aca="false">IF(BG39=0,0,bsd(2,BL$27,BH39,$T39,$Q39,$R39,$AE39,0.1))</f>
        <v>#VALUE!</v>
      </c>
      <c r="BM39" s="44" t="e">
        <f aca="false">IF(BG39=0,0,bsd(BL$28,BL$27,BH39,$T39,$Q39,$R39,$AE39,0.1))</f>
        <v>#VALUE!</v>
      </c>
      <c r="BN39" s="45" t="e">
        <f aca="false">BG39*BK39</f>
        <v>#VALUE!</v>
      </c>
      <c r="BO39" s="45" t="e">
        <f aca="false">BG39*BL39</f>
        <v>#VALUE!</v>
      </c>
      <c r="BP39" s="45" t="e">
        <f aca="false">BG39*BM39</f>
        <v>#VALUE!</v>
      </c>
      <c r="BR39" s="9" t="n">
        <f aca="false">IF($A39&gt;=BS$25,IF($A39&lt;=BS$26,$AF39,0),0)</f>
        <v>31</v>
      </c>
      <c r="BS39" s="221" t="n">
        <f aca="false">BU39/BR39</f>
        <v>2.61</v>
      </c>
      <c r="BT39" s="1" t="n">
        <f aca="false">BR39*($B39+H$13)</f>
        <v>80.91</v>
      </c>
      <c r="BU39" s="33" t="n">
        <f aca="false">IF(ISNUMBER(((BT39/BR39)+H$14+$V39)*BR39),((BT39/BR39)+H$14+$V39)*BR39,0)</f>
        <v>80.91</v>
      </c>
      <c r="BV39" s="44" t="e">
        <f aca="false">IF(BR39=0,0,bsd(1,BW$27,BS39,$Z39,$W39,$X39,$AE39,0.1))</f>
        <v>#VALUE!</v>
      </c>
      <c r="BW39" s="44" t="e">
        <f aca="false">IF(BR39=0,0,bsd(2,BW$27,BS39,$Z39,$W39,$X39,$AE39,0.1))</f>
        <v>#VALUE!</v>
      </c>
      <c r="BX39" s="44" t="e">
        <f aca="false">IF(BR39=0,0,bsd(BW$28,BW$27,BS39,$Z39,$W39,$X39,$AE39,0.1))</f>
        <v>#VALUE!</v>
      </c>
      <c r="BY39" s="45" t="e">
        <f aca="false">BR39*BV39</f>
        <v>#VALUE!</v>
      </c>
      <c r="BZ39" s="45" t="e">
        <f aca="false">BR39*BW39</f>
        <v>#VALUE!</v>
      </c>
      <c r="CA39" s="45" t="e">
        <f aca="false">BR39*BX39</f>
        <v>#VALUE!</v>
      </c>
    </row>
    <row r="40" customFormat="false" ht="12.75" hidden="false" customHeight="false" outlineLevel="0" collapsed="false">
      <c r="A40" s="48" t="n">
        <f aca="false">DATE(YEAR(A39),MONTH(A39)+1,1)</f>
        <v>37561</v>
      </c>
      <c r="B40" s="40" t="n">
        <f aca="false">VLOOKUP(A40,STRADDLE,5,FALSE())</f>
        <v>2.84</v>
      </c>
      <c r="C40" s="4" t="e">
        <f aca="false">VLOOKUP(A40,STRADDLE,6,FALSE())</f>
        <v>#VALUE!</v>
      </c>
      <c r="D40" s="40" t="n">
        <f aca="false">IF(D$28="nymex",0,VLOOKUP($A40,curvesettle,HLOOKUP(D$28,curvesettle,2,FALSE())))</f>
        <v>0</v>
      </c>
      <c r="E40" s="219" t="n">
        <f aca="false">IF(D$28="NYMEX",$AD40,$AC40)</f>
        <v>-8369</v>
      </c>
      <c r="F40" s="4" t="e">
        <f aca="false">($C40+G40)+B$15</f>
        <v>#DIV/0!</v>
      </c>
      <c r="G40" s="4" t="e">
        <f aca="false">IF(B$16=1,xCalcSkew(A40,H40-AL40,b)/100,0)</f>
        <v>#DIV/0!</v>
      </c>
      <c r="H40" s="41" t="n">
        <f aca="false">IF($B$19=4,$AL40,$B$18)</f>
        <v>2.44</v>
      </c>
      <c r="J40" s="40" t="n">
        <f aca="false">IF(J$28="nymex",0,VLOOKUP($A40,curvesettle,HLOOKUP(J$28,curvesettle,2,FALSE())))</f>
        <v>0</v>
      </c>
      <c r="K40" s="219" t="n">
        <f aca="false">IF(J$28="NYMEX",$AD40,$AC40)</f>
        <v>-8369</v>
      </c>
      <c r="L40" s="220" t="e">
        <f aca="false">($C40+M40)+D$15</f>
        <v>#DIV/0!</v>
      </c>
      <c r="M40" s="4" t="e">
        <f aca="false">IF(D$16=1,xCalcSkew($A40,N40-AW40,b)/100,0)</f>
        <v>#DIV/0!</v>
      </c>
      <c r="N40" s="41" t="n">
        <f aca="false">IF($D$19=4,$AW40,$D$18)</f>
        <v>2.44</v>
      </c>
      <c r="P40" s="40" t="n">
        <f aca="false">IF(P$28="nymex",0,VLOOKUP($A40,curvesettle,HLOOKUP(P$28,curvesettle,2,FALSE())))</f>
        <v>0</v>
      </c>
      <c r="Q40" s="219" t="n">
        <f aca="false">IF(P$28="NYMEX",$AD40,$AC40)</f>
        <v>-8369</v>
      </c>
      <c r="R40" s="220" t="e">
        <f aca="false">($C40+S40)+F$15</f>
        <v>#DIV/0!</v>
      </c>
      <c r="S40" s="4" t="e">
        <f aca="false">IF(F$16=1,xCalcSkew($A40,T40-BH40,b)/100,0)</f>
        <v>#DIV/0!</v>
      </c>
      <c r="T40" s="41" t="n">
        <f aca="false">IF($F$19=4,$BH40,$F$18)</f>
        <v>2.44</v>
      </c>
      <c r="V40" s="40" t="n">
        <f aca="false">IF(V$28="nymex",0,VLOOKUP($A40,curvesettle,HLOOKUP(V$28,curvesettle,2,FALSE())))</f>
        <v>0</v>
      </c>
      <c r="W40" s="219" t="n">
        <f aca="false">IF(V$28="NYMEX",$AD40,$AC40)</f>
        <v>-8369</v>
      </c>
      <c r="X40" s="4" t="e">
        <f aca="false">($C40+Y40)+H$15</f>
        <v>#DIV/0!</v>
      </c>
      <c r="Y40" s="4" t="e">
        <f aca="false">IF(H$16=1,xCalcSkew($A40,Z40-BS40,b)/100,0)</f>
        <v>#DIV/0!</v>
      </c>
      <c r="Z40" s="41" t="n">
        <f aca="false">IF($H$19=4,$BS40,$H$18)</f>
        <v>2.44</v>
      </c>
      <c r="AC40" s="219" t="n">
        <f aca="false">VLOOKUP($A40,expiration,2,FALSE())-$B$2</f>
        <v>-8368</v>
      </c>
      <c r="AD40" s="219" t="n">
        <f aca="false">VLOOKUP($A40,expiration,3,FALSE())-$B$2</f>
        <v>-8369</v>
      </c>
      <c r="AE40" s="4" t="n">
        <f aca="false">VLOOKUP($A40,STRADDLE,15,FALSE())</f>
        <v>0.0222295635777168</v>
      </c>
      <c r="AF40" s="43" t="n">
        <f aca="false">A41-A40</f>
        <v>30</v>
      </c>
      <c r="AG40" s="44"/>
      <c r="AH40" s="44"/>
      <c r="AI40" s="44"/>
      <c r="AJ40" s="44"/>
      <c r="AK40" s="9" t="n">
        <f aca="false">IF($A40&gt;=AL$25,IF($A40&lt;=AL$26,$AF40,0),0)</f>
        <v>0</v>
      </c>
      <c r="AL40" s="221" t="e">
        <f aca="false">AN40/AK40</f>
        <v>#DIV/0!</v>
      </c>
      <c r="AM40" s="1" t="n">
        <f aca="false">AK40*($B40+B$13)</f>
        <v>0</v>
      </c>
      <c r="AN40" s="33" t="n">
        <f aca="false">IF(ISNUMBER(((AM40/AK40)+B$14+$D40)*AK40),((AM40/AK40)+B$14+$D40)*AK40,0)</f>
        <v>0</v>
      </c>
      <c r="AO40" s="44" t="n">
        <f aca="false">IF(AK40=0,0,bsd(1,AP$27,AL40,$H40,$E40,$F40,$AE40,0.1))</f>
        <v>0</v>
      </c>
      <c r="AP40" s="44" t="n">
        <f aca="false">IF(AK40=0,0,bsd(2,AP$27,AL40,$H40,$E40,$F40,$AE40,0.1))</f>
        <v>0</v>
      </c>
      <c r="AQ40" s="44" t="n">
        <f aca="false">IF(AK40=0,0,bsd(AP$28,AP$27,AL40,$H40,$E40,$F40,$AE40,0.1))</f>
        <v>0</v>
      </c>
      <c r="AR40" s="45" t="n">
        <f aca="false">AK40*AO40</f>
        <v>0</v>
      </c>
      <c r="AS40" s="45" t="n">
        <f aca="false">AK40*AP40</f>
        <v>0</v>
      </c>
      <c r="AT40" s="45" t="n">
        <f aca="false">AK40*AQ40</f>
        <v>0</v>
      </c>
      <c r="AV40" s="9" t="n">
        <f aca="false">IF($A40&gt;=AW$25,IF($A40&lt;=AW$26,$AF40,0),0)</f>
        <v>0</v>
      </c>
      <c r="AW40" s="221" t="e">
        <f aca="false">AY40/AV40</f>
        <v>#DIV/0!</v>
      </c>
      <c r="AX40" s="1" t="n">
        <f aca="false">AV40*($B40+D$13)</f>
        <v>0</v>
      </c>
      <c r="AY40" s="33" t="n">
        <f aca="false">IF(ISNUMBER(((AX40/AV40)+D$14+$J40)*AV40),((AX40/AV40)+D$14+$J40)*AV40,0)</f>
        <v>0</v>
      </c>
      <c r="AZ40" s="44" t="n">
        <f aca="false">IF(AV40=0,0,bsd(1,BA$27,AW40,$N40,$K40,$L40,$AE40,0.1))</f>
        <v>0</v>
      </c>
      <c r="BA40" s="44" t="n">
        <f aca="false">IF(AV40=0,0,bsd(2,BA$27,AW40,$N40,$K40,$L40,$AE40,0.1))</f>
        <v>0</v>
      </c>
      <c r="BB40" s="44" t="n">
        <f aca="false">IF(AV40=0,0,bsd(BA$28,BA$27,AW40,$N40,$K40,$L40,$AE40,0.1))</f>
        <v>0</v>
      </c>
      <c r="BC40" s="45" t="n">
        <f aca="false">AV40*AZ40</f>
        <v>0</v>
      </c>
      <c r="BD40" s="45" t="n">
        <f aca="false">AV40*BA40</f>
        <v>0</v>
      </c>
      <c r="BE40" s="45" t="n">
        <f aca="false">AV40*BB40</f>
        <v>0</v>
      </c>
      <c r="BG40" s="9" t="n">
        <f aca="false">IF($A40&gt;=BH$25,IF($A40&lt;=BH$26,$AF40,0),0)</f>
        <v>0</v>
      </c>
      <c r="BH40" s="221" t="e">
        <f aca="false">BJ40/BG40</f>
        <v>#DIV/0!</v>
      </c>
      <c r="BI40" s="1" t="n">
        <f aca="false">BG40*($B40+F$13)</f>
        <v>0</v>
      </c>
      <c r="BJ40" s="33" t="n">
        <f aca="false">IF(ISNUMBER(((BI40/BG40)+F$14+$P40)*BG40),((BI40/BG40)+F$14+$P40)*BG40,0)</f>
        <v>0</v>
      </c>
      <c r="BK40" s="44" t="n">
        <f aca="false">IF(BG40=0,0,bsd(1,BL$27,BH40,$T40,$Q40,$R40,$AE40,0.1))</f>
        <v>0</v>
      </c>
      <c r="BL40" s="44" t="n">
        <f aca="false">IF(BG40=0,0,bsd(2,BL$27,BH40,$T40,$Q40,$R40,$AE40,0.1))</f>
        <v>0</v>
      </c>
      <c r="BM40" s="44" t="n">
        <f aca="false">IF(BG40=0,0,bsd(BL$28,BL$27,BH40,$T40,$Q40,$R40,$AE40,0.1))</f>
        <v>0</v>
      </c>
      <c r="BN40" s="45" t="n">
        <f aca="false">BG40*BK40</f>
        <v>0</v>
      </c>
      <c r="BO40" s="45" t="n">
        <f aca="false">BG40*BL40</f>
        <v>0</v>
      </c>
      <c r="BP40" s="45" t="n">
        <f aca="false">BG40*BM40</f>
        <v>0</v>
      </c>
      <c r="BR40" s="9" t="n">
        <f aca="false">IF($A40&gt;=BS$25,IF($A40&lt;=BS$26,$AF40,0),0)</f>
        <v>0</v>
      </c>
      <c r="BS40" s="221" t="e">
        <f aca="false">BU40/BR40</f>
        <v>#DIV/0!</v>
      </c>
      <c r="BT40" s="1" t="n">
        <f aca="false">BR40*($B40+H$13)</f>
        <v>0</v>
      </c>
      <c r="BU40" s="33" t="n">
        <f aca="false">IF(ISNUMBER(((BT40/BR40)+H$14+$V40)*BR40),((BT40/BR40)+H$14+$V40)*BR40,0)</f>
        <v>0</v>
      </c>
      <c r="BV40" s="44" t="n">
        <f aca="false">IF(BR40=0,0,bsd(1,BW$27,BS40,$Z40,$W40,$X40,$AE40,0.1))</f>
        <v>0</v>
      </c>
      <c r="BW40" s="44" t="n">
        <f aca="false">IF(BR40=0,0,bsd(2,BW$27,BS40,$Z40,$W40,$X40,$AE40,0.1))</f>
        <v>0</v>
      </c>
      <c r="BX40" s="44" t="n">
        <f aca="false">IF(BR40=0,0,bsd(BW$28,BW$27,BS40,$Z40,$W40,$X40,$AE40,0.1))</f>
        <v>0</v>
      </c>
      <c r="BY40" s="45" t="n">
        <f aca="false">BR40*BV40</f>
        <v>0</v>
      </c>
      <c r="BZ40" s="45" t="n">
        <f aca="false">BR40*BW40</f>
        <v>0</v>
      </c>
      <c r="CA40" s="45" t="n">
        <f aca="false">BR40*BX40</f>
        <v>0</v>
      </c>
    </row>
    <row r="41" customFormat="false" ht="12.75" hidden="false" customHeight="false" outlineLevel="0" collapsed="false">
      <c r="A41" s="48" t="n">
        <f aca="false">DATE(YEAR(A40),MONTH(A40)+1,1)</f>
        <v>37591</v>
      </c>
      <c r="B41" s="40" t="n">
        <f aca="false">VLOOKUP(A41,STRADDLE,5,FALSE())</f>
        <v>3.07</v>
      </c>
      <c r="C41" s="4" t="e">
        <f aca="false">VLOOKUP(A41,STRADDLE,6,FALSE())</f>
        <v>#VALUE!</v>
      </c>
      <c r="D41" s="40" t="n">
        <f aca="false">IF(D$28="nymex",0,VLOOKUP($A41,curvesettle,HLOOKUP(D$28,curvesettle,2,FALSE())))</f>
        <v>0</v>
      </c>
      <c r="E41" s="219" t="n">
        <f aca="false">IF(D$28="NYMEX",$AD41,$AC41)</f>
        <v>-8341</v>
      </c>
      <c r="F41" s="4" t="e">
        <f aca="false">($C41+G41)+B$15</f>
        <v>#DIV/0!</v>
      </c>
      <c r="G41" s="4" t="e">
        <f aca="false">IF(B$16=1,xCalcSkew(A41,H41-AL41,b)/100,0)</f>
        <v>#DIV/0!</v>
      </c>
      <c r="H41" s="41" t="n">
        <f aca="false">IF($B$19=4,$AL41,$B$18)</f>
        <v>2.44</v>
      </c>
      <c r="J41" s="40" t="n">
        <f aca="false">IF(J$28="nymex",0,VLOOKUP($A41,curvesettle,HLOOKUP(J$28,curvesettle,2,FALSE())))</f>
        <v>0</v>
      </c>
      <c r="K41" s="219" t="n">
        <f aca="false">IF(J$28="NYMEX",$AD41,$AC41)</f>
        <v>-8341</v>
      </c>
      <c r="L41" s="220" t="e">
        <f aca="false">($C41+M41)+D$15</f>
        <v>#DIV/0!</v>
      </c>
      <c r="M41" s="4" t="e">
        <f aca="false">IF(D$16=1,xCalcSkew($A41,N41-AW41,b)/100,0)</f>
        <v>#DIV/0!</v>
      </c>
      <c r="N41" s="41" t="n">
        <f aca="false">IF($D$19=4,$AW41,$D$18)</f>
        <v>2.44</v>
      </c>
      <c r="P41" s="40" t="n">
        <f aca="false">IF(P$28="nymex",0,VLOOKUP($A41,curvesettle,HLOOKUP(P$28,curvesettle,2,FALSE())))</f>
        <v>0</v>
      </c>
      <c r="Q41" s="219" t="n">
        <f aca="false">IF(P$28="NYMEX",$AD41,$AC41)</f>
        <v>-8341</v>
      </c>
      <c r="R41" s="220" t="e">
        <f aca="false">($C41+S41)+F$15</f>
        <v>#DIV/0!</v>
      </c>
      <c r="S41" s="4" t="e">
        <f aca="false">IF(F$16=1,xCalcSkew($A41,T41-BH41,b)/100,0)</f>
        <v>#DIV/0!</v>
      </c>
      <c r="T41" s="41" t="n">
        <f aca="false">IF($F$19=4,$BH41,$F$18)</f>
        <v>2.44</v>
      </c>
      <c r="V41" s="40" t="n">
        <f aca="false">IF(V$28="nymex",0,VLOOKUP($A41,curvesettle,HLOOKUP(V$28,curvesettle,2,FALSE())))</f>
        <v>0</v>
      </c>
      <c r="W41" s="219" t="n">
        <f aca="false">IF(V$28="NYMEX",$AD41,$AC41)</f>
        <v>-8341</v>
      </c>
      <c r="X41" s="4" t="e">
        <f aca="false">($C41+Y41)+H$15</f>
        <v>#DIV/0!</v>
      </c>
      <c r="Y41" s="4" t="e">
        <f aca="false">IF(H$16=1,xCalcSkew($A41,Z41-BS41,b)/100,0)</f>
        <v>#DIV/0!</v>
      </c>
      <c r="Z41" s="41" t="n">
        <f aca="false">IF($H$19=4,$BS41,$H$18)</f>
        <v>2.44</v>
      </c>
      <c r="AC41" s="219" t="n">
        <f aca="false">VLOOKUP($A41,expiration,2,FALSE())-$B$2</f>
        <v>-8340</v>
      </c>
      <c r="AD41" s="219" t="n">
        <f aca="false">VLOOKUP($A41,expiration,3,FALSE())-$B$2</f>
        <v>-8341</v>
      </c>
      <c r="AE41" s="4" t="n">
        <f aca="false">VLOOKUP($A41,STRADDLE,15,FALSE())</f>
        <v>0.0229691206647376</v>
      </c>
      <c r="AF41" s="43" t="n">
        <f aca="false">A42-A41</f>
        <v>31</v>
      </c>
      <c r="AG41" s="44"/>
      <c r="AH41" s="44"/>
      <c r="AI41" s="44"/>
      <c r="AJ41" s="44"/>
      <c r="AK41" s="9" t="n">
        <f aca="false">IF($A41&gt;=AL$25,IF($A41&lt;=AL$26,$AF41,0),0)</f>
        <v>0</v>
      </c>
      <c r="AL41" s="221" t="e">
        <f aca="false">AN41/AK41</f>
        <v>#DIV/0!</v>
      </c>
      <c r="AM41" s="1" t="n">
        <f aca="false">AK41*($B41+B$13)</f>
        <v>0</v>
      </c>
      <c r="AN41" s="33" t="n">
        <f aca="false">IF(ISNUMBER(((AM41/AK41)+B$14+$D41)*AK41),((AM41/AK41)+B$14+$D41)*AK41,0)</f>
        <v>0</v>
      </c>
      <c r="AO41" s="44" t="n">
        <f aca="false">IF(AK41=0,0,bsd(1,AP$27,AL41,$H41,$E41,$F41,$AE41,0.1))</f>
        <v>0</v>
      </c>
      <c r="AP41" s="44" t="n">
        <f aca="false">IF(AK41=0,0,bsd(2,AP$27,AL41,$H41,$E41,$F41,$AE41,0.1))</f>
        <v>0</v>
      </c>
      <c r="AQ41" s="44" t="n">
        <f aca="false">IF(AK41=0,0,bsd(AP$28,AP$27,AL41,$H41,$E41,$F41,$AE41,0.1))</f>
        <v>0</v>
      </c>
      <c r="AR41" s="45" t="n">
        <f aca="false">AK41*AO41</f>
        <v>0</v>
      </c>
      <c r="AS41" s="45" t="n">
        <f aca="false">AK41*AP41</f>
        <v>0</v>
      </c>
      <c r="AT41" s="45" t="n">
        <f aca="false">AK41*AQ41</f>
        <v>0</v>
      </c>
      <c r="AV41" s="9" t="n">
        <f aca="false">IF($A41&gt;=AW$25,IF($A41&lt;=AW$26,$AF41,0),0)</f>
        <v>0</v>
      </c>
      <c r="AW41" s="221" t="e">
        <f aca="false">AY41/AV41</f>
        <v>#DIV/0!</v>
      </c>
      <c r="AX41" s="1" t="n">
        <f aca="false">AV41*($B41+D$13)</f>
        <v>0</v>
      </c>
      <c r="AY41" s="33" t="n">
        <f aca="false">IF(ISNUMBER(((AX41/AV41)+D$14+$J41)*AV41),((AX41/AV41)+D$14+$J41)*AV41,0)</f>
        <v>0</v>
      </c>
      <c r="AZ41" s="44" t="n">
        <f aca="false">IF(AV41=0,0,bsd(1,BA$27,AW41,$N41,$K41,$L41,$AE41,0.1))</f>
        <v>0</v>
      </c>
      <c r="BA41" s="44" t="n">
        <f aca="false">IF(AV41=0,0,bsd(2,BA$27,AW41,$N41,$K41,$L41,$AE41,0.1))</f>
        <v>0</v>
      </c>
      <c r="BB41" s="44" t="n">
        <f aca="false">IF(AV41=0,0,bsd(BA$28,BA$27,AW41,$N41,$K41,$L41,$AE41,0.1))</f>
        <v>0</v>
      </c>
      <c r="BC41" s="45" t="n">
        <f aca="false">AV41*AZ41</f>
        <v>0</v>
      </c>
      <c r="BD41" s="45" t="n">
        <f aca="false">AV41*BA41</f>
        <v>0</v>
      </c>
      <c r="BE41" s="45" t="n">
        <f aca="false">AV41*BB41</f>
        <v>0</v>
      </c>
      <c r="BG41" s="9" t="n">
        <f aca="false">IF($A41&gt;=BH$25,IF($A41&lt;=BH$26,$AF41,0),0)</f>
        <v>0</v>
      </c>
      <c r="BH41" s="221" t="e">
        <f aca="false">BJ41/BG41</f>
        <v>#DIV/0!</v>
      </c>
      <c r="BI41" s="1" t="n">
        <f aca="false">BG41*($B41+F$13)</f>
        <v>0</v>
      </c>
      <c r="BJ41" s="33" t="n">
        <f aca="false">IF(ISNUMBER(((BI41/BG41)+F$14+$P41)*BG41),((BI41/BG41)+F$14+$P41)*BG41,0)</f>
        <v>0</v>
      </c>
      <c r="BK41" s="44" t="n">
        <f aca="false">IF(BG41=0,0,bsd(1,BL$27,BH41,$T41,$Q41,$R41,$AE41,0.1))</f>
        <v>0</v>
      </c>
      <c r="BL41" s="44" t="n">
        <f aca="false">IF(BG41=0,0,bsd(2,BL$27,BH41,$T41,$Q41,$R41,$AE41,0.1))</f>
        <v>0</v>
      </c>
      <c r="BM41" s="44" t="n">
        <f aca="false">IF(BG41=0,0,bsd(BL$28,BL$27,BH41,$T41,$Q41,$R41,$AE41,0.1))</f>
        <v>0</v>
      </c>
      <c r="BN41" s="45" t="n">
        <f aca="false">BG41*BK41</f>
        <v>0</v>
      </c>
      <c r="BO41" s="45" t="n">
        <f aca="false">BG41*BL41</f>
        <v>0</v>
      </c>
      <c r="BP41" s="45" t="n">
        <f aca="false">BG41*BM41</f>
        <v>0</v>
      </c>
      <c r="BR41" s="9" t="n">
        <f aca="false">IF($A41&gt;=BS$25,IF($A41&lt;=BS$26,$AF41,0),0)</f>
        <v>0</v>
      </c>
      <c r="BS41" s="221" t="e">
        <f aca="false">BU41/BR41</f>
        <v>#DIV/0!</v>
      </c>
      <c r="BT41" s="1" t="n">
        <f aca="false">BR41*($B41+H$13)</f>
        <v>0</v>
      </c>
      <c r="BU41" s="33" t="n">
        <f aca="false">IF(ISNUMBER(((BT41/BR41)+H$14+$V41)*BR41),((BT41/BR41)+H$14+$V41)*BR41,0)</f>
        <v>0</v>
      </c>
      <c r="BV41" s="44" t="n">
        <f aca="false">IF(BR41=0,0,bsd(1,BW$27,BS41,$Z41,$W41,$X41,$AE41,0.1))</f>
        <v>0</v>
      </c>
      <c r="BW41" s="44" t="n">
        <f aca="false">IF(BR41=0,0,bsd(2,BW$27,BS41,$Z41,$W41,$X41,$AE41,0.1))</f>
        <v>0</v>
      </c>
      <c r="BX41" s="44" t="n">
        <f aca="false">IF(BR41=0,0,bsd(BW$28,BW$27,BS41,$Z41,$W41,$X41,$AE41,0.1))</f>
        <v>0</v>
      </c>
      <c r="BY41" s="45" t="n">
        <f aca="false">BR41*BV41</f>
        <v>0</v>
      </c>
      <c r="BZ41" s="45" t="n">
        <f aca="false">BR41*BW41</f>
        <v>0</v>
      </c>
      <c r="CA41" s="45" t="n">
        <f aca="false">BR41*BX41</f>
        <v>0</v>
      </c>
    </row>
    <row r="42" customFormat="false" ht="12.75" hidden="false" customHeight="false" outlineLevel="0" collapsed="false">
      <c r="A42" s="48" t="n">
        <f aca="false">DATE(YEAR(A41),MONTH(A41)+1,1)</f>
        <v>37622</v>
      </c>
      <c r="B42" s="40" t="n">
        <f aca="false">VLOOKUP(A42,STRADDLE,5,FALSE())</f>
        <v>3.18</v>
      </c>
      <c r="C42" s="4" t="e">
        <f aca="false">VLOOKUP(A42,STRADDLE,6,FALSE())</f>
        <v>#VALUE!</v>
      </c>
      <c r="D42" s="40" t="n">
        <f aca="false">IF(D$28="nymex",0,VLOOKUP($A42,curvesettle,HLOOKUP(D$28,curvesettle,2,FALSE())))</f>
        <v>0</v>
      </c>
      <c r="E42" s="219" t="n">
        <f aca="false">IF(D$28="NYMEX",$AD42,$AC42)</f>
        <v>-8310</v>
      </c>
      <c r="F42" s="4" t="e">
        <f aca="false">($C42+G42)+B$15</f>
        <v>#DIV/0!</v>
      </c>
      <c r="G42" s="4" t="e">
        <f aca="false">IF(B$16=1,xCalcSkew(A42,H42-AL42,b)/100,0)</f>
        <v>#DIV/0!</v>
      </c>
      <c r="H42" s="41" t="n">
        <f aca="false">IF($B$19=4,$AL42,$B$18)</f>
        <v>2.44</v>
      </c>
      <c r="J42" s="40" t="n">
        <f aca="false">IF(J$28="nymex",0,VLOOKUP($A42,curvesettle,HLOOKUP(J$28,curvesettle,2,FALSE())))</f>
        <v>0</v>
      </c>
      <c r="K42" s="219" t="n">
        <f aca="false">IF(J$28="NYMEX",$AD42,$AC42)</f>
        <v>-8310</v>
      </c>
      <c r="L42" s="220" t="e">
        <f aca="false">($C42+M42)+D$15</f>
        <v>#DIV/0!</v>
      </c>
      <c r="M42" s="4" t="e">
        <f aca="false">IF(D$16=1,xCalcSkew($A42,N42-AW42,b)/100,0)</f>
        <v>#DIV/0!</v>
      </c>
      <c r="N42" s="41" t="n">
        <f aca="false">IF($D$19=4,$AW42,$D$18)</f>
        <v>2.44</v>
      </c>
      <c r="P42" s="40" t="n">
        <f aca="false">IF(P$28="nymex",0,VLOOKUP($A42,curvesettle,HLOOKUP(P$28,curvesettle,2,FALSE())))</f>
        <v>0</v>
      </c>
      <c r="Q42" s="219" t="n">
        <f aca="false">IF(P$28="NYMEX",$AD42,$AC42)</f>
        <v>-8310</v>
      </c>
      <c r="R42" s="220" t="e">
        <f aca="false">($C42+S42)+F$15</f>
        <v>#DIV/0!</v>
      </c>
      <c r="S42" s="4" t="e">
        <f aca="false">IF(F$16=1,xCalcSkew($A42,T42-BH42,b)/100,0)</f>
        <v>#DIV/0!</v>
      </c>
      <c r="T42" s="41" t="n">
        <f aca="false">IF($F$19=4,$BH42,$F$18)</f>
        <v>2.44</v>
      </c>
      <c r="V42" s="40" t="n">
        <f aca="false">IF(V$28="nymex",0,VLOOKUP($A42,curvesettle,HLOOKUP(V$28,curvesettle,2,FALSE())))</f>
        <v>0</v>
      </c>
      <c r="W42" s="219" t="n">
        <f aca="false">IF(V$28="NYMEX",$AD42,$AC42)</f>
        <v>-8310</v>
      </c>
      <c r="X42" s="4" t="e">
        <f aca="false">($C42+Y42)+H$15</f>
        <v>#DIV/0!</v>
      </c>
      <c r="Y42" s="4" t="e">
        <f aca="false">IF(H$16=1,xCalcSkew($A42,Z42-BS42,b)/100,0)</f>
        <v>#DIV/0!</v>
      </c>
      <c r="Z42" s="41" t="n">
        <f aca="false">IF($H$19=4,$BS42,$H$18)</f>
        <v>2.44</v>
      </c>
      <c r="AC42" s="219" t="n">
        <f aca="false">VLOOKUP($A42,expiration,2,FALSE())-$B$2</f>
        <v>-8309</v>
      </c>
      <c r="AD42" s="219" t="n">
        <f aca="false">VLOOKUP($A42,expiration,3,FALSE())-$B$2</f>
        <v>-8310</v>
      </c>
      <c r="AE42" s="4" t="n">
        <f aca="false">VLOOKUP($A42,STRADDLE,15,FALSE())</f>
        <v>0.0236848212477305</v>
      </c>
      <c r="AF42" s="43" t="n">
        <f aca="false">A43-A42</f>
        <v>31</v>
      </c>
      <c r="AG42" s="44"/>
      <c r="AH42" s="44"/>
      <c r="AI42" s="44"/>
      <c r="AJ42" s="44"/>
      <c r="AK42" s="9" t="n">
        <f aca="false">IF($A42&gt;=AL$25,IF($A42&lt;=AL$26,$AF42,0),0)</f>
        <v>0</v>
      </c>
      <c r="AL42" s="221" t="e">
        <f aca="false">AN42/AK42</f>
        <v>#DIV/0!</v>
      </c>
      <c r="AM42" s="1" t="n">
        <f aca="false">AK42*($B42+B$13)</f>
        <v>0</v>
      </c>
      <c r="AN42" s="33" t="n">
        <f aca="false">IF(ISNUMBER(((AM42/AK42)+B$14+$D42)*AK42),((AM42/AK42)+B$14+$D42)*AK42,0)</f>
        <v>0</v>
      </c>
      <c r="AO42" s="44" t="n">
        <f aca="false">IF(AK42=0,0,bsd(1,AP$27,AL42,$H42,$E42,$F42,$AE42,0.1))</f>
        <v>0</v>
      </c>
      <c r="AP42" s="44" t="n">
        <f aca="false">IF(AK42=0,0,bsd(2,AP$27,AL42,$H42,$E42,$F42,$AE42,0.1))</f>
        <v>0</v>
      </c>
      <c r="AQ42" s="44" t="n">
        <f aca="false">IF(AK42=0,0,bsd(AP$28,AP$27,AL42,$H42,$E42,$F42,$AE42,0.1))</f>
        <v>0</v>
      </c>
      <c r="AR42" s="45" t="n">
        <f aca="false">AK42*AO42</f>
        <v>0</v>
      </c>
      <c r="AS42" s="45" t="n">
        <f aca="false">AK42*AP42</f>
        <v>0</v>
      </c>
      <c r="AT42" s="45" t="n">
        <f aca="false">AK42*AQ42</f>
        <v>0</v>
      </c>
      <c r="AV42" s="9" t="n">
        <f aca="false">IF($A42&gt;=AW$25,IF($A42&lt;=AW$26,$AF42,0),0)</f>
        <v>0</v>
      </c>
      <c r="AW42" s="221" t="e">
        <f aca="false">AY42/AV42</f>
        <v>#DIV/0!</v>
      </c>
      <c r="AX42" s="1" t="n">
        <f aca="false">AV42*($B42+D$13)</f>
        <v>0</v>
      </c>
      <c r="AY42" s="33" t="n">
        <f aca="false">IF(ISNUMBER(((AX42/AV42)+D$14+$J42)*AV42),((AX42/AV42)+D$14+$J42)*AV42,0)</f>
        <v>0</v>
      </c>
      <c r="AZ42" s="44" t="n">
        <f aca="false">IF(AV42=0,0,bsd(1,BA$27,AW42,$N42,$K42,$L42,$AE42,0.1))</f>
        <v>0</v>
      </c>
      <c r="BA42" s="44" t="n">
        <f aca="false">IF(AV42=0,0,bsd(2,BA$27,AW42,$N42,$K42,$L42,$AE42,0.1))</f>
        <v>0</v>
      </c>
      <c r="BB42" s="44" t="n">
        <f aca="false">IF(AV42=0,0,bsd(BA$28,BA$27,AW42,$N42,$K42,$L42,$AE42,0.1))</f>
        <v>0</v>
      </c>
      <c r="BC42" s="45" t="n">
        <f aca="false">AV42*AZ42</f>
        <v>0</v>
      </c>
      <c r="BD42" s="45" t="n">
        <f aca="false">AV42*BA42</f>
        <v>0</v>
      </c>
      <c r="BE42" s="45" t="n">
        <f aca="false">AV42*BB42</f>
        <v>0</v>
      </c>
      <c r="BG42" s="9" t="n">
        <f aca="false">IF($A42&gt;=BH$25,IF($A42&lt;=BH$26,$AF42,0),0)</f>
        <v>0</v>
      </c>
      <c r="BH42" s="221" t="e">
        <f aca="false">BJ42/BG42</f>
        <v>#DIV/0!</v>
      </c>
      <c r="BI42" s="1" t="n">
        <f aca="false">BG42*($B42+F$13)</f>
        <v>0</v>
      </c>
      <c r="BJ42" s="33" t="n">
        <f aca="false">IF(ISNUMBER(((BI42/BG42)+F$14+$P42)*BG42),((BI42/BG42)+F$14+$P42)*BG42,0)</f>
        <v>0</v>
      </c>
      <c r="BK42" s="44" t="n">
        <f aca="false">IF(BG42=0,0,bsd(1,BL$27,BH42,$T42,$Q42,$R42,$AE42,0.1))</f>
        <v>0</v>
      </c>
      <c r="BL42" s="44" t="n">
        <f aca="false">IF(BG42=0,0,bsd(2,BL$27,BH42,$T42,$Q42,$R42,$AE42,0.1))</f>
        <v>0</v>
      </c>
      <c r="BM42" s="44" t="n">
        <f aca="false">IF(BG42=0,0,bsd(BL$28,BL$27,BH42,$T42,$Q42,$R42,$AE42,0.1))</f>
        <v>0</v>
      </c>
      <c r="BN42" s="45" t="n">
        <f aca="false">BG42*BK42</f>
        <v>0</v>
      </c>
      <c r="BO42" s="45" t="n">
        <f aca="false">BG42*BL42</f>
        <v>0</v>
      </c>
      <c r="BP42" s="45" t="n">
        <f aca="false">BG42*BM42</f>
        <v>0</v>
      </c>
      <c r="BR42" s="9" t="n">
        <f aca="false">IF($A42&gt;=BS$25,IF($A42&lt;=BS$26,$AF42,0),0)</f>
        <v>0</v>
      </c>
      <c r="BS42" s="221" t="e">
        <f aca="false">BU42/BR42</f>
        <v>#DIV/0!</v>
      </c>
      <c r="BT42" s="1" t="n">
        <f aca="false">BR42*($B42+H$13)</f>
        <v>0</v>
      </c>
      <c r="BU42" s="33" t="n">
        <f aca="false">IF(ISNUMBER(((BT42/BR42)+H$14+$V42)*BR42),((BT42/BR42)+H$14+$V42)*BR42,0)</f>
        <v>0</v>
      </c>
      <c r="BV42" s="44" t="n">
        <f aca="false">IF(BR42=0,0,bsd(1,BW$27,BS42,$Z42,$W42,$X42,$AE42,0.1))</f>
        <v>0</v>
      </c>
      <c r="BW42" s="44" t="n">
        <f aca="false">IF(BR42=0,0,bsd(2,BW$27,BS42,$Z42,$W42,$X42,$AE42,0.1))</f>
        <v>0</v>
      </c>
      <c r="BX42" s="44" t="n">
        <f aca="false">IF(BR42=0,0,bsd(BW$28,BW$27,BS42,$Z42,$W42,$X42,$AE42,0.1))</f>
        <v>0</v>
      </c>
      <c r="BY42" s="45" t="n">
        <f aca="false">BR42*BV42</f>
        <v>0</v>
      </c>
      <c r="BZ42" s="45" t="n">
        <f aca="false">BR42*BW42</f>
        <v>0</v>
      </c>
      <c r="CA42" s="45" t="n">
        <f aca="false">BR42*BX42</f>
        <v>0</v>
      </c>
    </row>
    <row r="43" customFormat="false" ht="12.75" hidden="false" customHeight="false" outlineLevel="0" collapsed="false">
      <c r="A43" s="48" t="n">
        <f aca="false">DATE(YEAR(A42),MONTH(A42)+1,1)</f>
        <v>37653</v>
      </c>
      <c r="B43" s="40" t="n">
        <f aca="false">VLOOKUP(A43,STRADDLE,5,FALSE())</f>
        <v>3.15</v>
      </c>
      <c r="C43" s="4" t="e">
        <f aca="false">VLOOKUP(A43,STRADDLE,6,FALSE())</f>
        <v>#VALUE!</v>
      </c>
      <c r="D43" s="40" t="n">
        <f aca="false">IF(D$28="nymex",0,VLOOKUP($A43,curvesettle,HLOOKUP(D$28,curvesettle,2,FALSE())))</f>
        <v>0</v>
      </c>
      <c r="E43" s="219" t="n">
        <f aca="false">IF(D$28="NYMEX",$AD43,$AC43)</f>
        <v>-8277</v>
      </c>
      <c r="F43" s="4" t="e">
        <f aca="false">($C43+G43)+B$15</f>
        <v>#DIV/0!</v>
      </c>
      <c r="G43" s="4" t="e">
        <f aca="false">IF(B$16=1,xCalcSkew(A43,H43-AL43,b)/100,0)</f>
        <v>#DIV/0!</v>
      </c>
      <c r="H43" s="41" t="n">
        <f aca="false">IF($B$19=4,$AL43,$B$18)</f>
        <v>2.44</v>
      </c>
      <c r="J43" s="40" t="n">
        <f aca="false">IF(J$28="nymex",0,VLOOKUP($A43,curvesettle,HLOOKUP(J$28,curvesettle,2,FALSE())))</f>
        <v>0</v>
      </c>
      <c r="K43" s="219" t="n">
        <f aca="false">IF(J$28="NYMEX",$AD43,$AC43)</f>
        <v>-8277</v>
      </c>
      <c r="L43" s="220" t="e">
        <f aca="false">($C43+M43)+D$15</f>
        <v>#DIV/0!</v>
      </c>
      <c r="M43" s="4" t="e">
        <f aca="false">IF(D$16=1,xCalcSkew($A43,N43-AW43,b)/100,0)</f>
        <v>#DIV/0!</v>
      </c>
      <c r="N43" s="41" t="n">
        <f aca="false">IF($D$19=4,$AW43,$D$18)</f>
        <v>2.44</v>
      </c>
      <c r="P43" s="40" t="n">
        <f aca="false">IF(P$28="nymex",0,VLOOKUP($A43,curvesettle,HLOOKUP(P$28,curvesettle,2,FALSE())))</f>
        <v>0</v>
      </c>
      <c r="Q43" s="219" t="n">
        <f aca="false">IF(P$28="NYMEX",$AD43,$AC43)</f>
        <v>-8277</v>
      </c>
      <c r="R43" s="220" t="e">
        <f aca="false">($C43+S43)+F$15</f>
        <v>#DIV/0!</v>
      </c>
      <c r="S43" s="4" t="e">
        <f aca="false">IF(F$16=1,xCalcSkew($A43,T43-BH43,b)/100,0)</f>
        <v>#DIV/0!</v>
      </c>
      <c r="T43" s="41" t="n">
        <f aca="false">IF($F$19=4,$BH43,$F$18)</f>
        <v>2.44</v>
      </c>
      <c r="V43" s="40" t="n">
        <f aca="false">IF(V$28="nymex",0,VLOOKUP($A43,curvesettle,HLOOKUP(V$28,curvesettle,2,FALSE())))</f>
        <v>0</v>
      </c>
      <c r="W43" s="219" t="n">
        <f aca="false">IF(V$28="NYMEX",$AD43,$AC43)</f>
        <v>-8277</v>
      </c>
      <c r="X43" s="4" t="e">
        <f aca="false">($C43+Y43)+H$15</f>
        <v>#DIV/0!</v>
      </c>
      <c r="Y43" s="4" t="e">
        <f aca="false">IF(H$16=1,xCalcSkew($A43,Z43-BS43,b)/100,0)</f>
        <v>#DIV/0!</v>
      </c>
      <c r="Z43" s="41" t="n">
        <f aca="false">IF($H$19=4,$BS43,$H$18)</f>
        <v>2.44</v>
      </c>
      <c r="AC43" s="219" t="n">
        <f aca="false">VLOOKUP($A43,expiration,2,FALSE())-$B$2</f>
        <v>-8276</v>
      </c>
      <c r="AD43" s="219" t="n">
        <f aca="false">VLOOKUP($A43,expiration,3,FALSE())-$B$2</f>
        <v>-8277</v>
      </c>
      <c r="AE43" s="4" t="n">
        <f aca="false">VLOOKUP($A43,STRADDLE,15,FALSE())</f>
        <v>0.024485717541272</v>
      </c>
      <c r="AF43" s="43" t="n">
        <f aca="false">A44-A43</f>
        <v>28</v>
      </c>
      <c r="AG43" s="44"/>
      <c r="AH43" s="44"/>
      <c r="AI43" s="44"/>
      <c r="AJ43" s="44"/>
      <c r="AK43" s="9" t="n">
        <f aca="false">IF($A43&gt;=AL$25,IF($A43&lt;=AL$26,$AF43,0),0)</f>
        <v>0</v>
      </c>
      <c r="AL43" s="221" t="e">
        <f aca="false">AN43/AK43</f>
        <v>#DIV/0!</v>
      </c>
      <c r="AM43" s="1" t="n">
        <f aca="false">AK43*($B43+B$13)</f>
        <v>0</v>
      </c>
      <c r="AN43" s="33" t="n">
        <f aca="false">IF(ISNUMBER(((AM43/AK43)+B$14+$D43)*AK43),((AM43/AK43)+B$14+$D43)*AK43,0)</f>
        <v>0</v>
      </c>
      <c r="AO43" s="44" t="n">
        <f aca="false">IF(AK43=0,0,bsd(1,AP$27,AL43,$H43,$E43,$F43,$AE43,0.1))</f>
        <v>0</v>
      </c>
      <c r="AP43" s="44" t="n">
        <f aca="false">IF(AK43=0,0,bsd(2,AP$27,AL43,$H43,$E43,$F43,$AE43,0.1))</f>
        <v>0</v>
      </c>
      <c r="AQ43" s="44" t="n">
        <f aca="false">IF(AK43=0,0,bsd(AP$28,AP$27,AL43,$H43,$E43,$F43,$AE43,0.1))</f>
        <v>0</v>
      </c>
      <c r="AR43" s="45" t="n">
        <f aca="false">AK43*AO43</f>
        <v>0</v>
      </c>
      <c r="AS43" s="45" t="n">
        <f aca="false">AK43*AP43</f>
        <v>0</v>
      </c>
      <c r="AT43" s="45" t="n">
        <f aca="false">AK43*AQ43</f>
        <v>0</v>
      </c>
      <c r="AV43" s="9" t="n">
        <f aca="false">IF($A43&gt;=AW$25,IF($A43&lt;=AW$26,$AF43,0),0)</f>
        <v>0</v>
      </c>
      <c r="AW43" s="221" t="e">
        <f aca="false">AY43/AV43</f>
        <v>#DIV/0!</v>
      </c>
      <c r="AX43" s="1" t="n">
        <f aca="false">AV43*($B43+D$13)</f>
        <v>0</v>
      </c>
      <c r="AY43" s="33" t="n">
        <f aca="false">IF(ISNUMBER(((AX43/AV43)+D$14+$J43)*AV43),((AX43/AV43)+D$14+$J43)*AV43,0)</f>
        <v>0</v>
      </c>
      <c r="AZ43" s="44" t="n">
        <f aca="false">IF(AV43=0,0,bsd(1,BA$27,AW43,$N43,$K43,$L43,$AE43,0.1))</f>
        <v>0</v>
      </c>
      <c r="BA43" s="44" t="n">
        <f aca="false">IF(AV43=0,0,bsd(2,BA$27,AW43,$N43,$K43,$L43,$AE43,0.1))</f>
        <v>0</v>
      </c>
      <c r="BB43" s="44" t="n">
        <f aca="false">IF(AV43=0,0,bsd(BA$28,BA$27,AW43,$N43,$K43,$L43,$AE43,0.1))</f>
        <v>0</v>
      </c>
      <c r="BC43" s="45" t="n">
        <f aca="false">AV43*AZ43</f>
        <v>0</v>
      </c>
      <c r="BD43" s="45" t="n">
        <f aca="false">AV43*BA43</f>
        <v>0</v>
      </c>
      <c r="BE43" s="45" t="n">
        <f aca="false">AV43*BB43</f>
        <v>0</v>
      </c>
      <c r="BG43" s="9" t="n">
        <f aca="false">IF($A43&gt;=BH$25,IF($A43&lt;=BH$26,$AF43,0),0)</f>
        <v>0</v>
      </c>
      <c r="BH43" s="221" t="e">
        <f aca="false">BJ43/BG43</f>
        <v>#DIV/0!</v>
      </c>
      <c r="BI43" s="1" t="n">
        <f aca="false">BG43*($B43+F$13)</f>
        <v>0</v>
      </c>
      <c r="BJ43" s="33" t="n">
        <f aca="false">IF(ISNUMBER(((BI43/BG43)+F$14+$P43)*BG43),((BI43/BG43)+F$14+$P43)*BG43,0)</f>
        <v>0</v>
      </c>
      <c r="BK43" s="44" t="n">
        <f aca="false">IF(BG43=0,0,bsd(1,BL$27,BH43,$T43,$Q43,$R43,$AE43,0.1))</f>
        <v>0</v>
      </c>
      <c r="BL43" s="44" t="n">
        <f aca="false">IF(BG43=0,0,bsd(2,BL$27,BH43,$T43,$Q43,$R43,$AE43,0.1))</f>
        <v>0</v>
      </c>
      <c r="BM43" s="44" t="n">
        <f aca="false">IF(BG43=0,0,bsd(BL$28,BL$27,BH43,$T43,$Q43,$R43,$AE43,0.1))</f>
        <v>0</v>
      </c>
      <c r="BN43" s="45" t="n">
        <f aca="false">BG43*BK43</f>
        <v>0</v>
      </c>
      <c r="BO43" s="45" t="n">
        <f aca="false">BG43*BL43</f>
        <v>0</v>
      </c>
      <c r="BP43" s="45" t="n">
        <f aca="false">BG43*BM43</f>
        <v>0</v>
      </c>
      <c r="BR43" s="9" t="n">
        <f aca="false">IF($A43&gt;=BS$25,IF($A43&lt;=BS$26,$AF43,0),0)</f>
        <v>0</v>
      </c>
      <c r="BS43" s="221" t="e">
        <f aca="false">BU43/BR43</f>
        <v>#DIV/0!</v>
      </c>
      <c r="BT43" s="1" t="n">
        <f aca="false">BR43*($B43+H$13)</f>
        <v>0</v>
      </c>
      <c r="BU43" s="33" t="n">
        <f aca="false">IF(ISNUMBER(((BT43/BR43)+H$14+$V43)*BR43),((BT43/BR43)+H$14+$V43)*BR43,0)</f>
        <v>0</v>
      </c>
      <c r="BV43" s="44" t="n">
        <f aca="false">IF(BR43=0,0,bsd(1,BW$27,BS43,$Z43,$W43,$X43,$AE43,0.1))</f>
        <v>0</v>
      </c>
      <c r="BW43" s="44" t="n">
        <f aca="false">IF(BR43=0,0,bsd(2,BW$27,BS43,$Z43,$W43,$X43,$AE43,0.1))</f>
        <v>0</v>
      </c>
      <c r="BX43" s="44" t="n">
        <f aca="false">IF(BR43=0,0,bsd(BW$28,BW$27,BS43,$Z43,$W43,$X43,$AE43,0.1))</f>
        <v>0</v>
      </c>
      <c r="BY43" s="45" t="n">
        <f aca="false">BR43*BV43</f>
        <v>0</v>
      </c>
      <c r="BZ43" s="45" t="n">
        <f aca="false">BR43*BW43</f>
        <v>0</v>
      </c>
      <c r="CA43" s="45" t="n">
        <f aca="false">BR43*BX43</f>
        <v>0</v>
      </c>
    </row>
    <row r="44" customFormat="false" ht="12.75" hidden="false" customHeight="false" outlineLevel="0" collapsed="false">
      <c r="A44" s="48" t="n">
        <f aca="false">DATE(YEAR(A43),MONTH(A43)+1,1)</f>
        <v>37681</v>
      </c>
      <c r="B44" s="40" t="n">
        <f aca="false">VLOOKUP(A44,STRADDLE,5,FALSE())</f>
        <v>3.095</v>
      </c>
      <c r="C44" s="4" t="e">
        <f aca="false">VLOOKUP(A44,STRADDLE,6,FALSE())</f>
        <v>#VALUE!</v>
      </c>
      <c r="D44" s="40" t="n">
        <f aca="false">IF(D$28="nymex",0,VLOOKUP($A44,curvesettle,HLOOKUP(D$28,curvesettle,2,FALSE())))</f>
        <v>0</v>
      </c>
      <c r="E44" s="219" t="n">
        <f aca="false">IF(D$28="NYMEX",$AD44,$AC44)</f>
        <v>-8249</v>
      </c>
      <c r="F44" s="4" t="e">
        <f aca="false">($C44+G44)+B$15</f>
        <v>#DIV/0!</v>
      </c>
      <c r="G44" s="4" t="e">
        <f aca="false">IF(B$16=1,xCalcSkew(A44,H44-AL44,b)/100,0)</f>
        <v>#DIV/0!</v>
      </c>
      <c r="H44" s="41" t="n">
        <f aca="false">IF($B$19=4,$AL44,$B$18)</f>
        <v>2.44</v>
      </c>
      <c r="J44" s="40" t="n">
        <f aca="false">IF(J$28="nymex",0,VLOOKUP($A44,curvesettle,HLOOKUP(J$28,curvesettle,2,FALSE())))</f>
        <v>0</v>
      </c>
      <c r="K44" s="219" t="n">
        <f aca="false">IF(J$28="NYMEX",$AD44,$AC44)</f>
        <v>-8249</v>
      </c>
      <c r="L44" s="220" t="e">
        <f aca="false">($C44+M44)+D$15</f>
        <v>#DIV/0!</v>
      </c>
      <c r="M44" s="4" t="e">
        <f aca="false">IF(D$16=1,xCalcSkew($A44,N44-AW44,b)/100,0)</f>
        <v>#DIV/0!</v>
      </c>
      <c r="N44" s="41" t="n">
        <f aca="false">IF($D$19=4,$AW44,$D$18)</f>
        <v>2.44</v>
      </c>
      <c r="P44" s="40" t="n">
        <f aca="false">IF(P$28="nymex",0,VLOOKUP($A44,curvesettle,HLOOKUP(P$28,curvesettle,2,FALSE())))</f>
        <v>0</v>
      </c>
      <c r="Q44" s="219" t="n">
        <f aca="false">IF(P$28="NYMEX",$AD44,$AC44)</f>
        <v>-8249</v>
      </c>
      <c r="R44" s="220" t="e">
        <f aca="false">($C44+S44)+F$15</f>
        <v>#DIV/0!</v>
      </c>
      <c r="S44" s="4" t="e">
        <f aca="false">IF(F$16=1,xCalcSkew($A44,T44-BH44,b)/100,0)</f>
        <v>#DIV/0!</v>
      </c>
      <c r="T44" s="41" t="n">
        <f aca="false">IF($F$19=4,$BH44,$F$18)</f>
        <v>2.44</v>
      </c>
      <c r="V44" s="40" t="n">
        <f aca="false">IF(V$28="nymex",0,VLOOKUP($A44,curvesettle,HLOOKUP(V$28,curvesettle,2,FALSE())))</f>
        <v>0</v>
      </c>
      <c r="W44" s="219" t="n">
        <f aca="false">IF(V$28="NYMEX",$AD44,$AC44)</f>
        <v>-8249</v>
      </c>
      <c r="X44" s="4" t="e">
        <f aca="false">($C44+Y44)+H$15</f>
        <v>#DIV/0!</v>
      </c>
      <c r="Y44" s="4" t="e">
        <f aca="false">IF(H$16=1,xCalcSkew($A44,Z44-BS44,b)/100,0)</f>
        <v>#DIV/0!</v>
      </c>
      <c r="Z44" s="41" t="n">
        <f aca="false">IF($H$19=4,$BS44,$H$18)</f>
        <v>2.44</v>
      </c>
      <c r="AC44" s="219" t="n">
        <f aca="false">VLOOKUP($A44,expiration,2,FALSE())-$B$2</f>
        <v>-8248</v>
      </c>
      <c r="AD44" s="219" t="n">
        <f aca="false">VLOOKUP($A44,expiration,3,FALSE())-$B$2</f>
        <v>-8249</v>
      </c>
      <c r="AE44" s="4" t="n">
        <f aca="false">VLOOKUP($A44,STRADDLE,15,FALSE())</f>
        <v>0.0253610969536586</v>
      </c>
      <c r="AF44" s="43" t="n">
        <f aca="false">A45-A44</f>
        <v>31</v>
      </c>
      <c r="AG44" s="44"/>
      <c r="AH44" s="44"/>
      <c r="AI44" s="44"/>
      <c r="AJ44" s="44"/>
      <c r="AK44" s="9" t="n">
        <f aca="false">IF($A44&gt;=AL$25,IF($A44&lt;=AL$26,$AF44,0),0)</f>
        <v>0</v>
      </c>
      <c r="AL44" s="221" t="e">
        <f aca="false">AN44/AK44</f>
        <v>#DIV/0!</v>
      </c>
      <c r="AM44" s="1" t="n">
        <f aca="false">AK44*($B44+B$13)</f>
        <v>0</v>
      </c>
      <c r="AN44" s="33" t="n">
        <f aca="false">IF(ISNUMBER(((AM44/AK44)+B$14+$D44)*AK44),((AM44/AK44)+B$14+$D44)*AK44,0)</f>
        <v>0</v>
      </c>
      <c r="AO44" s="44" t="n">
        <f aca="false">IF(AK44=0,0,bsd(1,AP$27,AL44,$H44,$E44,$F44,$AE44,0.1))</f>
        <v>0</v>
      </c>
      <c r="AP44" s="44" t="n">
        <f aca="false">IF(AK44=0,0,bsd(2,AP$27,AL44,$H44,$E44,$F44,$AE44,0.1))</f>
        <v>0</v>
      </c>
      <c r="AQ44" s="44" t="n">
        <f aca="false">IF(AK44=0,0,bsd(AP$28,AP$27,AL44,$H44,$E44,$F44,$AE44,0.1))</f>
        <v>0</v>
      </c>
      <c r="AR44" s="45" t="n">
        <f aca="false">AK44*AO44</f>
        <v>0</v>
      </c>
      <c r="AS44" s="45" t="n">
        <f aca="false">AK44*AP44</f>
        <v>0</v>
      </c>
      <c r="AT44" s="45" t="n">
        <f aca="false">AK44*AQ44</f>
        <v>0</v>
      </c>
      <c r="AV44" s="9" t="n">
        <f aca="false">IF($A44&gt;=AW$25,IF($A44&lt;=AW$26,$AF44,0),0)</f>
        <v>0</v>
      </c>
      <c r="AW44" s="221" t="e">
        <f aca="false">AY44/AV44</f>
        <v>#DIV/0!</v>
      </c>
      <c r="AX44" s="1" t="n">
        <f aca="false">AV44*($B44+D$13)</f>
        <v>0</v>
      </c>
      <c r="AY44" s="33" t="n">
        <f aca="false">IF(ISNUMBER(((AX44/AV44)+D$14+$J44)*AV44),((AX44/AV44)+D$14+$J44)*AV44,0)</f>
        <v>0</v>
      </c>
      <c r="AZ44" s="44" t="n">
        <f aca="false">IF(AV44=0,0,bsd(1,BA$27,AW44,$N44,$K44,$L44,$AE44,0.1))</f>
        <v>0</v>
      </c>
      <c r="BA44" s="44" t="n">
        <f aca="false">IF(AV44=0,0,bsd(2,BA$27,AW44,$N44,$K44,$L44,$AE44,0.1))</f>
        <v>0</v>
      </c>
      <c r="BB44" s="44" t="n">
        <f aca="false">IF(AV44=0,0,bsd(BA$28,BA$27,AW44,$N44,$K44,$L44,$AE44,0.1))</f>
        <v>0</v>
      </c>
      <c r="BC44" s="45" t="n">
        <f aca="false">AV44*AZ44</f>
        <v>0</v>
      </c>
      <c r="BD44" s="45" t="n">
        <f aca="false">AV44*BA44</f>
        <v>0</v>
      </c>
      <c r="BE44" s="45" t="n">
        <f aca="false">AV44*BB44</f>
        <v>0</v>
      </c>
      <c r="BG44" s="9" t="n">
        <f aca="false">IF($A44&gt;=BH$25,IF($A44&lt;=BH$26,$AF44,0),0)</f>
        <v>0</v>
      </c>
      <c r="BH44" s="221" t="e">
        <f aca="false">BJ44/BG44</f>
        <v>#DIV/0!</v>
      </c>
      <c r="BI44" s="1" t="n">
        <f aca="false">BG44*($B44+F$13)</f>
        <v>0</v>
      </c>
      <c r="BJ44" s="33" t="n">
        <f aca="false">IF(ISNUMBER(((BI44/BG44)+F$14+$P44)*BG44),((BI44/BG44)+F$14+$P44)*BG44,0)</f>
        <v>0</v>
      </c>
      <c r="BK44" s="44" t="n">
        <f aca="false">IF(BG44=0,0,bsd(1,BL$27,BH44,$T44,$Q44,$R44,$AE44,0.1))</f>
        <v>0</v>
      </c>
      <c r="BL44" s="44" t="n">
        <f aca="false">IF(BG44=0,0,bsd(2,BL$27,BH44,$T44,$Q44,$R44,$AE44,0.1))</f>
        <v>0</v>
      </c>
      <c r="BM44" s="44" t="n">
        <f aca="false">IF(BG44=0,0,bsd(BL$28,BL$27,BH44,$T44,$Q44,$R44,$AE44,0.1))</f>
        <v>0</v>
      </c>
      <c r="BN44" s="45" t="n">
        <f aca="false">BG44*BK44</f>
        <v>0</v>
      </c>
      <c r="BO44" s="45" t="n">
        <f aca="false">BG44*BL44</f>
        <v>0</v>
      </c>
      <c r="BP44" s="45" t="n">
        <f aca="false">BG44*BM44</f>
        <v>0</v>
      </c>
      <c r="BR44" s="9" t="n">
        <f aca="false">IF($A44&gt;=BS$25,IF($A44&lt;=BS$26,$AF44,0),0)</f>
        <v>0</v>
      </c>
      <c r="BS44" s="221" t="e">
        <f aca="false">BU44/BR44</f>
        <v>#DIV/0!</v>
      </c>
      <c r="BT44" s="1" t="n">
        <f aca="false">BR44*($B44+H$13)</f>
        <v>0</v>
      </c>
      <c r="BU44" s="33" t="n">
        <f aca="false">IF(ISNUMBER(((BT44/BR44)+H$14+$V44)*BR44),((BT44/BR44)+H$14+$V44)*BR44,0)</f>
        <v>0</v>
      </c>
      <c r="BV44" s="44" t="n">
        <f aca="false">IF(BR44=0,0,bsd(1,BW$27,BS44,$Z44,$W44,$X44,$AE44,0.1))</f>
        <v>0</v>
      </c>
      <c r="BW44" s="44" t="n">
        <f aca="false">IF(BR44=0,0,bsd(2,BW$27,BS44,$Z44,$W44,$X44,$AE44,0.1))</f>
        <v>0</v>
      </c>
      <c r="BX44" s="44" t="n">
        <f aca="false">IF(BR44=0,0,bsd(BW$28,BW$27,BS44,$Z44,$W44,$X44,$AE44,0.1))</f>
        <v>0</v>
      </c>
      <c r="BY44" s="45" t="n">
        <f aca="false">BR44*BV44</f>
        <v>0</v>
      </c>
      <c r="BZ44" s="45" t="n">
        <f aca="false">BR44*BW44</f>
        <v>0</v>
      </c>
      <c r="CA44" s="45" t="n">
        <f aca="false">BR44*BX44</f>
        <v>0</v>
      </c>
    </row>
    <row r="45" customFormat="false" ht="12.75" hidden="false" customHeight="false" outlineLevel="0" collapsed="false">
      <c r="A45" s="48" t="n">
        <f aca="false">DATE(YEAR(A44),MONTH(A44)+1,1)</f>
        <v>37712</v>
      </c>
      <c r="B45" s="40" t="n">
        <f aca="false">VLOOKUP(A45,STRADDLE,5,FALSE())</f>
        <v>2.93</v>
      </c>
      <c r="C45" s="4" t="e">
        <f aca="false">VLOOKUP(A45,STRADDLE,6,FALSE())</f>
        <v>#VALUE!</v>
      </c>
      <c r="D45" s="40" t="n">
        <f aca="false">IF(D$28="nymex",0,VLOOKUP($A45,curvesettle,HLOOKUP(D$28,curvesettle,2,FALSE())))</f>
        <v>0</v>
      </c>
      <c r="E45" s="219" t="n">
        <f aca="false">IF(D$28="NYMEX",$AD45,$AC45)</f>
        <v>-8220</v>
      </c>
      <c r="F45" s="4" t="e">
        <f aca="false">($C45+G45)+B$15</f>
        <v>#DIV/0!</v>
      </c>
      <c r="G45" s="4" t="e">
        <f aca="false">IF(B$16=1,xCalcSkew(A45,H45-AL45,b)/100,0)</f>
        <v>#DIV/0!</v>
      </c>
      <c r="H45" s="41" t="n">
        <f aca="false">IF($B$19=4,$AL45,$B$18)</f>
        <v>2.44</v>
      </c>
      <c r="J45" s="40" t="n">
        <f aca="false">IF(J$28="nymex",0,VLOOKUP($A45,curvesettle,HLOOKUP(J$28,curvesettle,2,FALSE())))</f>
        <v>0</v>
      </c>
      <c r="K45" s="219" t="n">
        <f aca="false">IF(J$28="NYMEX",$AD45,$AC45)</f>
        <v>-8220</v>
      </c>
      <c r="L45" s="220" t="e">
        <f aca="false">($C45+M45)+D$15</f>
        <v>#DIV/0!</v>
      </c>
      <c r="M45" s="4" t="e">
        <f aca="false">IF(D$16=1,xCalcSkew($A45,N45-AW45,b)/100,0)</f>
        <v>#DIV/0!</v>
      </c>
      <c r="N45" s="41" t="n">
        <f aca="false">IF($D$19=4,$AW45,$D$18)</f>
        <v>2.44</v>
      </c>
      <c r="P45" s="40" t="n">
        <f aca="false">IF(P$28="nymex",0,VLOOKUP($A45,curvesettle,HLOOKUP(P$28,curvesettle,2,FALSE())))</f>
        <v>0</v>
      </c>
      <c r="Q45" s="219" t="n">
        <f aca="false">IF(P$28="NYMEX",$AD45,$AC45)</f>
        <v>-8220</v>
      </c>
      <c r="R45" s="220" t="e">
        <f aca="false">($C45+S45)+F$15</f>
        <v>#DIV/0!</v>
      </c>
      <c r="S45" s="4" t="e">
        <f aca="false">IF(F$16=1,xCalcSkew($A45,T45-BH45,b)/100,0)</f>
        <v>#DIV/0!</v>
      </c>
      <c r="T45" s="41" t="n">
        <f aca="false">IF($F$19=4,$BH45,$F$18)</f>
        <v>2.44</v>
      </c>
      <c r="V45" s="40" t="n">
        <f aca="false">IF(V$28="nymex",0,VLOOKUP($A45,curvesettle,HLOOKUP(V$28,curvesettle,2,FALSE())))</f>
        <v>0</v>
      </c>
      <c r="W45" s="219" t="n">
        <f aca="false">IF(V$28="NYMEX",$AD45,$AC45)</f>
        <v>-8220</v>
      </c>
      <c r="X45" s="4" t="e">
        <f aca="false">($C45+Y45)+H$15</f>
        <v>#DIV/0!</v>
      </c>
      <c r="Y45" s="4" t="e">
        <f aca="false">IF(H$16=1,xCalcSkew($A45,Z45-BS45,b)/100,0)</f>
        <v>#DIV/0!</v>
      </c>
      <c r="Z45" s="41" t="n">
        <f aca="false">IF($H$19=4,$BS45,$H$18)</f>
        <v>2.44</v>
      </c>
      <c r="AC45" s="219" t="n">
        <f aca="false">VLOOKUP($A45,expiration,2,FALSE())-$B$2</f>
        <v>-8219</v>
      </c>
      <c r="AD45" s="219" t="n">
        <f aca="false">VLOOKUP($A45,expiration,3,FALSE())-$B$2</f>
        <v>-8220</v>
      </c>
      <c r="AE45" s="4" t="n">
        <f aca="false">VLOOKUP($A45,STRADDLE,15,FALSE())</f>
        <v>0.0261517624519518</v>
      </c>
      <c r="AF45" s="43" t="n">
        <f aca="false">A46-A45</f>
        <v>30</v>
      </c>
      <c r="AG45" s="44"/>
      <c r="AH45" s="44"/>
      <c r="AI45" s="44"/>
      <c r="AJ45" s="44"/>
      <c r="AK45" s="9" t="n">
        <f aca="false">IF($A45&gt;=AL$25,IF($A45&lt;=AL$26,$AF45,0),0)</f>
        <v>0</v>
      </c>
      <c r="AL45" s="221" t="e">
        <f aca="false">AN45/AK45</f>
        <v>#DIV/0!</v>
      </c>
      <c r="AM45" s="1" t="n">
        <f aca="false">AK45*($B45+B$13)</f>
        <v>0</v>
      </c>
      <c r="AN45" s="33" t="n">
        <f aca="false">IF(ISNUMBER(((AM45/AK45)+B$14+$D45)*AK45),((AM45/AK45)+B$14+$D45)*AK45,0)</f>
        <v>0</v>
      </c>
      <c r="AO45" s="44" t="n">
        <f aca="false">IF(AK45=0,0,bsd(1,AP$27,AL45,$H45,$E45,$F45,$AE45,0.1))</f>
        <v>0</v>
      </c>
      <c r="AP45" s="44" t="n">
        <f aca="false">IF(AK45=0,0,bsd(2,AP$27,AL45,$H45,$E45,$F45,$AE45,0.1))</f>
        <v>0</v>
      </c>
      <c r="AQ45" s="44" t="n">
        <f aca="false">IF(AK45=0,0,bsd(AP$28,AP$27,AL45,$H45,$E45,$F45,$AE45,0.1))</f>
        <v>0</v>
      </c>
      <c r="AR45" s="45" t="n">
        <f aca="false">AK45*AO45</f>
        <v>0</v>
      </c>
      <c r="AS45" s="45" t="n">
        <f aca="false">AK45*AP45</f>
        <v>0</v>
      </c>
      <c r="AT45" s="45" t="n">
        <f aca="false">AK45*AQ45</f>
        <v>0</v>
      </c>
      <c r="AV45" s="9" t="n">
        <f aca="false">IF($A45&gt;=AW$25,IF($A45&lt;=AW$26,$AF45,0),0)</f>
        <v>0</v>
      </c>
      <c r="AW45" s="221" t="e">
        <f aca="false">AY45/AV45</f>
        <v>#DIV/0!</v>
      </c>
      <c r="AX45" s="1" t="n">
        <f aca="false">AV45*($B45+D$13)</f>
        <v>0</v>
      </c>
      <c r="AY45" s="33" t="n">
        <f aca="false">IF(ISNUMBER(((AX45/AV45)+D$14+$J45)*AV45),((AX45/AV45)+D$14+$J45)*AV45,0)</f>
        <v>0</v>
      </c>
      <c r="AZ45" s="44" t="n">
        <f aca="false">IF(AV45=0,0,bsd(1,BA$27,AW45,$N45,$K45,$L45,$AE45,0.1))</f>
        <v>0</v>
      </c>
      <c r="BA45" s="44" t="n">
        <f aca="false">IF(AV45=0,0,bsd(2,BA$27,AW45,$N45,$K45,$L45,$AE45,0.1))</f>
        <v>0</v>
      </c>
      <c r="BB45" s="44" t="n">
        <f aca="false">IF(AV45=0,0,bsd(BA$28,BA$27,AW45,$N45,$K45,$L45,$AE45,0.1))</f>
        <v>0</v>
      </c>
      <c r="BC45" s="45" t="n">
        <f aca="false">AV45*AZ45</f>
        <v>0</v>
      </c>
      <c r="BD45" s="45" t="n">
        <f aca="false">AV45*BA45</f>
        <v>0</v>
      </c>
      <c r="BE45" s="45" t="n">
        <f aca="false">AV45*BB45</f>
        <v>0</v>
      </c>
      <c r="BG45" s="9" t="n">
        <f aca="false">IF($A45&gt;=BH$25,IF($A45&lt;=BH$26,$AF45,0),0)</f>
        <v>0</v>
      </c>
      <c r="BH45" s="221" t="e">
        <f aca="false">BJ45/BG45</f>
        <v>#DIV/0!</v>
      </c>
      <c r="BI45" s="1" t="n">
        <f aca="false">BG45*($B45+F$13)</f>
        <v>0</v>
      </c>
      <c r="BJ45" s="33" t="n">
        <f aca="false">IF(ISNUMBER(((BI45/BG45)+F$14+$P45)*BG45),((BI45/BG45)+F$14+$P45)*BG45,0)</f>
        <v>0</v>
      </c>
      <c r="BK45" s="44" t="n">
        <f aca="false">IF(BG45=0,0,bsd(1,BL$27,BH45,$T45,$Q45,$R45,$AE45,0.1))</f>
        <v>0</v>
      </c>
      <c r="BL45" s="44" t="n">
        <f aca="false">IF(BG45=0,0,bsd(2,BL$27,BH45,$T45,$Q45,$R45,$AE45,0.1))</f>
        <v>0</v>
      </c>
      <c r="BM45" s="44" t="n">
        <f aca="false">IF(BG45=0,0,bsd(BL$28,BL$27,BH45,$T45,$Q45,$R45,$AE45,0.1))</f>
        <v>0</v>
      </c>
      <c r="BN45" s="45" t="n">
        <f aca="false">BG45*BK45</f>
        <v>0</v>
      </c>
      <c r="BO45" s="45" t="n">
        <f aca="false">BG45*BL45</f>
        <v>0</v>
      </c>
      <c r="BP45" s="45" t="n">
        <f aca="false">BG45*BM45</f>
        <v>0</v>
      </c>
      <c r="BR45" s="9" t="n">
        <f aca="false">IF($A45&gt;=BS$25,IF($A45&lt;=BS$26,$AF45,0),0)</f>
        <v>0</v>
      </c>
      <c r="BS45" s="221" t="e">
        <f aca="false">BU45/BR45</f>
        <v>#DIV/0!</v>
      </c>
      <c r="BT45" s="1" t="n">
        <f aca="false">BR45*($B45+H$13)</f>
        <v>0</v>
      </c>
      <c r="BU45" s="33" t="n">
        <f aca="false">IF(ISNUMBER(((BT45/BR45)+H$14+$V45)*BR45),((BT45/BR45)+H$14+$V45)*BR45,0)</f>
        <v>0</v>
      </c>
      <c r="BV45" s="44" t="n">
        <f aca="false">IF(BR45=0,0,bsd(1,BW$27,BS45,$Z45,$W45,$X45,$AE45,0.1))</f>
        <v>0</v>
      </c>
      <c r="BW45" s="44" t="n">
        <f aca="false">IF(BR45=0,0,bsd(2,BW$27,BS45,$Z45,$W45,$X45,$AE45,0.1))</f>
        <v>0</v>
      </c>
      <c r="BX45" s="44" t="n">
        <f aca="false">IF(BR45=0,0,bsd(BW$28,BW$27,BS45,$Z45,$W45,$X45,$AE45,0.1))</f>
        <v>0</v>
      </c>
      <c r="BY45" s="45" t="n">
        <f aca="false">BR45*BV45</f>
        <v>0</v>
      </c>
      <c r="BZ45" s="45" t="n">
        <f aca="false">BR45*BW45</f>
        <v>0</v>
      </c>
      <c r="CA45" s="45" t="n">
        <f aca="false">BR45*BX45</f>
        <v>0</v>
      </c>
    </row>
    <row r="46" customFormat="false" ht="12.75" hidden="false" customHeight="false" outlineLevel="0" collapsed="false">
      <c r="A46" s="48" t="n">
        <f aca="false">DATE(YEAR(A45),MONTH(A45)+1,1)</f>
        <v>37742</v>
      </c>
      <c r="B46" s="40" t="n">
        <f aca="false">VLOOKUP(A46,STRADDLE,5,FALSE())</f>
        <v>2.94</v>
      </c>
      <c r="C46" s="4" t="e">
        <f aca="false">VLOOKUP(A46,STRADDLE,6,FALSE())</f>
        <v>#VALUE!</v>
      </c>
      <c r="D46" s="40" t="n">
        <f aca="false">IF(D$28="nymex",0,VLOOKUP($A46,curvesettle,HLOOKUP(D$28,curvesettle,2,FALSE())))</f>
        <v>0</v>
      </c>
      <c r="E46" s="219" t="n">
        <f aca="false">IF(D$28="NYMEX",$AD46,$AC46)</f>
        <v>-8190</v>
      </c>
      <c r="F46" s="4" t="e">
        <f aca="false">($C46+G46)+B$15</f>
        <v>#DIV/0!</v>
      </c>
      <c r="G46" s="4" t="e">
        <f aca="false">IF(B$16=1,xCalcSkew(A46,H46-AL46,b)/100,0)</f>
        <v>#DIV/0!</v>
      </c>
      <c r="H46" s="41" t="n">
        <f aca="false">IF($B$19=4,$AL46,$B$18)</f>
        <v>2.44</v>
      </c>
      <c r="J46" s="40" t="n">
        <f aca="false">IF(J$28="nymex",0,VLOOKUP($A46,curvesettle,HLOOKUP(J$28,curvesettle,2,FALSE())))</f>
        <v>0</v>
      </c>
      <c r="K46" s="219" t="n">
        <f aca="false">IF(J$28="NYMEX",$AD46,$AC46)</f>
        <v>-8190</v>
      </c>
      <c r="L46" s="220" t="e">
        <f aca="false">($C46+M46)+D$15</f>
        <v>#DIV/0!</v>
      </c>
      <c r="M46" s="4" t="e">
        <f aca="false">IF(D$16=1,xCalcSkew($A46,N46-AW46,b)/100,0)</f>
        <v>#DIV/0!</v>
      </c>
      <c r="N46" s="41" t="n">
        <f aca="false">IF($D$19=4,$AW46,$D$18)</f>
        <v>2.44</v>
      </c>
      <c r="P46" s="40" t="n">
        <f aca="false">IF(P$28="nymex",0,VLOOKUP($A46,curvesettle,HLOOKUP(P$28,curvesettle,2,FALSE())))</f>
        <v>0</v>
      </c>
      <c r="Q46" s="219" t="n">
        <f aca="false">IF(P$28="NYMEX",$AD46,$AC46)</f>
        <v>-8190</v>
      </c>
      <c r="R46" s="220" t="e">
        <f aca="false">($C46+S46)+F$15</f>
        <v>#DIV/0!</v>
      </c>
      <c r="S46" s="4" t="e">
        <f aca="false">IF(F$16=1,xCalcSkew($A46,T46-BH46,b)/100,0)</f>
        <v>#DIV/0!</v>
      </c>
      <c r="T46" s="41" t="n">
        <f aca="false">IF($F$19=4,$BH46,$F$18)</f>
        <v>2.44</v>
      </c>
      <c r="V46" s="40" t="n">
        <f aca="false">IF(V$28="nymex",0,VLOOKUP($A46,curvesettle,HLOOKUP(V$28,curvesettle,2,FALSE())))</f>
        <v>0</v>
      </c>
      <c r="W46" s="219" t="n">
        <f aca="false">IF(V$28="NYMEX",$AD46,$AC46)</f>
        <v>-8190</v>
      </c>
      <c r="X46" s="4" t="e">
        <f aca="false">($C46+Y46)+H$15</f>
        <v>#DIV/0!</v>
      </c>
      <c r="Y46" s="4" t="e">
        <f aca="false">IF(H$16=1,xCalcSkew($A46,Z46-BS46,b)/100,0)</f>
        <v>#DIV/0!</v>
      </c>
      <c r="Z46" s="41" t="n">
        <f aca="false">IF($H$19=4,$BS46,$H$18)</f>
        <v>2.44</v>
      </c>
      <c r="AC46" s="219" t="n">
        <f aca="false">VLOOKUP($A46,expiration,2,FALSE())-$B$2</f>
        <v>-8187</v>
      </c>
      <c r="AD46" s="219" t="n">
        <f aca="false">VLOOKUP($A46,expiration,3,FALSE())-$B$2</f>
        <v>-8190</v>
      </c>
      <c r="AE46" s="4" t="n">
        <f aca="false">VLOOKUP($A46,STRADDLE,15,FALSE())</f>
        <v>0.0270235470347737</v>
      </c>
      <c r="AF46" s="43" t="n">
        <f aca="false">A47-A46</f>
        <v>31</v>
      </c>
      <c r="AG46" s="44"/>
      <c r="AH46" s="44"/>
      <c r="AI46" s="44"/>
      <c r="AJ46" s="44"/>
      <c r="AK46" s="9" t="n">
        <f aca="false">IF($A46&gt;=AL$25,IF($A46&lt;=AL$26,$AF46,0),0)</f>
        <v>0</v>
      </c>
      <c r="AL46" s="221" t="e">
        <f aca="false">AN46/AK46</f>
        <v>#DIV/0!</v>
      </c>
      <c r="AM46" s="1" t="n">
        <f aca="false">AK46*($B46+B$13)</f>
        <v>0</v>
      </c>
      <c r="AN46" s="33" t="n">
        <f aca="false">IF(ISNUMBER(((AM46/AK46)+B$14+$D46)*AK46),((AM46/AK46)+B$14+$D46)*AK46,0)</f>
        <v>0</v>
      </c>
      <c r="AO46" s="44" t="n">
        <f aca="false">IF(AK46=0,0,bsd(1,AP$27,AL46,$H46,$E46,$F46,$AE46,0.1))</f>
        <v>0</v>
      </c>
      <c r="AP46" s="44" t="n">
        <f aca="false">IF(AK46=0,0,bsd(2,AP$27,AL46,$H46,$E46,$F46,$AE46,0.1))</f>
        <v>0</v>
      </c>
      <c r="AQ46" s="44" t="n">
        <f aca="false">IF(AK46=0,0,bsd(AP$28,AP$27,AL46,$H46,$E46,$F46,$AE46,0.1))</f>
        <v>0</v>
      </c>
      <c r="AR46" s="45" t="n">
        <f aca="false">AK46*AO46</f>
        <v>0</v>
      </c>
      <c r="AS46" s="45" t="n">
        <f aca="false">AK46*AP46</f>
        <v>0</v>
      </c>
      <c r="AT46" s="45" t="n">
        <f aca="false">AK46*AQ46</f>
        <v>0</v>
      </c>
      <c r="AV46" s="9" t="n">
        <f aca="false">IF($A46&gt;=AW$25,IF($A46&lt;=AW$26,$AF46,0),0)</f>
        <v>0</v>
      </c>
      <c r="AW46" s="221" t="e">
        <f aca="false">AY46/AV46</f>
        <v>#DIV/0!</v>
      </c>
      <c r="AX46" s="1" t="n">
        <f aca="false">AV46*($B46+D$13)</f>
        <v>0</v>
      </c>
      <c r="AY46" s="33" t="n">
        <f aca="false">IF(ISNUMBER(((AX46/AV46)+D$14+$J46)*AV46),((AX46/AV46)+D$14+$J46)*AV46,0)</f>
        <v>0</v>
      </c>
      <c r="AZ46" s="44" t="n">
        <f aca="false">IF(AV46=0,0,bsd(1,BA$27,AW46,$N46,$K46,$L46,$AE46,0.1))</f>
        <v>0</v>
      </c>
      <c r="BA46" s="44" t="n">
        <f aca="false">IF(AV46=0,0,bsd(2,BA$27,AW46,$N46,$K46,$L46,$AE46,0.1))</f>
        <v>0</v>
      </c>
      <c r="BB46" s="44" t="n">
        <f aca="false">IF(AV46=0,0,bsd(BA$28,BA$27,AW46,$N46,$K46,$L46,$AE46,0.1))</f>
        <v>0</v>
      </c>
      <c r="BC46" s="45" t="n">
        <f aca="false">AV46*AZ46</f>
        <v>0</v>
      </c>
      <c r="BD46" s="45" t="n">
        <f aca="false">AV46*BA46</f>
        <v>0</v>
      </c>
      <c r="BE46" s="45" t="n">
        <f aca="false">AV46*BB46</f>
        <v>0</v>
      </c>
      <c r="BG46" s="9" t="n">
        <f aca="false">IF($A46&gt;=BH$25,IF($A46&lt;=BH$26,$AF46,0),0)</f>
        <v>0</v>
      </c>
      <c r="BH46" s="221" t="e">
        <f aca="false">BJ46/BG46</f>
        <v>#DIV/0!</v>
      </c>
      <c r="BI46" s="1" t="n">
        <f aca="false">BG46*($B46+F$13)</f>
        <v>0</v>
      </c>
      <c r="BJ46" s="33" t="n">
        <f aca="false">IF(ISNUMBER(((BI46/BG46)+F$14+$P46)*BG46),((BI46/BG46)+F$14+$P46)*BG46,0)</f>
        <v>0</v>
      </c>
      <c r="BK46" s="44" t="n">
        <f aca="false">IF(BG46=0,0,bsd(1,BL$27,BH46,$T46,$Q46,$R46,$AE46,0.1))</f>
        <v>0</v>
      </c>
      <c r="BL46" s="44" t="n">
        <f aca="false">IF(BG46=0,0,bsd(2,BL$27,BH46,$T46,$Q46,$R46,$AE46,0.1))</f>
        <v>0</v>
      </c>
      <c r="BM46" s="44" t="n">
        <f aca="false">IF(BG46=0,0,bsd(BL$28,BL$27,BH46,$T46,$Q46,$R46,$AE46,0.1))</f>
        <v>0</v>
      </c>
      <c r="BN46" s="45" t="n">
        <f aca="false">BG46*BK46</f>
        <v>0</v>
      </c>
      <c r="BO46" s="45" t="n">
        <f aca="false">BG46*BL46</f>
        <v>0</v>
      </c>
      <c r="BP46" s="45" t="n">
        <f aca="false">BG46*BM46</f>
        <v>0</v>
      </c>
      <c r="BR46" s="9" t="n">
        <f aca="false">IF($A46&gt;=BS$25,IF($A46&lt;=BS$26,$AF46,0),0)</f>
        <v>0</v>
      </c>
      <c r="BS46" s="221" t="e">
        <f aca="false">BU46/BR46</f>
        <v>#DIV/0!</v>
      </c>
      <c r="BT46" s="1" t="n">
        <f aca="false">BR46*($B46+H$13)</f>
        <v>0</v>
      </c>
      <c r="BU46" s="33" t="n">
        <f aca="false">IF(ISNUMBER(((BT46/BR46)+H$14+$V46)*BR46),((BT46/BR46)+H$14+$V46)*BR46,0)</f>
        <v>0</v>
      </c>
      <c r="BV46" s="44" t="n">
        <f aca="false">IF(BR46=0,0,bsd(1,BW$27,BS46,$Z46,$W46,$X46,$AE46,0.1))</f>
        <v>0</v>
      </c>
      <c r="BW46" s="44" t="n">
        <f aca="false">IF(BR46=0,0,bsd(2,BW$27,BS46,$Z46,$W46,$X46,$AE46,0.1))</f>
        <v>0</v>
      </c>
      <c r="BX46" s="44" t="n">
        <f aca="false">IF(BR46=0,0,bsd(BW$28,BW$27,BS46,$Z46,$W46,$X46,$AE46,0.1))</f>
        <v>0</v>
      </c>
      <c r="BY46" s="45" t="n">
        <f aca="false">BR46*BV46</f>
        <v>0</v>
      </c>
      <c r="BZ46" s="45" t="n">
        <f aca="false">BR46*BW46</f>
        <v>0</v>
      </c>
      <c r="CA46" s="45" t="n">
        <f aca="false">BR46*BX46</f>
        <v>0</v>
      </c>
    </row>
    <row r="47" customFormat="false" ht="12.75" hidden="false" customHeight="false" outlineLevel="0" collapsed="false">
      <c r="A47" s="48" t="n">
        <f aca="false">DATE(YEAR(A46),MONTH(A46)+1,1)</f>
        <v>37773</v>
      </c>
      <c r="B47" s="40" t="n">
        <f aca="false">VLOOKUP(A47,STRADDLE,5,FALSE())</f>
        <v>2.923</v>
      </c>
      <c r="C47" s="4" t="e">
        <f aca="false">VLOOKUP(A47,STRADDLE,6,FALSE())</f>
        <v>#VALUE!</v>
      </c>
      <c r="D47" s="40" t="n">
        <f aca="false">IF(D$28="nymex",0,VLOOKUP($A47,curvesettle,HLOOKUP(D$28,curvesettle,2,FALSE())))</f>
        <v>0</v>
      </c>
      <c r="E47" s="219" t="n">
        <f aca="false">IF(D$28="NYMEX",$AD47,$AC47)</f>
        <v>-8158</v>
      </c>
      <c r="F47" s="4" t="e">
        <f aca="false">($C47+G47)+B$15</f>
        <v>#DIV/0!</v>
      </c>
      <c r="G47" s="4" t="e">
        <f aca="false">IF(B$16=1,xCalcSkew(A47,H47-AL47,b)/100,0)</f>
        <v>#DIV/0!</v>
      </c>
      <c r="H47" s="41" t="n">
        <f aca="false">IF($B$19=4,$AL47,$B$18)</f>
        <v>2.44</v>
      </c>
      <c r="J47" s="40" t="n">
        <f aca="false">IF(J$28="nymex",0,VLOOKUP($A47,curvesettle,HLOOKUP(J$28,curvesettle,2,FALSE())))</f>
        <v>0</v>
      </c>
      <c r="K47" s="219" t="n">
        <f aca="false">IF(J$28="NYMEX",$AD47,$AC47)</f>
        <v>-8158</v>
      </c>
      <c r="L47" s="220" t="e">
        <f aca="false">($C47+M47)+D$15</f>
        <v>#DIV/0!</v>
      </c>
      <c r="M47" s="4" t="e">
        <f aca="false">IF(D$16=1,xCalcSkew($A47,N47-AW47,b)/100,0)</f>
        <v>#DIV/0!</v>
      </c>
      <c r="N47" s="41" t="n">
        <f aca="false">IF($D$19=4,$AW47,$D$18)</f>
        <v>2.44</v>
      </c>
      <c r="P47" s="40" t="n">
        <f aca="false">IF(P$28="nymex",0,VLOOKUP($A47,curvesettle,HLOOKUP(P$28,curvesettle,2,FALSE())))</f>
        <v>0</v>
      </c>
      <c r="Q47" s="219" t="n">
        <f aca="false">IF(P$28="NYMEX",$AD47,$AC47)</f>
        <v>-8158</v>
      </c>
      <c r="R47" s="220" t="e">
        <f aca="false">($C47+S47)+F$15</f>
        <v>#DIV/0!</v>
      </c>
      <c r="S47" s="4" t="e">
        <f aca="false">IF(F$16=1,xCalcSkew($A47,T47-BH47,b)/100,0)</f>
        <v>#DIV/0!</v>
      </c>
      <c r="T47" s="41" t="n">
        <f aca="false">IF($F$19=4,$BH47,$F$18)</f>
        <v>2.44</v>
      </c>
      <c r="V47" s="40" t="n">
        <f aca="false">IF(V$28="nymex",0,VLOOKUP($A47,curvesettle,HLOOKUP(V$28,curvesettle,2,FALSE())))</f>
        <v>0</v>
      </c>
      <c r="W47" s="219" t="n">
        <f aca="false">IF(V$28="NYMEX",$AD47,$AC47)</f>
        <v>-8158</v>
      </c>
      <c r="X47" s="4" t="e">
        <f aca="false">($C47+Y47)+H$15</f>
        <v>#DIV/0!</v>
      </c>
      <c r="Y47" s="4" t="e">
        <f aca="false">IF(H$16=1,xCalcSkew($A47,Z47-BS47,b)/100,0)</f>
        <v>#DIV/0!</v>
      </c>
      <c r="Z47" s="41" t="n">
        <f aca="false">IF($H$19=4,$BS47,$H$18)</f>
        <v>2.44</v>
      </c>
      <c r="AC47" s="219" t="n">
        <f aca="false">VLOOKUP($A47,expiration,2,FALSE())-$B$2</f>
        <v>-8157</v>
      </c>
      <c r="AD47" s="219" t="n">
        <f aca="false">VLOOKUP($A47,expiration,3,FALSE())-$B$2</f>
        <v>-8158</v>
      </c>
      <c r="AE47" s="4" t="n">
        <f aca="false">VLOOKUP($A47,STRADDLE,15,FALSE())</f>
        <v>0.0278505455310585</v>
      </c>
      <c r="AF47" s="43" t="n">
        <f aca="false">A48-A47</f>
        <v>30</v>
      </c>
      <c r="AG47" s="44"/>
      <c r="AH47" s="44"/>
      <c r="AI47" s="44"/>
      <c r="AJ47" s="44"/>
      <c r="AK47" s="9" t="n">
        <f aca="false">IF($A47&gt;=AL$25,IF($A47&lt;=AL$26,$AF47,0),0)</f>
        <v>0</v>
      </c>
      <c r="AL47" s="221" t="e">
        <f aca="false">AN47/AK47</f>
        <v>#DIV/0!</v>
      </c>
      <c r="AM47" s="1" t="n">
        <f aca="false">AK47*($B47+B$13)</f>
        <v>0</v>
      </c>
      <c r="AN47" s="33" t="n">
        <f aca="false">IF(ISNUMBER(((AM47/AK47)+B$14+$D47)*AK47),((AM47/AK47)+B$14+$D47)*AK47,0)</f>
        <v>0</v>
      </c>
      <c r="AO47" s="44" t="n">
        <f aca="false">IF(AK47=0,0,bsd(1,AP$27,AL47,$H47,$E47,$F47,$AE47,0.1))</f>
        <v>0</v>
      </c>
      <c r="AP47" s="44" t="n">
        <f aca="false">IF(AK47=0,0,bsd(2,AP$27,AL47,$H47,$E47,$F47,$AE47,0.1))</f>
        <v>0</v>
      </c>
      <c r="AQ47" s="44" t="n">
        <f aca="false">IF(AK47=0,0,bsd(AP$28,AP$27,AL47,$H47,$E47,$F47,$AE47,0.1))</f>
        <v>0</v>
      </c>
      <c r="AR47" s="45" t="n">
        <f aca="false">AK47*AO47</f>
        <v>0</v>
      </c>
      <c r="AS47" s="45" t="n">
        <f aca="false">AK47*AP47</f>
        <v>0</v>
      </c>
      <c r="AT47" s="45" t="n">
        <f aca="false">AK47*AQ47</f>
        <v>0</v>
      </c>
      <c r="AV47" s="9" t="n">
        <f aca="false">IF($A47&gt;=AW$25,IF($A47&lt;=AW$26,$AF47,0),0)</f>
        <v>0</v>
      </c>
      <c r="AW47" s="221" t="e">
        <f aca="false">AY47/AV47</f>
        <v>#DIV/0!</v>
      </c>
      <c r="AX47" s="1" t="n">
        <f aca="false">AV47*($B47+D$13)</f>
        <v>0</v>
      </c>
      <c r="AY47" s="33" t="n">
        <f aca="false">IF(ISNUMBER(((AX47/AV47)+D$14+$J47)*AV47),((AX47/AV47)+D$14+$J47)*AV47,0)</f>
        <v>0</v>
      </c>
      <c r="AZ47" s="44" t="n">
        <f aca="false">IF(AV47=0,0,bsd(1,BA$27,AW47,$N47,$K47,$L47,$AE47,0.1))</f>
        <v>0</v>
      </c>
      <c r="BA47" s="44" t="n">
        <f aca="false">IF(AV47=0,0,bsd(2,BA$27,AW47,$N47,$K47,$L47,$AE47,0.1))</f>
        <v>0</v>
      </c>
      <c r="BB47" s="44" t="n">
        <f aca="false">IF(AV47=0,0,bsd(BA$28,BA$27,AW47,$N47,$K47,$L47,$AE47,0.1))</f>
        <v>0</v>
      </c>
      <c r="BC47" s="45" t="n">
        <f aca="false">AV47*AZ47</f>
        <v>0</v>
      </c>
      <c r="BD47" s="45" t="n">
        <f aca="false">AV47*BA47</f>
        <v>0</v>
      </c>
      <c r="BE47" s="45" t="n">
        <f aca="false">AV47*BB47</f>
        <v>0</v>
      </c>
      <c r="BG47" s="9" t="n">
        <f aca="false">IF($A47&gt;=BH$25,IF($A47&lt;=BH$26,$AF47,0),0)</f>
        <v>0</v>
      </c>
      <c r="BH47" s="221" t="e">
        <f aca="false">BJ47/BG47</f>
        <v>#DIV/0!</v>
      </c>
      <c r="BI47" s="1" t="n">
        <f aca="false">BG47*($B47+F$13)</f>
        <v>0</v>
      </c>
      <c r="BJ47" s="33" t="n">
        <f aca="false">IF(ISNUMBER(((BI47/BG47)+F$14+$P47)*BG47),((BI47/BG47)+F$14+$P47)*BG47,0)</f>
        <v>0</v>
      </c>
      <c r="BK47" s="44" t="n">
        <f aca="false">IF(BG47=0,0,bsd(1,BL$27,BH47,$T47,$Q47,$R47,$AE47,0.1))</f>
        <v>0</v>
      </c>
      <c r="BL47" s="44" t="n">
        <f aca="false">IF(BG47=0,0,bsd(2,BL$27,BH47,$T47,$Q47,$R47,$AE47,0.1))</f>
        <v>0</v>
      </c>
      <c r="BM47" s="44" t="n">
        <f aca="false">IF(BG47=0,0,bsd(BL$28,BL$27,BH47,$T47,$Q47,$R47,$AE47,0.1))</f>
        <v>0</v>
      </c>
      <c r="BN47" s="45" t="n">
        <f aca="false">BG47*BK47</f>
        <v>0</v>
      </c>
      <c r="BO47" s="45" t="n">
        <f aca="false">BG47*BL47</f>
        <v>0</v>
      </c>
      <c r="BP47" s="45" t="n">
        <f aca="false">BG47*BM47</f>
        <v>0</v>
      </c>
      <c r="BR47" s="9" t="n">
        <f aca="false">IF($A47&gt;=BS$25,IF($A47&lt;=BS$26,$AF47,0),0)</f>
        <v>0</v>
      </c>
      <c r="BS47" s="221" t="e">
        <f aca="false">BU47/BR47</f>
        <v>#DIV/0!</v>
      </c>
      <c r="BT47" s="1" t="n">
        <f aca="false">BR47*($B47+H$13)</f>
        <v>0</v>
      </c>
      <c r="BU47" s="33" t="n">
        <f aca="false">IF(ISNUMBER(((BT47/BR47)+H$14+$V47)*BR47),((BT47/BR47)+H$14+$V47)*BR47,0)</f>
        <v>0</v>
      </c>
      <c r="BV47" s="44" t="n">
        <f aca="false">IF(BR47=0,0,bsd(1,BW$27,BS47,$Z47,$W47,$X47,$AE47,0.1))</f>
        <v>0</v>
      </c>
      <c r="BW47" s="44" t="n">
        <f aca="false">IF(BR47=0,0,bsd(2,BW$27,BS47,$Z47,$W47,$X47,$AE47,0.1))</f>
        <v>0</v>
      </c>
      <c r="BX47" s="44" t="n">
        <f aca="false">IF(BR47=0,0,bsd(BW$28,BW$27,BS47,$Z47,$W47,$X47,$AE47,0.1))</f>
        <v>0</v>
      </c>
      <c r="BY47" s="45" t="n">
        <f aca="false">BR47*BV47</f>
        <v>0</v>
      </c>
      <c r="BZ47" s="45" t="n">
        <f aca="false">BR47*BW47</f>
        <v>0</v>
      </c>
      <c r="CA47" s="45" t="n">
        <f aca="false">BR47*BX47</f>
        <v>0</v>
      </c>
    </row>
    <row r="48" customFormat="false" ht="12.75" hidden="false" customHeight="false" outlineLevel="0" collapsed="false">
      <c r="A48" s="48" t="n">
        <f aca="false">DATE(YEAR(A47),MONTH(A47)+1,1)</f>
        <v>37803</v>
      </c>
      <c r="B48" s="40" t="n">
        <f aca="false">VLOOKUP(A48,STRADDLE,5,FALSE())</f>
        <v>3.035</v>
      </c>
      <c r="C48" s="4" t="e">
        <f aca="false">VLOOKUP(A48,STRADDLE,6,FALSE())</f>
        <v>#VALUE!</v>
      </c>
      <c r="D48" s="40" t="n">
        <f aca="false">IF(D$28="nymex",0,VLOOKUP($A48,curvesettle,HLOOKUP(D$28,curvesettle,2,FALSE())))</f>
        <v>0</v>
      </c>
      <c r="E48" s="219" t="n">
        <f aca="false">IF(D$28="NYMEX",$AD48,$AC48)</f>
        <v>-8129</v>
      </c>
      <c r="F48" s="4" t="e">
        <f aca="false">($C48+G48)+B$15</f>
        <v>#DIV/0!</v>
      </c>
      <c r="G48" s="4" t="e">
        <f aca="false">IF(B$16=1,xCalcSkew(A48,H48-AL48,b)/100,0)</f>
        <v>#DIV/0!</v>
      </c>
      <c r="H48" s="41" t="n">
        <f aca="false">IF($B$19=4,$AL48,$B$18)</f>
        <v>2.44</v>
      </c>
      <c r="J48" s="40" t="n">
        <f aca="false">IF(J$28="nymex",0,VLOOKUP($A48,curvesettle,HLOOKUP(J$28,curvesettle,2,FALSE())))</f>
        <v>0</v>
      </c>
      <c r="K48" s="219" t="n">
        <f aca="false">IF(J$28="NYMEX",$AD48,$AC48)</f>
        <v>-8129</v>
      </c>
      <c r="L48" s="220" t="e">
        <f aca="false">($C48+M48)+D$15</f>
        <v>#DIV/0!</v>
      </c>
      <c r="M48" s="4" t="e">
        <f aca="false">IF(D$16=1,xCalcSkew($A48,N48-AW48,b)/100,0)</f>
        <v>#DIV/0!</v>
      </c>
      <c r="N48" s="41" t="n">
        <f aca="false">IF($D$19=4,$AW48,$D$18)</f>
        <v>2.44</v>
      </c>
      <c r="P48" s="40" t="n">
        <f aca="false">IF(P$28="nymex",0,VLOOKUP($A48,curvesettle,HLOOKUP(P$28,curvesettle,2,FALSE())))</f>
        <v>0</v>
      </c>
      <c r="Q48" s="219" t="n">
        <f aca="false">IF(P$28="NYMEX",$AD48,$AC48)</f>
        <v>-8129</v>
      </c>
      <c r="R48" s="220" t="e">
        <f aca="false">($C48+S48)+F$15</f>
        <v>#DIV/0!</v>
      </c>
      <c r="S48" s="4" t="e">
        <f aca="false">IF(F$16=1,xCalcSkew($A48,T48-BH48,b)/100,0)</f>
        <v>#DIV/0!</v>
      </c>
      <c r="T48" s="41" t="n">
        <f aca="false">IF($F$19=4,$BH48,$F$18)</f>
        <v>2.44</v>
      </c>
      <c r="V48" s="40" t="n">
        <f aca="false">IF(V$28="nymex",0,VLOOKUP($A48,curvesettle,HLOOKUP(V$28,curvesettle,2,FALSE())))</f>
        <v>0</v>
      </c>
      <c r="W48" s="219" t="n">
        <f aca="false">IF(V$28="NYMEX",$AD48,$AC48)</f>
        <v>-8129</v>
      </c>
      <c r="X48" s="4" t="e">
        <f aca="false">($C48+Y48)+H$15</f>
        <v>#DIV/0!</v>
      </c>
      <c r="Y48" s="4" t="e">
        <f aca="false">IF(H$16=1,xCalcSkew($A48,Z48-BS48,b)/100,0)</f>
        <v>#DIV/0!</v>
      </c>
      <c r="Z48" s="41" t="n">
        <f aca="false">IF($H$19=4,$BS48,$H$18)</f>
        <v>2.44</v>
      </c>
      <c r="AC48" s="219" t="n">
        <f aca="false">VLOOKUP($A48,expiration,2,FALSE())-$B$2</f>
        <v>-8128</v>
      </c>
      <c r="AD48" s="219" t="n">
        <f aca="false">VLOOKUP($A48,expiration,3,FALSE())-$B$2</f>
        <v>-8129</v>
      </c>
      <c r="AE48" s="4" t="n">
        <f aca="false">VLOOKUP($A48,STRADDLE,15,FALSE())</f>
        <v>0.0287051108864018</v>
      </c>
      <c r="AF48" s="43" t="n">
        <f aca="false">A49-A48</f>
        <v>31</v>
      </c>
      <c r="AG48" s="44"/>
      <c r="AH48" s="44"/>
      <c r="AI48" s="44"/>
      <c r="AJ48" s="44"/>
      <c r="AK48" s="9" t="n">
        <f aca="false">IF($A48&gt;=AL$25,IF($A48&lt;=AL$26,$AF48,0),0)</f>
        <v>0</v>
      </c>
      <c r="AL48" s="221" t="e">
        <f aca="false">AN48/AK48</f>
        <v>#DIV/0!</v>
      </c>
      <c r="AM48" s="1" t="n">
        <f aca="false">AK48*($B48+B$13)</f>
        <v>0</v>
      </c>
      <c r="AN48" s="33" t="n">
        <f aca="false">IF(ISNUMBER(((AM48/AK48)+B$14+$D48)*AK48),((AM48/AK48)+B$14+$D48)*AK48,0)</f>
        <v>0</v>
      </c>
      <c r="AO48" s="44" t="n">
        <f aca="false">IF(AK48=0,0,bsd(1,AP$27,AL48,$H48,$E48,$F48,$AE48,0.1))</f>
        <v>0</v>
      </c>
      <c r="AP48" s="44" t="n">
        <f aca="false">IF(AK48=0,0,bsd(2,AP$27,AL48,$H48,$E48,$F48,$AE48,0.1))</f>
        <v>0</v>
      </c>
      <c r="AQ48" s="44" t="n">
        <f aca="false">IF(AK48=0,0,bsd(AP$28,AP$27,AL48,$H48,$E48,$F48,$AE48,0.1))</f>
        <v>0</v>
      </c>
      <c r="AR48" s="45" t="n">
        <f aca="false">AK48*AO48</f>
        <v>0</v>
      </c>
      <c r="AS48" s="45" t="n">
        <f aca="false">AK48*AP48</f>
        <v>0</v>
      </c>
      <c r="AT48" s="45" t="n">
        <f aca="false">AK48*AQ48</f>
        <v>0</v>
      </c>
      <c r="AV48" s="9" t="n">
        <f aca="false">IF($A48&gt;=AW$25,IF($A48&lt;=AW$26,$AF48,0),0)</f>
        <v>0</v>
      </c>
      <c r="AW48" s="221" t="e">
        <f aca="false">AY48/AV48</f>
        <v>#DIV/0!</v>
      </c>
      <c r="AX48" s="1" t="n">
        <f aca="false">AV48*($B48+D$13)</f>
        <v>0</v>
      </c>
      <c r="AY48" s="33" t="n">
        <f aca="false">IF(ISNUMBER(((AX48/AV48)+D$14+$J48)*AV48),((AX48/AV48)+D$14+$J48)*AV48,0)</f>
        <v>0</v>
      </c>
      <c r="AZ48" s="44" t="n">
        <f aca="false">IF(AV48=0,0,bsd(1,BA$27,AW48,$N48,$K48,$L48,$AE48,0.1))</f>
        <v>0</v>
      </c>
      <c r="BA48" s="44" t="n">
        <f aca="false">IF(AV48=0,0,bsd(2,BA$27,AW48,$N48,$K48,$L48,$AE48,0.1))</f>
        <v>0</v>
      </c>
      <c r="BB48" s="44" t="n">
        <f aca="false">IF(AV48=0,0,bsd(BA$28,BA$27,AW48,$N48,$K48,$L48,$AE48,0.1))</f>
        <v>0</v>
      </c>
      <c r="BC48" s="45" t="n">
        <f aca="false">AV48*AZ48</f>
        <v>0</v>
      </c>
      <c r="BD48" s="45" t="n">
        <f aca="false">AV48*BA48</f>
        <v>0</v>
      </c>
      <c r="BE48" s="45" t="n">
        <f aca="false">AV48*BB48</f>
        <v>0</v>
      </c>
      <c r="BG48" s="9" t="n">
        <f aca="false">IF($A48&gt;=BH$25,IF($A48&lt;=BH$26,$AF48,0),0)</f>
        <v>0</v>
      </c>
      <c r="BH48" s="221" t="e">
        <f aca="false">BJ48/BG48</f>
        <v>#DIV/0!</v>
      </c>
      <c r="BI48" s="1" t="n">
        <f aca="false">BG48*($B48+F$13)</f>
        <v>0</v>
      </c>
      <c r="BJ48" s="33" t="n">
        <f aca="false">IF(ISNUMBER(((BI48/BG48)+F$14+$P48)*BG48),((BI48/BG48)+F$14+$P48)*BG48,0)</f>
        <v>0</v>
      </c>
      <c r="BK48" s="44" t="n">
        <f aca="false">IF(BG48=0,0,bsd(1,BL$27,BH48,$T48,$Q48,$R48,$AE48,0.1))</f>
        <v>0</v>
      </c>
      <c r="BL48" s="44" t="n">
        <f aca="false">IF(BG48=0,0,bsd(2,BL$27,BH48,$T48,$Q48,$R48,$AE48,0.1))</f>
        <v>0</v>
      </c>
      <c r="BM48" s="44" t="n">
        <f aca="false">IF(BG48=0,0,bsd(BL$28,BL$27,BH48,$T48,$Q48,$R48,$AE48,0.1))</f>
        <v>0</v>
      </c>
      <c r="BN48" s="45" t="n">
        <f aca="false">BG48*BK48</f>
        <v>0</v>
      </c>
      <c r="BO48" s="45" t="n">
        <f aca="false">BG48*BL48</f>
        <v>0</v>
      </c>
      <c r="BP48" s="45" t="n">
        <f aca="false">BG48*BM48</f>
        <v>0</v>
      </c>
      <c r="BR48" s="9" t="n">
        <f aca="false">IF($A48&gt;=BS$25,IF($A48&lt;=BS$26,$AF48,0),0)</f>
        <v>0</v>
      </c>
      <c r="BS48" s="221" t="e">
        <f aca="false">BU48/BR48</f>
        <v>#DIV/0!</v>
      </c>
      <c r="BT48" s="1" t="n">
        <f aca="false">BR48*($B48+H$13)</f>
        <v>0</v>
      </c>
      <c r="BU48" s="33" t="n">
        <f aca="false">IF(ISNUMBER(((BT48/BR48)+H$14+$V48)*BR48),((BT48/BR48)+H$14+$V48)*BR48,0)</f>
        <v>0</v>
      </c>
      <c r="BV48" s="44" t="n">
        <f aca="false">IF(BR48=0,0,bsd(1,BW$27,BS48,$Z48,$W48,$X48,$AE48,0.1))</f>
        <v>0</v>
      </c>
      <c r="BW48" s="44" t="n">
        <f aca="false">IF(BR48=0,0,bsd(2,BW$27,BS48,$Z48,$W48,$X48,$AE48,0.1))</f>
        <v>0</v>
      </c>
      <c r="BX48" s="44" t="n">
        <f aca="false">IF(BR48=0,0,bsd(BW$28,BW$27,BS48,$Z48,$W48,$X48,$AE48,0.1))</f>
        <v>0</v>
      </c>
      <c r="BY48" s="45" t="n">
        <f aca="false">BR48*BV48</f>
        <v>0</v>
      </c>
      <c r="BZ48" s="45" t="n">
        <f aca="false">BR48*BW48</f>
        <v>0</v>
      </c>
      <c r="CA48" s="45" t="n">
        <f aca="false">BR48*BX48</f>
        <v>0</v>
      </c>
    </row>
    <row r="49" customFormat="false" ht="12.75" hidden="false" customHeight="false" outlineLevel="0" collapsed="false">
      <c r="A49" s="48" t="n">
        <f aca="false">DATE(YEAR(A48),MONTH(A48)+1,1)</f>
        <v>37834</v>
      </c>
      <c r="B49" s="40" t="n">
        <f aca="false">VLOOKUP(A49,STRADDLE,5,FALSE())</f>
        <v>3.075</v>
      </c>
      <c r="C49" s="4" t="e">
        <f aca="false">VLOOKUP(A49,STRADDLE,6,FALSE())</f>
        <v>#VALUE!</v>
      </c>
      <c r="D49" s="40" t="n">
        <f aca="false">IF(D$28="nymex",0,VLOOKUP($A49,curvesettle,HLOOKUP(D$28,curvesettle,2,FALSE())))</f>
        <v>0</v>
      </c>
      <c r="E49" s="219" t="n">
        <f aca="false">IF(D$28="NYMEX",$AD49,$AC49)</f>
        <v>-8096</v>
      </c>
      <c r="F49" s="4" t="e">
        <f aca="false">($C49+G49)+B$15</f>
        <v>#DIV/0!</v>
      </c>
      <c r="G49" s="4" t="e">
        <f aca="false">IF(B$16=1,xCalcSkew(A49,H49-AL49,b)/100,0)</f>
        <v>#DIV/0!</v>
      </c>
      <c r="H49" s="41" t="n">
        <f aca="false">IF($B$19=4,$AL49,$B$18)</f>
        <v>2.44</v>
      </c>
      <c r="J49" s="40" t="n">
        <f aca="false">IF(J$28="nymex",0,VLOOKUP($A49,curvesettle,HLOOKUP(J$28,curvesettle,2,FALSE())))</f>
        <v>0</v>
      </c>
      <c r="K49" s="219" t="n">
        <f aca="false">IF(J$28="NYMEX",$AD49,$AC49)</f>
        <v>-8096</v>
      </c>
      <c r="L49" s="220" t="e">
        <f aca="false">($C49+M49)+D$15</f>
        <v>#DIV/0!</v>
      </c>
      <c r="M49" s="4" t="e">
        <f aca="false">IF(D$16=1,xCalcSkew($A49,N49-AW49,b)/100,0)</f>
        <v>#DIV/0!</v>
      </c>
      <c r="N49" s="41" t="n">
        <f aca="false">IF($D$19=4,$AW49,$D$18)</f>
        <v>2.44</v>
      </c>
      <c r="P49" s="40" t="n">
        <f aca="false">IF(P$28="nymex",0,VLOOKUP($A49,curvesettle,HLOOKUP(P$28,curvesettle,2,FALSE())))</f>
        <v>0</v>
      </c>
      <c r="Q49" s="219" t="n">
        <f aca="false">IF(P$28="NYMEX",$AD49,$AC49)</f>
        <v>-8096</v>
      </c>
      <c r="R49" s="220" t="e">
        <f aca="false">($C49+S49)+F$15</f>
        <v>#DIV/0!</v>
      </c>
      <c r="S49" s="4" t="e">
        <f aca="false">IF(F$16=1,xCalcSkew($A49,T49-BH49,b)/100,0)</f>
        <v>#DIV/0!</v>
      </c>
      <c r="T49" s="41" t="n">
        <f aca="false">IF($F$19=4,$BH49,$F$18)</f>
        <v>2.44</v>
      </c>
      <c r="V49" s="40" t="n">
        <f aca="false">IF(V$28="nymex",0,VLOOKUP($A49,curvesettle,HLOOKUP(V$28,curvesettle,2,FALSE())))</f>
        <v>0</v>
      </c>
      <c r="W49" s="219" t="n">
        <f aca="false">IF(V$28="NYMEX",$AD49,$AC49)</f>
        <v>-8096</v>
      </c>
      <c r="X49" s="4" t="e">
        <f aca="false">($C49+Y49)+H$15</f>
        <v>#DIV/0!</v>
      </c>
      <c r="Y49" s="4" t="e">
        <f aca="false">IF(H$16=1,xCalcSkew($A49,Z49-BS49,b)/100,0)</f>
        <v>#DIV/0!</v>
      </c>
      <c r="Z49" s="41" t="n">
        <f aca="false">IF($H$19=4,$BS49,$H$18)</f>
        <v>2.44</v>
      </c>
      <c r="AC49" s="219" t="n">
        <f aca="false">VLOOKUP($A49,expiration,2,FALSE())-$B$2</f>
        <v>-8095</v>
      </c>
      <c r="AD49" s="219" t="n">
        <f aca="false">VLOOKUP($A49,expiration,3,FALSE())-$B$2</f>
        <v>-8096</v>
      </c>
      <c r="AE49" s="4" t="n">
        <f aca="false">VLOOKUP($A49,STRADDLE,15,FALSE())</f>
        <v>0.0295204531777356</v>
      </c>
      <c r="AF49" s="43" t="n">
        <f aca="false">A50-A49</f>
        <v>31</v>
      </c>
      <c r="AG49" s="44"/>
      <c r="AH49" s="44"/>
      <c r="AI49" s="44"/>
      <c r="AJ49" s="44"/>
      <c r="AK49" s="9" t="n">
        <f aca="false">IF($A49&gt;=AL$25,IF($A49&lt;=AL$26,$AF49,0),0)</f>
        <v>0</v>
      </c>
      <c r="AL49" s="221" t="e">
        <f aca="false">AN49/AK49</f>
        <v>#DIV/0!</v>
      </c>
      <c r="AM49" s="1" t="n">
        <f aca="false">AK49*($B49+B$13)</f>
        <v>0</v>
      </c>
      <c r="AN49" s="33" t="n">
        <f aca="false">IF(ISNUMBER(((AM49/AK49)+B$14+$D49)*AK49),((AM49/AK49)+B$14+$D49)*AK49,0)</f>
        <v>0</v>
      </c>
      <c r="AO49" s="44" t="n">
        <f aca="false">IF(AK49=0,0,bsd(1,AP$27,AL49,$H49,$E49,$F49,$AE49,0.1))</f>
        <v>0</v>
      </c>
      <c r="AP49" s="44" t="n">
        <f aca="false">IF(AK49=0,0,bsd(2,AP$27,AL49,$H49,$E49,$F49,$AE49,0.1))</f>
        <v>0</v>
      </c>
      <c r="AQ49" s="44" t="n">
        <f aca="false">IF(AK49=0,0,bsd(AP$28,AP$27,AL49,$H49,$E49,$F49,$AE49,0.1))</f>
        <v>0</v>
      </c>
      <c r="AR49" s="45" t="n">
        <f aca="false">AK49*AO49</f>
        <v>0</v>
      </c>
      <c r="AS49" s="45" t="n">
        <f aca="false">AK49*AP49</f>
        <v>0</v>
      </c>
      <c r="AT49" s="45" t="n">
        <f aca="false">AK49*AQ49</f>
        <v>0</v>
      </c>
      <c r="AV49" s="9" t="n">
        <f aca="false">IF($A49&gt;=AW$25,IF($A49&lt;=AW$26,$AF49,0),0)</f>
        <v>0</v>
      </c>
      <c r="AW49" s="221" t="e">
        <f aca="false">AY49/AV49</f>
        <v>#DIV/0!</v>
      </c>
      <c r="AX49" s="1" t="n">
        <f aca="false">AV49*($B49+D$13)</f>
        <v>0</v>
      </c>
      <c r="AY49" s="33" t="n">
        <f aca="false">IF(ISNUMBER(((AX49/AV49)+D$14+$J49)*AV49),((AX49/AV49)+D$14+$J49)*AV49,0)</f>
        <v>0</v>
      </c>
      <c r="AZ49" s="44" t="n">
        <f aca="false">IF(AV49=0,0,bsd(1,BA$27,AW49,$N49,$K49,$L49,$AE49,0.1))</f>
        <v>0</v>
      </c>
      <c r="BA49" s="44" t="n">
        <f aca="false">IF(AV49=0,0,bsd(2,BA$27,AW49,$N49,$K49,$L49,$AE49,0.1))</f>
        <v>0</v>
      </c>
      <c r="BB49" s="44" t="n">
        <f aca="false">IF(AV49=0,0,bsd(BA$28,BA$27,AW49,$N49,$K49,$L49,$AE49,0.1))</f>
        <v>0</v>
      </c>
      <c r="BC49" s="45" t="n">
        <f aca="false">AV49*AZ49</f>
        <v>0</v>
      </c>
      <c r="BD49" s="45" t="n">
        <f aca="false">AV49*BA49</f>
        <v>0</v>
      </c>
      <c r="BE49" s="45" t="n">
        <f aca="false">AV49*BB49</f>
        <v>0</v>
      </c>
      <c r="BG49" s="9" t="n">
        <f aca="false">IF($A49&gt;=BH$25,IF($A49&lt;=BH$26,$AF49,0),0)</f>
        <v>0</v>
      </c>
      <c r="BH49" s="221" t="e">
        <f aca="false">BJ49/BG49</f>
        <v>#DIV/0!</v>
      </c>
      <c r="BI49" s="1" t="n">
        <f aca="false">BG49*($B49+F$13)</f>
        <v>0</v>
      </c>
      <c r="BJ49" s="33" t="n">
        <f aca="false">IF(ISNUMBER(((BI49/BG49)+F$14+$P49)*BG49),((BI49/BG49)+F$14+$P49)*BG49,0)</f>
        <v>0</v>
      </c>
      <c r="BK49" s="44" t="n">
        <f aca="false">IF(BG49=0,0,bsd(1,BL$27,BH49,$T49,$Q49,$R49,$AE49,0.1))</f>
        <v>0</v>
      </c>
      <c r="BL49" s="44" t="n">
        <f aca="false">IF(BG49=0,0,bsd(2,BL$27,BH49,$T49,$Q49,$R49,$AE49,0.1))</f>
        <v>0</v>
      </c>
      <c r="BM49" s="44" t="n">
        <f aca="false">IF(BG49=0,0,bsd(BL$28,BL$27,BH49,$T49,$Q49,$R49,$AE49,0.1))</f>
        <v>0</v>
      </c>
      <c r="BN49" s="45" t="n">
        <f aca="false">BG49*BK49</f>
        <v>0</v>
      </c>
      <c r="BO49" s="45" t="n">
        <f aca="false">BG49*BL49</f>
        <v>0</v>
      </c>
      <c r="BP49" s="45" t="n">
        <f aca="false">BG49*BM49</f>
        <v>0</v>
      </c>
      <c r="BR49" s="9" t="n">
        <f aca="false">IF($A49&gt;=BS$25,IF($A49&lt;=BS$26,$AF49,0),0)</f>
        <v>0</v>
      </c>
      <c r="BS49" s="221" t="e">
        <f aca="false">BU49/BR49</f>
        <v>#DIV/0!</v>
      </c>
      <c r="BT49" s="1" t="n">
        <f aca="false">BR49*($B49+H$13)</f>
        <v>0</v>
      </c>
      <c r="BU49" s="33" t="n">
        <f aca="false">IF(ISNUMBER(((BT49/BR49)+H$14+$V49)*BR49),((BT49/BR49)+H$14+$V49)*BR49,0)</f>
        <v>0</v>
      </c>
      <c r="BV49" s="44" t="n">
        <f aca="false">IF(BR49=0,0,bsd(1,BW$27,BS49,$Z49,$W49,$X49,$AE49,0.1))</f>
        <v>0</v>
      </c>
      <c r="BW49" s="44" t="n">
        <f aca="false">IF(BR49=0,0,bsd(2,BW$27,BS49,$Z49,$W49,$X49,$AE49,0.1))</f>
        <v>0</v>
      </c>
      <c r="BX49" s="44" t="n">
        <f aca="false">IF(BR49=0,0,bsd(BW$28,BW$27,BS49,$Z49,$W49,$X49,$AE49,0.1))</f>
        <v>0</v>
      </c>
      <c r="BY49" s="45" t="n">
        <f aca="false">BR49*BV49</f>
        <v>0</v>
      </c>
      <c r="BZ49" s="45" t="n">
        <f aca="false">BR49*BW49</f>
        <v>0</v>
      </c>
      <c r="CA49" s="45" t="n">
        <f aca="false">BR49*BX49</f>
        <v>0</v>
      </c>
    </row>
    <row r="50" customFormat="false" ht="12.75" hidden="false" customHeight="false" outlineLevel="0" collapsed="false">
      <c r="A50" s="48" t="n">
        <f aca="false">DATE(YEAR(A49),MONTH(A49)+1,1)</f>
        <v>37865</v>
      </c>
      <c r="B50" s="40" t="n">
        <f aca="false">VLOOKUP(A50,STRADDLE,5,FALSE())</f>
        <v>3.075</v>
      </c>
      <c r="C50" s="4" t="e">
        <f aca="false">VLOOKUP(A50,STRADDLE,6,FALSE())</f>
        <v>#VALUE!</v>
      </c>
      <c r="D50" s="40" t="n">
        <f aca="false">IF(D$28="nymex",0,VLOOKUP($A50,curvesettle,HLOOKUP(D$28,curvesettle,2,FALSE())))</f>
        <v>0</v>
      </c>
      <c r="E50" s="219" t="n">
        <f aca="false">IF(D$28="NYMEX",$AD50,$AC50)</f>
        <v>-8067</v>
      </c>
      <c r="F50" s="4" t="e">
        <f aca="false">($C50+G50)+B$15</f>
        <v>#DIV/0!</v>
      </c>
      <c r="G50" s="4" t="e">
        <f aca="false">IF(B$16=1,xCalcSkew(A50,H50-AL50,b)/100,0)</f>
        <v>#DIV/0!</v>
      </c>
      <c r="H50" s="41" t="n">
        <f aca="false">IF($B$19=4,$AL50,$B$18)</f>
        <v>2.44</v>
      </c>
      <c r="J50" s="40" t="n">
        <f aca="false">IF(J$28="nymex",0,VLOOKUP($A50,curvesettle,HLOOKUP(J$28,curvesettle,2,FALSE())))</f>
        <v>0</v>
      </c>
      <c r="K50" s="219" t="n">
        <f aca="false">IF(J$28="NYMEX",$AD50,$AC50)</f>
        <v>-8067</v>
      </c>
      <c r="L50" s="220" t="e">
        <f aca="false">($C50+M50)+D$15</f>
        <v>#DIV/0!</v>
      </c>
      <c r="M50" s="4" t="e">
        <f aca="false">IF(D$16=1,xCalcSkew($A50,N50-AW50,b)/100,0)</f>
        <v>#DIV/0!</v>
      </c>
      <c r="N50" s="41" t="n">
        <f aca="false">IF($D$19=4,$AW50,$D$18)</f>
        <v>2.44</v>
      </c>
      <c r="P50" s="40" t="n">
        <f aca="false">IF(P$28="nymex",0,VLOOKUP($A50,curvesettle,HLOOKUP(P$28,curvesettle,2,FALSE())))</f>
        <v>0</v>
      </c>
      <c r="Q50" s="219" t="n">
        <f aca="false">IF(P$28="NYMEX",$AD50,$AC50)</f>
        <v>-8067</v>
      </c>
      <c r="R50" s="220" t="e">
        <f aca="false">($C50+S50)+F$15</f>
        <v>#DIV/0!</v>
      </c>
      <c r="S50" s="4" t="e">
        <f aca="false">IF(F$16=1,xCalcSkew($A50,T50-BH50,b)/100,0)</f>
        <v>#DIV/0!</v>
      </c>
      <c r="T50" s="41" t="n">
        <f aca="false">IF($F$19=4,$BH50,$F$18)</f>
        <v>2.44</v>
      </c>
      <c r="V50" s="40" t="n">
        <f aca="false">IF(V$28="nymex",0,VLOOKUP($A50,curvesettle,HLOOKUP(V$28,curvesettle,2,FALSE())))</f>
        <v>0</v>
      </c>
      <c r="W50" s="219" t="n">
        <f aca="false">IF(V$28="NYMEX",$AD50,$AC50)</f>
        <v>-8067</v>
      </c>
      <c r="X50" s="4" t="e">
        <f aca="false">($C50+Y50)+H$15</f>
        <v>#DIV/0!</v>
      </c>
      <c r="Y50" s="4" t="e">
        <f aca="false">IF(H$16=1,xCalcSkew($A50,Z50-BS50,b)/100,0)</f>
        <v>#DIV/0!</v>
      </c>
      <c r="Z50" s="41" t="n">
        <f aca="false">IF($H$19=4,$BS50,$H$18)</f>
        <v>2.44</v>
      </c>
      <c r="AC50" s="219" t="n">
        <f aca="false">VLOOKUP($A50,expiration,2,FALSE())-$B$2</f>
        <v>-8066</v>
      </c>
      <c r="AD50" s="219" t="n">
        <f aca="false">VLOOKUP($A50,expiration,3,FALSE())-$B$2</f>
        <v>-8067</v>
      </c>
      <c r="AE50" s="4" t="n">
        <f aca="false">VLOOKUP($A50,STRADDLE,15,FALSE())</f>
        <v>0.0303463207924364</v>
      </c>
      <c r="AF50" s="43" t="n">
        <f aca="false">A51-A50</f>
        <v>30</v>
      </c>
      <c r="AG50" s="44"/>
      <c r="AH50" s="44"/>
      <c r="AI50" s="44"/>
      <c r="AJ50" s="44"/>
      <c r="AK50" s="9" t="n">
        <f aca="false">IF($A50&gt;=AL$25,IF($A50&lt;=AL$26,$AF50,0),0)</f>
        <v>0</v>
      </c>
      <c r="AL50" s="221" t="e">
        <f aca="false">AN50/AK50</f>
        <v>#DIV/0!</v>
      </c>
      <c r="AM50" s="1" t="n">
        <f aca="false">AK50*($B50+B$13)</f>
        <v>0</v>
      </c>
      <c r="AN50" s="33" t="n">
        <f aca="false">IF(ISNUMBER(((AM50/AK50)+B$14+$D50)*AK50),((AM50/AK50)+B$14+$D50)*AK50,0)</f>
        <v>0</v>
      </c>
      <c r="AO50" s="44" t="n">
        <f aca="false">IF(AK50=0,0,bsd(1,AP$27,AL50,$H50,$E50,$F50,$AE50,0.1))</f>
        <v>0</v>
      </c>
      <c r="AP50" s="44" t="n">
        <f aca="false">IF(AK50=0,0,bsd(2,AP$27,AL50,$H50,$E50,$F50,$AE50,0.1))</f>
        <v>0</v>
      </c>
      <c r="AQ50" s="44" t="n">
        <f aca="false">IF(AK50=0,0,bsd(AP$28,AP$27,AL50,$H50,$E50,$F50,$AE50,0.1))</f>
        <v>0</v>
      </c>
      <c r="AR50" s="45" t="n">
        <f aca="false">AK50*AO50</f>
        <v>0</v>
      </c>
      <c r="AS50" s="45" t="n">
        <f aca="false">AK50*AP50</f>
        <v>0</v>
      </c>
      <c r="AT50" s="45" t="n">
        <f aca="false">AK50*AQ50</f>
        <v>0</v>
      </c>
      <c r="AV50" s="9" t="n">
        <f aca="false">IF($A50&gt;=AW$25,IF($A50&lt;=AW$26,$AF50,0),0)</f>
        <v>0</v>
      </c>
      <c r="AW50" s="221" t="e">
        <f aca="false">AY50/AV50</f>
        <v>#DIV/0!</v>
      </c>
      <c r="AX50" s="1" t="n">
        <f aca="false">AV50*($B50+D$13)</f>
        <v>0</v>
      </c>
      <c r="AY50" s="33" t="n">
        <f aca="false">IF(ISNUMBER(((AX50/AV50)+D$14+$J50)*AV50),((AX50/AV50)+D$14+$J50)*AV50,0)</f>
        <v>0</v>
      </c>
      <c r="AZ50" s="44" t="n">
        <f aca="false">IF(AV50=0,0,bsd(1,BA$27,AW50,$N50,$K50,$L50,$AE50,0.1))</f>
        <v>0</v>
      </c>
      <c r="BA50" s="44" t="n">
        <f aca="false">IF(AV50=0,0,bsd(2,BA$27,AW50,$N50,$K50,$L50,$AE50,0.1))</f>
        <v>0</v>
      </c>
      <c r="BB50" s="44" t="n">
        <f aca="false">IF(AV50=0,0,bsd(BA$28,BA$27,AW50,$N50,$K50,$L50,$AE50,0.1))</f>
        <v>0</v>
      </c>
      <c r="BC50" s="45" t="n">
        <f aca="false">AV50*AZ50</f>
        <v>0</v>
      </c>
      <c r="BD50" s="45" t="n">
        <f aca="false">AV50*BA50</f>
        <v>0</v>
      </c>
      <c r="BE50" s="45" t="n">
        <f aca="false">AV50*BB50</f>
        <v>0</v>
      </c>
      <c r="BG50" s="9" t="n">
        <f aca="false">IF($A50&gt;=BH$25,IF($A50&lt;=BH$26,$AF50,0),0)</f>
        <v>0</v>
      </c>
      <c r="BH50" s="221" t="e">
        <f aca="false">BJ50/BG50</f>
        <v>#DIV/0!</v>
      </c>
      <c r="BI50" s="1" t="n">
        <f aca="false">BG50*($B50+F$13)</f>
        <v>0</v>
      </c>
      <c r="BJ50" s="33" t="n">
        <f aca="false">IF(ISNUMBER(((BI50/BG50)+F$14+$P50)*BG50),((BI50/BG50)+F$14+$P50)*BG50,0)</f>
        <v>0</v>
      </c>
      <c r="BK50" s="44" t="n">
        <f aca="false">IF(BG50=0,0,bsd(1,BL$27,BH50,$T50,$Q50,$R50,$AE50,0.1))</f>
        <v>0</v>
      </c>
      <c r="BL50" s="44" t="n">
        <f aca="false">IF(BG50=0,0,bsd(2,BL$27,BH50,$T50,$Q50,$R50,$AE50,0.1))</f>
        <v>0</v>
      </c>
      <c r="BM50" s="44" t="n">
        <f aca="false">IF(BG50=0,0,bsd(BL$28,BL$27,BH50,$T50,$Q50,$R50,$AE50,0.1))</f>
        <v>0</v>
      </c>
      <c r="BN50" s="45" t="n">
        <f aca="false">BG50*BK50</f>
        <v>0</v>
      </c>
      <c r="BO50" s="45" t="n">
        <f aca="false">BG50*BL50</f>
        <v>0</v>
      </c>
      <c r="BP50" s="45" t="n">
        <f aca="false">BG50*BM50</f>
        <v>0</v>
      </c>
      <c r="BR50" s="9" t="n">
        <f aca="false">IF($A50&gt;=BS$25,IF($A50&lt;=BS$26,$AF50,0),0)</f>
        <v>0</v>
      </c>
      <c r="BS50" s="221" t="e">
        <f aca="false">BU50/BR50</f>
        <v>#DIV/0!</v>
      </c>
      <c r="BT50" s="1" t="n">
        <f aca="false">BR50*($B50+H$13)</f>
        <v>0</v>
      </c>
      <c r="BU50" s="33" t="n">
        <f aca="false">IF(ISNUMBER(((BT50/BR50)+H$14+$V50)*BR50),((BT50/BR50)+H$14+$V50)*BR50,0)</f>
        <v>0</v>
      </c>
      <c r="BV50" s="44" t="n">
        <f aca="false">IF(BR50=0,0,bsd(1,BW$27,BS50,$Z50,$W50,$X50,$AE50,0.1))</f>
        <v>0</v>
      </c>
      <c r="BW50" s="44" t="n">
        <f aca="false">IF(BR50=0,0,bsd(2,BW$27,BS50,$Z50,$W50,$X50,$AE50,0.1))</f>
        <v>0</v>
      </c>
      <c r="BX50" s="44" t="n">
        <f aca="false">IF(BR50=0,0,bsd(BW$28,BW$27,BS50,$Z50,$W50,$X50,$AE50,0.1))</f>
        <v>0</v>
      </c>
      <c r="BY50" s="45" t="n">
        <f aca="false">BR50*BV50</f>
        <v>0</v>
      </c>
      <c r="BZ50" s="45" t="n">
        <f aca="false">BR50*BW50</f>
        <v>0</v>
      </c>
      <c r="CA50" s="45" t="n">
        <f aca="false">BR50*BX50</f>
        <v>0</v>
      </c>
    </row>
    <row r="51" customFormat="false" ht="12.75" hidden="false" customHeight="false" outlineLevel="0" collapsed="false">
      <c r="A51" s="48" t="n">
        <f aca="false">DATE(YEAR(A50),MONTH(A50)+1,1)</f>
        <v>37895</v>
      </c>
      <c r="B51" s="40" t="n">
        <f aca="false">VLOOKUP(A51,STRADDLE,5,FALSE())</f>
        <v>3.06</v>
      </c>
      <c r="C51" s="4" t="e">
        <f aca="false">VLOOKUP(A51,STRADDLE,6,FALSE())</f>
        <v>#VALUE!</v>
      </c>
      <c r="D51" s="40" t="n">
        <f aca="false">IF(D$28="nymex",0,VLOOKUP($A51,curvesettle,HLOOKUP(D$28,curvesettle,2,FALSE())))</f>
        <v>0</v>
      </c>
      <c r="E51" s="219" t="n">
        <f aca="false">IF(D$28="NYMEX",$AD51,$AC51)</f>
        <v>-8037</v>
      </c>
      <c r="F51" s="4" t="e">
        <f aca="false">($C51+G51)+B$15</f>
        <v>#DIV/0!</v>
      </c>
      <c r="G51" s="4" t="e">
        <f aca="false">IF(B$16=1,xCalcSkew(A51,H51-AL51,b)/100,0)</f>
        <v>#DIV/0!</v>
      </c>
      <c r="H51" s="41" t="n">
        <f aca="false">IF($B$19=4,$AL51,$B$18)</f>
        <v>2.44</v>
      </c>
      <c r="J51" s="40" t="n">
        <f aca="false">IF(J$28="nymex",0,VLOOKUP($A51,curvesettle,HLOOKUP(J$28,curvesettle,2,FALSE())))</f>
        <v>0</v>
      </c>
      <c r="K51" s="219" t="n">
        <f aca="false">IF(J$28="NYMEX",$AD51,$AC51)</f>
        <v>-8037</v>
      </c>
      <c r="L51" s="220" t="e">
        <f aca="false">($C51+M51)+D$15</f>
        <v>#DIV/0!</v>
      </c>
      <c r="M51" s="4" t="e">
        <f aca="false">IF(D$16=1,xCalcSkew($A51,N51-AW51,b)/100,0)</f>
        <v>#DIV/0!</v>
      </c>
      <c r="N51" s="41" t="n">
        <f aca="false">IF($D$19=4,$AW51,$D$18)</f>
        <v>2.44</v>
      </c>
      <c r="P51" s="40" t="n">
        <f aca="false">IF(P$28="nymex",0,VLOOKUP($A51,curvesettle,HLOOKUP(P$28,curvesettle,2,FALSE())))</f>
        <v>0</v>
      </c>
      <c r="Q51" s="219" t="n">
        <f aca="false">IF(P$28="NYMEX",$AD51,$AC51)</f>
        <v>-8037</v>
      </c>
      <c r="R51" s="220" t="e">
        <f aca="false">($C51+S51)+F$15</f>
        <v>#DIV/0!</v>
      </c>
      <c r="S51" s="4" t="e">
        <f aca="false">IF(F$16=1,xCalcSkew($A51,T51-BH51,b)/100,0)</f>
        <v>#DIV/0!</v>
      </c>
      <c r="T51" s="41" t="n">
        <f aca="false">IF($F$19=4,$BH51,$F$18)</f>
        <v>2.44</v>
      </c>
      <c r="V51" s="40" t="n">
        <f aca="false">IF(V$28="nymex",0,VLOOKUP($A51,curvesettle,HLOOKUP(V$28,curvesettle,2,FALSE())))</f>
        <v>0</v>
      </c>
      <c r="W51" s="219" t="n">
        <f aca="false">IF(V$28="NYMEX",$AD51,$AC51)</f>
        <v>-8037</v>
      </c>
      <c r="X51" s="4" t="e">
        <f aca="false">($C51+Y51)+H$15</f>
        <v>#DIV/0!</v>
      </c>
      <c r="Y51" s="4" t="e">
        <f aca="false">IF(H$16=1,xCalcSkew($A51,Z51-BS51,b)/100,0)</f>
        <v>#DIV/0!</v>
      </c>
      <c r="Z51" s="41" t="n">
        <f aca="false">IF($H$19=4,$BS51,$H$18)</f>
        <v>2.44</v>
      </c>
      <c r="AC51" s="219" t="n">
        <f aca="false">VLOOKUP($A51,expiration,2,FALSE())-$B$2</f>
        <v>-8036</v>
      </c>
      <c r="AD51" s="219" t="n">
        <f aca="false">VLOOKUP($A51,expiration,3,FALSE())-$B$2</f>
        <v>-8037</v>
      </c>
      <c r="AE51" s="4" t="n">
        <f aca="false">VLOOKUP($A51,STRADDLE,15,FALSE())</f>
        <v>0.0311721886370702</v>
      </c>
      <c r="AF51" s="43" t="n">
        <f aca="false">A52-A51</f>
        <v>31</v>
      </c>
      <c r="AG51" s="44"/>
      <c r="AH51" s="44"/>
      <c r="AI51" s="44"/>
      <c r="AJ51" s="44"/>
      <c r="AK51" s="9" t="n">
        <f aca="false">IF($A51&gt;=AL$25,IF($A51&lt;=AL$26,$AF51,0),0)</f>
        <v>0</v>
      </c>
      <c r="AL51" s="221" t="e">
        <f aca="false">AN51/AK51</f>
        <v>#DIV/0!</v>
      </c>
      <c r="AM51" s="1" t="n">
        <f aca="false">AK51*($B51+B$13)</f>
        <v>0</v>
      </c>
      <c r="AN51" s="33" t="n">
        <f aca="false">IF(ISNUMBER(((AM51/AK51)+B$14+$D51)*AK51),((AM51/AK51)+B$14+$D51)*AK51,0)</f>
        <v>0</v>
      </c>
      <c r="AO51" s="44" t="n">
        <f aca="false">IF(AK51=0,0,bsd(1,AP$27,AL51,$H51,$E51,$F51,$AE51,0.1))</f>
        <v>0</v>
      </c>
      <c r="AP51" s="44" t="n">
        <f aca="false">IF(AK51=0,0,bsd(2,AP$27,AL51,$H51,$E51,$F51,$AE51,0.1))</f>
        <v>0</v>
      </c>
      <c r="AQ51" s="44" t="n">
        <f aca="false">IF(AK51=0,0,bsd(AP$28,AP$27,AL51,$H51,$E51,$F51,$AE51,0.1))</f>
        <v>0</v>
      </c>
      <c r="AR51" s="45" t="n">
        <f aca="false">AK51*AO51</f>
        <v>0</v>
      </c>
      <c r="AS51" s="45" t="n">
        <f aca="false">AK51*AP51</f>
        <v>0</v>
      </c>
      <c r="AT51" s="45" t="n">
        <f aca="false">AK51*AQ51</f>
        <v>0</v>
      </c>
      <c r="AV51" s="9" t="n">
        <f aca="false">IF($A51&gt;=AW$25,IF($A51&lt;=AW$26,$AF51,0),0)</f>
        <v>0</v>
      </c>
      <c r="AW51" s="221" t="e">
        <f aca="false">AY51/AV51</f>
        <v>#DIV/0!</v>
      </c>
      <c r="AX51" s="1" t="n">
        <f aca="false">AV51*($B51+D$13)</f>
        <v>0</v>
      </c>
      <c r="AY51" s="33" t="n">
        <f aca="false">IF(ISNUMBER(((AX51/AV51)+D$14+$J51)*AV51),((AX51/AV51)+D$14+$J51)*AV51,0)</f>
        <v>0</v>
      </c>
      <c r="AZ51" s="44" t="n">
        <f aca="false">IF(AV51=0,0,bsd(1,BA$27,AW51,$N51,$K51,$L51,$AE51,0.1))</f>
        <v>0</v>
      </c>
      <c r="BA51" s="44" t="n">
        <f aca="false">IF(AV51=0,0,bsd(2,BA$27,AW51,$N51,$K51,$L51,$AE51,0.1))</f>
        <v>0</v>
      </c>
      <c r="BB51" s="44" t="n">
        <f aca="false">IF(AV51=0,0,bsd(BA$28,BA$27,AW51,$N51,$K51,$L51,$AE51,0.1))</f>
        <v>0</v>
      </c>
      <c r="BC51" s="45" t="n">
        <f aca="false">AV51*AZ51</f>
        <v>0</v>
      </c>
      <c r="BD51" s="45" t="n">
        <f aca="false">AV51*BA51</f>
        <v>0</v>
      </c>
      <c r="BE51" s="45" t="n">
        <f aca="false">AV51*BB51</f>
        <v>0</v>
      </c>
      <c r="BG51" s="9" t="n">
        <f aca="false">IF($A51&gt;=BH$25,IF($A51&lt;=BH$26,$AF51,0),0)</f>
        <v>0</v>
      </c>
      <c r="BH51" s="221" t="e">
        <f aca="false">BJ51/BG51</f>
        <v>#DIV/0!</v>
      </c>
      <c r="BI51" s="1" t="n">
        <f aca="false">BG51*($B51+F$13)</f>
        <v>0</v>
      </c>
      <c r="BJ51" s="33" t="n">
        <f aca="false">IF(ISNUMBER(((BI51/BG51)+F$14+$P51)*BG51),((BI51/BG51)+F$14+$P51)*BG51,0)</f>
        <v>0</v>
      </c>
      <c r="BK51" s="44" t="n">
        <f aca="false">IF(BG51=0,0,bsd(1,BL$27,BH51,$T51,$Q51,$R51,$AE51,0.1))</f>
        <v>0</v>
      </c>
      <c r="BL51" s="44" t="n">
        <f aca="false">IF(BG51=0,0,bsd(2,BL$27,BH51,$T51,$Q51,$R51,$AE51,0.1))</f>
        <v>0</v>
      </c>
      <c r="BM51" s="44" t="n">
        <f aca="false">IF(BG51=0,0,bsd(BL$28,BL$27,BH51,$T51,$Q51,$R51,$AE51,0.1))</f>
        <v>0</v>
      </c>
      <c r="BN51" s="45" t="n">
        <f aca="false">BG51*BK51</f>
        <v>0</v>
      </c>
      <c r="BO51" s="45" t="n">
        <f aca="false">BG51*BL51</f>
        <v>0</v>
      </c>
      <c r="BP51" s="45" t="n">
        <f aca="false">BG51*BM51</f>
        <v>0</v>
      </c>
      <c r="BR51" s="9" t="n">
        <f aca="false">IF($A51&gt;=BS$25,IF($A51&lt;=BS$26,$AF51,0),0)</f>
        <v>0</v>
      </c>
      <c r="BS51" s="221" t="e">
        <f aca="false">BU51/BR51</f>
        <v>#DIV/0!</v>
      </c>
      <c r="BT51" s="1" t="n">
        <f aca="false">BR51*($B51+H$13)</f>
        <v>0</v>
      </c>
      <c r="BU51" s="33" t="n">
        <f aca="false">IF(ISNUMBER(((BT51/BR51)+H$14+$V51)*BR51),((BT51/BR51)+H$14+$V51)*BR51,0)</f>
        <v>0</v>
      </c>
      <c r="BV51" s="44" t="n">
        <f aca="false">IF(BR51=0,0,bsd(1,BW$27,BS51,$Z51,$W51,$X51,$AE51,0.1))</f>
        <v>0</v>
      </c>
      <c r="BW51" s="44" t="n">
        <f aca="false">IF(BR51=0,0,bsd(2,BW$27,BS51,$Z51,$W51,$X51,$AE51,0.1))</f>
        <v>0</v>
      </c>
      <c r="BX51" s="44" t="n">
        <f aca="false">IF(BR51=0,0,bsd(BW$28,BW$27,BS51,$Z51,$W51,$X51,$AE51,0.1))</f>
        <v>0</v>
      </c>
      <c r="BY51" s="45" t="n">
        <f aca="false">BR51*BV51</f>
        <v>0</v>
      </c>
      <c r="BZ51" s="45" t="n">
        <f aca="false">BR51*BW51</f>
        <v>0</v>
      </c>
      <c r="CA51" s="45" t="n">
        <f aca="false">BR51*BX51</f>
        <v>0</v>
      </c>
    </row>
    <row r="52" customFormat="false" ht="12.75" hidden="false" customHeight="false" outlineLevel="0" collapsed="false">
      <c r="A52" s="48" t="n">
        <f aca="false">DATE(YEAR(A51),MONTH(A51)+1,1)</f>
        <v>37926</v>
      </c>
      <c r="B52" s="40" t="n">
        <f aca="false">VLOOKUP(A52,STRADDLE,5,FALSE())</f>
        <v>3.21</v>
      </c>
      <c r="C52" s="4" t="e">
        <f aca="false">VLOOKUP(A52,STRADDLE,6,FALSE())</f>
        <v>#VALUE!</v>
      </c>
      <c r="D52" s="40" t="n">
        <f aca="false">IF(D$28="nymex",0,VLOOKUP($A52,curvesettle,HLOOKUP(D$28,curvesettle,2,FALSE())))</f>
        <v>0</v>
      </c>
      <c r="E52" s="219" t="n">
        <f aca="false">IF(D$28="NYMEX",$AD52,$AC52)</f>
        <v>-8004</v>
      </c>
      <c r="F52" s="4" t="e">
        <f aca="false">($C52+G52)+B$15</f>
        <v>#DIV/0!</v>
      </c>
      <c r="G52" s="4" t="e">
        <f aca="false">IF(B$16=1,xCalcSkew(A52,H52-AL52,b)/100,0)</f>
        <v>#DIV/0!</v>
      </c>
      <c r="H52" s="41" t="n">
        <f aca="false">IF($B$19=4,$AL52,$B$18)</f>
        <v>2.44</v>
      </c>
      <c r="J52" s="40" t="n">
        <f aca="false">IF(J$28="nymex",0,VLOOKUP($A52,curvesettle,HLOOKUP(J$28,curvesettle,2,FALSE())))</f>
        <v>0</v>
      </c>
      <c r="K52" s="219" t="n">
        <f aca="false">IF(J$28="NYMEX",$AD52,$AC52)</f>
        <v>-8004</v>
      </c>
      <c r="L52" s="220" t="e">
        <f aca="false">($C52+M52)+D$15</f>
        <v>#DIV/0!</v>
      </c>
      <c r="M52" s="4" t="e">
        <f aca="false">IF(D$16=1,xCalcSkew($A52,N52-AW52,b)/100,0)</f>
        <v>#DIV/0!</v>
      </c>
      <c r="N52" s="41" t="n">
        <f aca="false">IF($D$19=4,$AW52,$D$18)</f>
        <v>2.44</v>
      </c>
      <c r="P52" s="40" t="n">
        <f aca="false">IF(P$28="nymex",0,VLOOKUP($A52,curvesettle,HLOOKUP(P$28,curvesettle,2,FALSE())))</f>
        <v>0</v>
      </c>
      <c r="Q52" s="219" t="n">
        <f aca="false">IF(P$28="NYMEX",$AD52,$AC52)</f>
        <v>-8004</v>
      </c>
      <c r="R52" s="220" t="e">
        <f aca="false">($C52+S52)+F$15</f>
        <v>#DIV/0!</v>
      </c>
      <c r="S52" s="4" t="e">
        <f aca="false">IF(F$16=1,xCalcSkew($A52,T52-BH52,b)/100,0)</f>
        <v>#DIV/0!</v>
      </c>
      <c r="T52" s="41" t="n">
        <f aca="false">IF($F$19=4,$BH52,$F$18)</f>
        <v>2.44</v>
      </c>
      <c r="V52" s="40" t="n">
        <f aca="false">IF(V$28="nymex",0,VLOOKUP($A52,curvesettle,HLOOKUP(V$28,curvesettle,2,FALSE())))</f>
        <v>0</v>
      </c>
      <c r="W52" s="219" t="n">
        <f aca="false">IF(V$28="NYMEX",$AD52,$AC52)</f>
        <v>-8004</v>
      </c>
      <c r="X52" s="4" t="e">
        <f aca="false">($C52+Y52)+H$15</f>
        <v>#DIV/0!</v>
      </c>
      <c r="Y52" s="4" t="e">
        <f aca="false">IF(H$16=1,xCalcSkew($A52,Z52-BS52,b)/100,0)</f>
        <v>#DIV/0!</v>
      </c>
      <c r="Z52" s="41" t="n">
        <f aca="false">IF($H$19=4,$BS52,$H$18)</f>
        <v>2.44</v>
      </c>
      <c r="AC52" s="219" t="n">
        <f aca="false">VLOOKUP($A52,expiration,2,FALSE())-$B$2</f>
        <v>-8003</v>
      </c>
      <c r="AD52" s="219" t="n">
        <f aca="false">VLOOKUP($A52,expiration,3,FALSE())-$B$2</f>
        <v>-8004</v>
      </c>
      <c r="AE52" s="4" t="n">
        <f aca="false">VLOOKUP($A52,STRADDLE,15,FALSE())</f>
        <v>0.0319422401822411</v>
      </c>
      <c r="AF52" s="43" t="n">
        <f aca="false">A53-A52</f>
        <v>30</v>
      </c>
      <c r="AG52" s="44"/>
      <c r="AH52" s="44"/>
      <c r="AI52" s="44"/>
      <c r="AJ52" s="44"/>
      <c r="AK52" s="9" t="n">
        <f aca="false">IF($A52&gt;=AL$25,IF($A52&lt;=AL$26,$AF52,0),0)</f>
        <v>0</v>
      </c>
      <c r="AL52" s="221" t="e">
        <f aca="false">AN52/AK52</f>
        <v>#DIV/0!</v>
      </c>
      <c r="AM52" s="1" t="n">
        <f aca="false">AK52*($B52+B$13)</f>
        <v>0</v>
      </c>
      <c r="AN52" s="33" t="n">
        <f aca="false">IF(ISNUMBER(((AM52/AK52)+B$14+$D52)*AK52),((AM52/AK52)+B$14+$D52)*AK52,0)</f>
        <v>0</v>
      </c>
      <c r="AO52" s="44" t="n">
        <f aca="false">IF(AK52=0,0,bsd(1,AP$27,AL52,$H52,$E52,$F52,$AE52,0.1))</f>
        <v>0</v>
      </c>
      <c r="AP52" s="44" t="n">
        <f aca="false">IF(AK52=0,0,bsd(2,AP$27,AL52,$H52,$E52,$F52,$AE52,0.1))</f>
        <v>0</v>
      </c>
      <c r="AQ52" s="44" t="n">
        <f aca="false">IF(AK52=0,0,bsd(AP$28,AP$27,AL52,$H52,$E52,$F52,$AE52,0.1))</f>
        <v>0</v>
      </c>
      <c r="AR52" s="45" t="n">
        <f aca="false">AK52*AO52</f>
        <v>0</v>
      </c>
      <c r="AS52" s="45" t="n">
        <f aca="false">AK52*AP52</f>
        <v>0</v>
      </c>
      <c r="AT52" s="45" t="n">
        <f aca="false">AK52*AQ52</f>
        <v>0</v>
      </c>
      <c r="AV52" s="9" t="n">
        <f aca="false">IF($A52&gt;=AW$25,IF($A52&lt;=AW$26,$AF52,0),0)</f>
        <v>0</v>
      </c>
      <c r="AW52" s="221" t="e">
        <f aca="false">AY52/AV52</f>
        <v>#DIV/0!</v>
      </c>
      <c r="AX52" s="1" t="n">
        <f aca="false">AV52*($B52+D$13)</f>
        <v>0</v>
      </c>
      <c r="AY52" s="33" t="n">
        <f aca="false">IF(ISNUMBER(((AX52/AV52)+D$14+$J52)*AV52),((AX52/AV52)+D$14+$J52)*AV52,0)</f>
        <v>0</v>
      </c>
      <c r="AZ52" s="44" t="n">
        <f aca="false">IF(AV52=0,0,bsd(1,BA$27,AW52,$N52,$K52,$L52,$AE52,0.1))</f>
        <v>0</v>
      </c>
      <c r="BA52" s="44" t="n">
        <f aca="false">IF(AV52=0,0,bsd(2,BA$27,AW52,$N52,$K52,$L52,$AE52,0.1))</f>
        <v>0</v>
      </c>
      <c r="BB52" s="44" t="n">
        <f aca="false">IF(AV52=0,0,bsd(BA$28,BA$27,AW52,$N52,$K52,$L52,$AE52,0.1))</f>
        <v>0</v>
      </c>
      <c r="BC52" s="45" t="n">
        <f aca="false">AV52*AZ52</f>
        <v>0</v>
      </c>
      <c r="BD52" s="45" t="n">
        <f aca="false">AV52*BA52</f>
        <v>0</v>
      </c>
      <c r="BE52" s="45" t="n">
        <f aca="false">AV52*BB52</f>
        <v>0</v>
      </c>
      <c r="BG52" s="9" t="n">
        <f aca="false">IF($A52&gt;=BH$25,IF($A52&lt;=BH$26,$AF52,0),0)</f>
        <v>0</v>
      </c>
      <c r="BH52" s="221" t="e">
        <f aca="false">BJ52/BG52</f>
        <v>#DIV/0!</v>
      </c>
      <c r="BI52" s="1" t="n">
        <f aca="false">BG52*($B52+F$13)</f>
        <v>0</v>
      </c>
      <c r="BJ52" s="33" t="n">
        <f aca="false">IF(ISNUMBER(((BI52/BG52)+F$14+$P52)*BG52),((BI52/BG52)+F$14+$P52)*BG52,0)</f>
        <v>0</v>
      </c>
      <c r="BK52" s="44" t="n">
        <f aca="false">IF(BG52=0,0,bsd(1,BL$27,BH52,$T52,$Q52,$R52,$AE52,0.1))</f>
        <v>0</v>
      </c>
      <c r="BL52" s="44" t="n">
        <f aca="false">IF(BG52=0,0,bsd(2,BL$27,BH52,$T52,$Q52,$R52,$AE52,0.1))</f>
        <v>0</v>
      </c>
      <c r="BM52" s="44" t="n">
        <f aca="false">IF(BG52=0,0,bsd(BL$28,BL$27,BH52,$T52,$Q52,$R52,$AE52,0.1))</f>
        <v>0</v>
      </c>
      <c r="BN52" s="45" t="n">
        <f aca="false">BG52*BK52</f>
        <v>0</v>
      </c>
      <c r="BO52" s="45" t="n">
        <f aca="false">BG52*BL52</f>
        <v>0</v>
      </c>
      <c r="BP52" s="45" t="n">
        <f aca="false">BG52*BM52</f>
        <v>0</v>
      </c>
      <c r="BR52" s="9" t="n">
        <f aca="false">IF($A52&gt;=BS$25,IF($A52&lt;=BS$26,$AF52,0),0)</f>
        <v>0</v>
      </c>
      <c r="BS52" s="221" t="e">
        <f aca="false">BU52/BR52</f>
        <v>#DIV/0!</v>
      </c>
      <c r="BT52" s="1" t="n">
        <f aca="false">BR52*($B52+H$13)</f>
        <v>0</v>
      </c>
      <c r="BU52" s="33" t="n">
        <f aca="false">IF(ISNUMBER(((BT52/BR52)+H$14+$V52)*BR52),((BT52/BR52)+H$14+$V52)*BR52,0)</f>
        <v>0</v>
      </c>
      <c r="BV52" s="44" t="n">
        <f aca="false">IF(BR52=0,0,bsd(1,BW$27,BS52,$Z52,$W52,$X52,$AE52,0.1))</f>
        <v>0</v>
      </c>
      <c r="BW52" s="44" t="n">
        <f aca="false">IF(BR52=0,0,bsd(2,BW$27,BS52,$Z52,$W52,$X52,$AE52,0.1))</f>
        <v>0</v>
      </c>
      <c r="BX52" s="44" t="n">
        <f aca="false">IF(BR52=0,0,bsd(BW$28,BW$27,BS52,$Z52,$W52,$X52,$AE52,0.1))</f>
        <v>0</v>
      </c>
      <c r="BY52" s="45" t="n">
        <f aca="false">BR52*BV52</f>
        <v>0</v>
      </c>
      <c r="BZ52" s="45" t="n">
        <f aca="false">BR52*BW52</f>
        <v>0</v>
      </c>
      <c r="CA52" s="45" t="n">
        <f aca="false">BR52*BX52</f>
        <v>0</v>
      </c>
    </row>
    <row r="53" customFormat="false" ht="12.75" hidden="false" customHeight="false" outlineLevel="0" collapsed="false">
      <c r="A53" s="48" t="n">
        <f aca="false">DATE(YEAR(A52),MONTH(A52)+1,1)</f>
        <v>37956</v>
      </c>
      <c r="B53" s="40" t="n">
        <f aca="false">VLOOKUP(A53,STRADDLE,5,FALSE())</f>
        <v>3.19</v>
      </c>
      <c r="C53" s="4" t="e">
        <f aca="false">VLOOKUP(A53,STRADDLE,6,FALSE())</f>
        <v>#VALUE!</v>
      </c>
      <c r="D53" s="40" t="n">
        <f aca="false">IF(D$28="nymex",0,VLOOKUP($A53,curvesettle,HLOOKUP(D$28,curvesettle,2,FALSE())))</f>
        <v>0</v>
      </c>
      <c r="E53" s="219" t="n">
        <f aca="false">IF(D$28="NYMEX",$AD53,$AC53)</f>
        <v>-7977</v>
      </c>
      <c r="F53" s="4" t="e">
        <f aca="false">($C53+G53)+B$15</f>
        <v>#DIV/0!</v>
      </c>
      <c r="G53" s="4" t="e">
        <f aca="false">IF(B$16=1,xCalcSkew(A53,H53-AL53,b)/100,0)</f>
        <v>#DIV/0!</v>
      </c>
      <c r="H53" s="41" t="n">
        <f aca="false">IF($B$19=4,$AL53,$B$18)</f>
        <v>2.44</v>
      </c>
      <c r="J53" s="40" t="n">
        <f aca="false">IF(J$28="nymex",0,VLOOKUP($A53,curvesettle,HLOOKUP(J$28,curvesettle,2,FALSE())))</f>
        <v>0</v>
      </c>
      <c r="K53" s="219" t="n">
        <f aca="false">IF(J$28="NYMEX",$AD53,$AC53)</f>
        <v>-7977</v>
      </c>
      <c r="L53" s="220" t="e">
        <f aca="false">($C53+M53)+D$15</f>
        <v>#DIV/0!</v>
      </c>
      <c r="M53" s="4" t="e">
        <f aca="false">IF(D$16=1,xCalcSkew($A53,N53-AW53,b)/100,0)</f>
        <v>#DIV/0!</v>
      </c>
      <c r="N53" s="41" t="n">
        <f aca="false">IF($D$19=4,$AW53,$D$18)</f>
        <v>2.44</v>
      </c>
      <c r="P53" s="40" t="n">
        <f aca="false">IF(P$28="nymex",0,VLOOKUP($A53,curvesettle,HLOOKUP(P$28,curvesettle,2,FALSE())))</f>
        <v>0</v>
      </c>
      <c r="Q53" s="219" t="n">
        <f aca="false">IF(P$28="NYMEX",$AD53,$AC53)</f>
        <v>-7977</v>
      </c>
      <c r="R53" s="220" t="e">
        <f aca="false">($C53+S53)+F$15</f>
        <v>#DIV/0!</v>
      </c>
      <c r="S53" s="4" t="e">
        <f aca="false">IF(F$16=1,xCalcSkew($A53,T53-BH53,b)/100,0)</f>
        <v>#DIV/0!</v>
      </c>
      <c r="T53" s="41" t="n">
        <f aca="false">IF($F$19=4,$BH53,$F$18)</f>
        <v>2.44</v>
      </c>
      <c r="V53" s="40" t="n">
        <f aca="false">IF(V$28="nymex",0,VLOOKUP($A53,curvesettle,HLOOKUP(V$28,curvesettle,2,FALSE())))</f>
        <v>0</v>
      </c>
      <c r="W53" s="219" t="n">
        <f aca="false">IF(V$28="NYMEX",$AD53,$AC53)</f>
        <v>-7977</v>
      </c>
      <c r="X53" s="4" t="e">
        <f aca="false">($C53+Y53)+H$15</f>
        <v>#DIV/0!</v>
      </c>
      <c r="Y53" s="4" t="e">
        <f aca="false">IF(H$16=1,xCalcSkew($A53,Z53-BS53,b)/100,0)</f>
        <v>#DIV/0!</v>
      </c>
      <c r="Z53" s="41" t="n">
        <f aca="false">IF($H$19=4,$BS53,$H$18)</f>
        <v>2.44</v>
      </c>
      <c r="AC53" s="219" t="n">
        <f aca="false">VLOOKUP($A53,expiration,2,FALSE())-$B$2</f>
        <v>-7976</v>
      </c>
      <c r="AD53" s="219" t="n">
        <f aca="false">VLOOKUP($A53,expiration,3,FALSE())-$B$2</f>
        <v>-7977</v>
      </c>
      <c r="AE53" s="4" t="n">
        <f aca="false">VLOOKUP($A53,STRADDLE,15,FALSE())</f>
        <v>0.0327014546988971</v>
      </c>
      <c r="AF53" s="43" t="n">
        <f aca="false">A54-A53</f>
        <v>31</v>
      </c>
      <c r="AG53" s="44"/>
      <c r="AH53" s="44"/>
      <c r="AI53" s="44"/>
      <c r="AJ53" s="44"/>
      <c r="AK53" s="9" t="n">
        <f aca="false">IF($A53&gt;=AL$25,IF($A53&lt;=AL$26,$AF53,0),0)</f>
        <v>0</v>
      </c>
      <c r="AL53" s="221" t="e">
        <f aca="false">AN53/AK53</f>
        <v>#DIV/0!</v>
      </c>
      <c r="AM53" s="1" t="n">
        <f aca="false">AK53*($B53+B$13)</f>
        <v>0</v>
      </c>
      <c r="AN53" s="33" t="n">
        <f aca="false">IF(ISNUMBER(((AM53/AK53)+B$14+$D53)*AK53),((AM53/AK53)+B$14+$D53)*AK53,0)</f>
        <v>0</v>
      </c>
      <c r="AO53" s="44" t="n">
        <f aca="false">IF(AK53=0,0,bsd(1,AP$27,AL53,$H53,$E53,$F53,$AE53,0.1))</f>
        <v>0</v>
      </c>
      <c r="AP53" s="44" t="n">
        <f aca="false">IF(AK53=0,0,bsd(2,AP$27,AL53,$H53,$E53,$F53,$AE53,0.1))</f>
        <v>0</v>
      </c>
      <c r="AQ53" s="44" t="n">
        <f aca="false">IF(AK53=0,0,bsd(AP$28,AP$27,AL53,$H53,$E53,$F53,$AE53,0.1))</f>
        <v>0</v>
      </c>
      <c r="AR53" s="45" t="n">
        <f aca="false">AK53*AO53</f>
        <v>0</v>
      </c>
      <c r="AS53" s="45" t="n">
        <f aca="false">AK53*AP53</f>
        <v>0</v>
      </c>
      <c r="AT53" s="45" t="n">
        <f aca="false">AK53*AQ53</f>
        <v>0</v>
      </c>
      <c r="AV53" s="9" t="n">
        <f aca="false">IF($A53&gt;=AW$25,IF($A53&lt;=AW$26,$AF53,0),0)</f>
        <v>0</v>
      </c>
      <c r="AW53" s="221" t="e">
        <f aca="false">AY53/AV53</f>
        <v>#DIV/0!</v>
      </c>
      <c r="AX53" s="1" t="n">
        <f aca="false">AV53*($B53+D$13)</f>
        <v>0</v>
      </c>
      <c r="AY53" s="33" t="n">
        <f aca="false">IF(ISNUMBER(((AX53/AV53)+D$14+$J53)*AV53),((AX53/AV53)+D$14+$J53)*AV53,0)</f>
        <v>0</v>
      </c>
      <c r="AZ53" s="44" t="n">
        <f aca="false">IF(AV53=0,0,bsd(1,BA$27,AW53,$N53,$K53,$L53,$AE53,0.1))</f>
        <v>0</v>
      </c>
      <c r="BA53" s="44" t="n">
        <f aca="false">IF(AV53=0,0,bsd(2,BA$27,AW53,$N53,$K53,$L53,$AE53,0.1))</f>
        <v>0</v>
      </c>
      <c r="BB53" s="44" t="n">
        <f aca="false">IF(AV53=0,0,bsd(BA$28,BA$27,AW53,$N53,$K53,$L53,$AE53,0.1))</f>
        <v>0</v>
      </c>
      <c r="BC53" s="45" t="n">
        <f aca="false">AV53*AZ53</f>
        <v>0</v>
      </c>
      <c r="BD53" s="45" t="n">
        <f aca="false">AV53*BA53</f>
        <v>0</v>
      </c>
      <c r="BE53" s="45" t="n">
        <f aca="false">AV53*BB53</f>
        <v>0</v>
      </c>
      <c r="BG53" s="9" t="n">
        <f aca="false">IF($A53&gt;=BH$25,IF($A53&lt;=BH$26,$AF53,0),0)</f>
        <v>0</v>
      </c>
      <c r="BH53" s="221" t="e">
        <f aca="false">BJ53/BG53</f>
        <v>#DIV/0!</v>
      </c>
      <c r="BI53" s="1" t="n">
        <f aca="false">BG53*($B53+F$13)</f>
        <v>0</v>
      </c>
      <c r="BJ53" s="33" t="n">
        <f aca="false">IF(ISNUMBER(((BI53/BG53)+F$14+$P53)*BG53),((BI53/BG53)+F$14+$P53)*BG53,0)</f>
        <v>0</v>
      </c>
      <c r="BK53" s="44" t="n">
        <f aca="false">IF(BG53=0,0,bsd(1,BL$27,BH53,$T53,$Q53,$R53,$AE53,0.1))</f>
        <v>0</v>
      </c>
      <c r="BL53" s="44" t="n">
        <f aca="false">IF(BG53=0,0,bsd(2,BL$27,BH53,$T53,$Q53,$R53,$AE53,0.1))</f>
        <v>0</v>
      </c>
      <c r="BM53" s="44" t="n">
        <f aca="false">IF(BG53=0,0,bsd(BL$28,BL$27,BH53,$T53,$Q53,$R53,$AE53,0.1))</f>
        <v>0</v>
      </c>
      <c r="BN53" s="45" t="n">
        <f aca="false">BG53*BK53</f>
        <v>0</v>
      </c>
      <c r="BO53" s="45" t="n">
        <f aca="false">BG53*BL53</f>
        <v>0</v>
      </c>
      <c r="BP53" s="45" t="n">
        <f aca="false">BG53*BM53</f>
        <v>0</v>
      </c>
      <c r="BR53" s="9" t="n">
        <f aca="false">IF($A53&gt;=BS$25,IF($A53&lt;=BS$26,$AF53,0),0)</f>
        <v>0</v>
      </c>
      <c r="BS53" s="221" t="e">
        <f aca="false">BU53/BR53</f>
        <v>#DIV/0!</v>
      </c>
      <c r="BT53" s="1" t="n">
        <f aca="false">BR53*($B53+H$13)</f>
        <v>0</v>
      </c>
      <c r="BU53" s="33" t="n">
        <f aca="false">IF(ISNUMBER(((BT53/BR53)+H$14+$V53)*BR53),((BT53/BR53)+H$14+$V53)*BR53,0)</f>
        <v>0</v>
      </c>
      <c r="BV53" s="44" t="n">
        <f aca="false">IF(BR53=0,0,bsd(1,BW$27,BS53,$Z53,$W53,$X53,$AE53,0.1))</f>
        <v>0</v>
      </c>
      <c r="BW53" s="44" t="n">
        <f aca="false">IF(BR53=0,0,bsd(2,BW$27,BS53,$Z53,$W53,$X53,$AE53,0.1))</f>
        <v>0</v>
      </c>
      <c r="BX53" s="44" t="n">
        <f aca="false">IF(BR53=0,0,bsd(BW$28,BW$27,BS53,$Z53,$W53,$X53,$AE53,0.1))</f>
        <v>0</v>
      </c>
      <c r="BY53" s="45" t="n">
        <f aca="false">BR53*BV53</f>
        <v>0</v>
      </c>
      <c r="BZ53" s="45" t="n">
        <f aca="false">BR53*BW53</f>
        <v>0</v>
      </c>
      <c r="CA53" s="45" t="n">
        <f aca="false">BR53*BX53</f>
        <v>0</v>
      </c>
    </row>
    <row r="54" customFormat="false" ht="12.75" hidden="false" customHeight="false" outlineLevel="0" collapsed="false">
      <c r="A54" s="48" t="n">
        <f aca="false">DATE(YEAR(A53),MONTH(A53)+1,1)</f>
        <v>37987</v>
      </c>
      <c r="B54" s="40" t="n">
        <f aca="false">VLOOKUP(A54,STRADDLE,5,FALSE())</f>
        <v>3.256</v>
      </c>
      <c r="C54" s="4" t="e">
        <f aca="false">VLOOKUP(A54,STRADDLE,6,FALSE())</f>
        <v>#VALUE!</v>
      </c>
      <c r="D54" s="40" t="n">
        <f aca="false">IF(D$28="nymex",0,VLOOKUP($A54,curvesettle,HLOOKUP(D$28,curvesettle,2,FALSE())))</f>
        <v>0</v>
      </c>
      <c r="E54" s="219" t="n">
        <f aca="false">IF(D$28="NYMEX",$AD54,$AC54)</f>
        <v>-7945</v>
      </c>
      <c r="F54" s="4" t="e">
        <f aca="false">($C54+G54)+B$15</f>
        <v>#DIV/0!</v>
      </c>
      <c r="G54" s="4" t="e">
        <f aca="false">IF(B$16=1,xCalcSkew(A54,H54-AL54,b)/100,0)</f>
        <v>#DIV/0!</v>
      </c>
      <c r="H54" s="41" t="n">
        <f aca="false">IF($B$19=4,$AL54,$B$18)</f>
        <v>2.44</v>
      </c>
      <c r="J54" s="40" t="n">
        <f aca="false">IF(J$28="nymex",0,VLOOKUP($A54,curvesettle,HLOOKUP(J$28,curvesettle,2,FALSE())))</f>
        <v>0</v>
      </c>
      <c r="K54" s="219" t="n">
        <f aca="false">IF(J$28="NYMEX",$AD54,$AC54)</f>
        <v>-7945</v>
      </c>
      <c r="L54" s="220" t="e">
        <f aca="false">($C54+M54)+D$15</f>
        <v>#DIV/0!</v>
      </c>
      <c r="M54" s="4" t="e">
        <f aca="false">IF(D$16=1,xCalcSkew($A54,N54-AW54,b)/100,0)</f>
        <v>#DIV/0!</v>
      </c>
      <c r="N54" s="41" t="n">
        <f aca="false">IF($D$19=4,$AW54,$D$18)</f>
        <v>2.44</v>
      </c>
      <c r="P54" s="40" t="n">
        <f aca="false">IF(P$28="nymex",0,VLOOKUP($A54,curvesettle,HLOOKUP(P$28,curvesettle,2,FALSE())))</f>
        <v>0</v>
      </c>
      <c r="Q54" s="219" t="n">
        <f aca="false">IF(P$28="NYMEX",$AD54,$AC54)</f>
        <v>-7945</v>
      </c>
      <c r="R54" s="220" t="e">
        <f aca="false">($C54+S54)+F$15</f>
        <v>#DIV/0!</v>
      </c>
      <c r="S54" s="4" t="e">
        <f aca="false">IF(F$16=1,xCalcSkew($A54,T54-BH54,b)/100,0)</f>
        <v>#DIV/0!</v>
      </c>
      <c r="T54" s="41" t="n">
        <f aca="false">IF($F$19=4,$BH54,$F$18)</f>
        <v>2.44</v>
      </c>
      <c r="V54" s="40" t="n">
        <f aca="false">IF(V$28="nymex",0,VLOOKUP($A54,curvesettle,HLOOKUP(V$28,curvesettle,2,FALSE())))</f>
        <v>0</v>
      </c>
      <c r="W54" s="219" t="n">
        <f aca="false">IF(V$28="NYMEX",$AD54,$AC54)</f>
        <v>-7945</v>
      </c>
      <c r="X54" s="4" t="e">
        <f aca="false">($C54+Y54)+H$15</f>
        <v>#DIV/0!</v>
      </c>
      <c r="Y54" s="4" t="e">
        <f aca="false">IF(H$16=1,xCalcSkew($A54,Z54-BS54,b)/100,0)</f>
        <v>#DIV/0!</v>
      </c>
      <c r="Z54" s="41" t="n">
        <f aca="false">IF($H$19=4,$BS54,$H$18)</f>
        <v>2.44</v>
      </c>
      <c r="AC54" s="219" t="n">
        <f aca="false">VLOOKUP($A54,expiration,2,FALSE())-$B$2</f>
        <v>-7942</v>
      </c>
      <c r="AD54" s="219" t="n">
        <f aca="false">VLOOKUP($A54,expiration,3,FALSE())-$B$2</f>
        <v>-7945</v>
      </c>
      <c r="AE54" s="4" t="n">
        <f aca="false">VLOOKUP($A54,STRADDLE,15,FALSE())</f>
        <v>0.0334361786094948</v>
      </c>
      <c r="AF54" s="43" t="n">
        <f aca="false">A55-A54</f>
        <v>31</v>
      </c>
      <c r="AG54" s="44"/>
      <c r="AH54" s="44"/>
      <c r="AI54" s="44"/>
      <c r="AJ54" s="44"/>
      <c r="AK54" s="9" t="n">
        <f aca="false">IF($A54&gt;=AL$25,IF($A54&lt;=AL$26,$AF54,0),0)</f>
        <v>0</v>
      </c>
      <c r="AL54" s="221" t="e">
        <f aca="false">AN54/AK54</f>
        <v>#DIV/0!</v>
      </c>
      <c r="AM54" s="1" t="n">
        <f aca="false">AK54*($B54+B$13)</f>
        <v>0</v>
      </c>
      <c r="AN54" s="33" t="n">
        <f aca="false">IF(ISNUMBER(((AM54/AK54)+B$14+$D54)*AK54),((AM54/AK54)+B$14+$D54)*AK54,0)</f>
        <v>0</v>
      </c>
      <c r="AO54" s="44" t="n">
        <f aca="false">IF(AK54=0,0,bsd(1,AP$27,AL54,$H54,$E54,$F54,$AE54,0.1))</f>
        <v>0</v>
      </c>
      <c r="AP54" s="44" t="n">
        <f aca="false">IF(AK54=0,0,bsd(2,AP$27,AL54,$H54,$E54,$F54,$AE54,0.1))</f>
        <v>0</v>
      </c>
      <c r="AQ54" s="44" t="n">
        <f aca="false">IF(AK54=0,0,bsd(AP$28,AP$27,AL54,$H54,$E54,$F54,$AE54,0.1))</f>
        <v>0</v>
      </c>
      <c r="AR54" s="45" t="n">
        <f aca="false">AK54*AO54</f>
        <v>0</v>
      </c>
      <c r="AS54" s="45" t="n">
        <f aca="false">AK54*AP54</f>
        <v>0</v>
      </c>
      <c r="AT54" s="45" t="n">
        <f aca="false">AK54*AQ54</f>
        <v>0</v>
      </c>
      <c r="AV54" s="9" t="n">
        <f aca="false">IF($A54&gt;=AW$25,IF($A54&lt;=AW$26,$AF54,0),0)</f>
        <v>0</v>
      </c>
      <c r="AW54" s="221" t="e">
        <f aca="false">AY54/AV54</f>
        <v>#DIV/0!</v>
      </c>
      <c r="AX54" s="1" t="n">
        <f aca="false">AV54*($B54+D$13)</f>
        <v>0</v>
      </c>
      <c r="AY54" s="33" t="n">
        <f aca="false">IF(ISNUMBER(((AX54/AV54)+D$14+$J54)*AV54),((AX54/AV54)+D$14+$J54)*AV54,0)</f>
        <v>0</v>
      </c>
      <c r="AZ54" s="44" t="n">
        <f aca="false">IF(AV54=0,0,bsd(1,BA$27,AW54,$N54,$K54,$L54,$AE54,0.1))</f>
        <v>0</v>
      </c>
      <c r="BA54" s="44" t="n">
        <f aca="false">IF(AV54=0,0,bsd(2,BA$27,AW54,$N54,$K54,$L54,$AE54,0.1))</f>
        <v>0</v>
      </c>
      <c r="BB54" s="44" t="n">
        <f aca="false">IF(AV54=0,0,bsd(BA$28,BA$27,AW54,$N54,$K54,$L54,$AE54,0.1))</f>
        <v>0</v>
      </c>
      <c r="BC54" s="45" t="n">
        <f aca="false">AV54*AZ54</f>
        <v>0</v>
      </c>
      <c r="BD54" s="45" t="n">
        <f aca="false">AV54*BA54</f>
        <v>0</v>
      </c>
      <c r="BE54" s="45" t="n">
        <f aca="false">AV54*BB54</f>
        <v>0</v>
      </c>
      <c r="BG54" s="9" t="n">
        <f aca="false">IF($A54&gt;=BH$25,IF($A54&lt;=BH$26,$AF54,0),0)</f>
        <v>0</v>
      </c>
      <c r="BH54" s="221" t="e">
        <f aca="false">BJ54/BG54</f>
        <v>#DIV/0!</v>
      </c>
      <c r="BI54" s="1" t="n">
        <f aca="false">BG54*($B54+F$13)</f>
        <v>0</v>
      </c>
      <c r="BJ54" s="33" t="n">
        <f aca="false">IF(ISNUMBER(((BI54/BG54)+F$14+$P54)*BG54),((BI54/BG54)+F$14+$P54)*BG54,0)</f>
        <v>0</v>
      </c>
      <c r="BK54" s="44" t="n">
        <f aca="false">IF(BG54=0,0,bsd(1,BL$27,BH54,$T54,$Q54,$R54,$AE54,0.1))</f>
        <v>0</v>
      </c>
      <c r="BL54" s="44" t="n">
        <f aca="false">IF(BG54=0,0,bsd(2,BL$27,BH54,$T54,$Q54,$R54,$AE54,0.1))</f>
        <v>0</v>
      </c>
      <c r="BM54" s="44" t="n">
        <f aca="false">IF(BG54=0,0,bsd(BL$28,BL$27,BH54,$T54,$Q54,$R54,$AE54,0.1))</f>
        <v>0</v>
      </c>
      <c r="BN54" s="45" t="n">
        <f aca="false">BG54*BK54</f>
        <v>0</v>
      </c>
      <c r="BO54" s="45" t="n">
        <f aca="false">BG54*BL54</f>
        <v>0</v>
      </c>
      <c r="BP54" s="45" t="n">
        <f aca="false">BG54*BM54</f>
        <v>0</v>
      </c>
      <c r="BR54" s="9" t="n">
        <f aca="false">IF($A54&gt;=BS$25,IF($A54&lt;=BS$26,$AF54,0),0)</f>
        <v>0</v>
      </c>
      <c r="BS54" s="221" t="e">
        <f aca="false">BU54/BR54</f>
        <v>#DIV/0!</v>
      </c>
      <c r="BT54" s="1" t="n">
        <f aca="false">BR54*($B54+H$13)</f>
        <v>0</v>
      </c>
      <c r="BU54" s="33" t="n">
        <f aca="false">IF(ISNUMBER(((BT54/BR54)+H$14+$V54)*BR54),((BT54/BR54)+H$14+$V54)*BR54,0)</f>
        <v>0</v>
      </c>
      <c r="BV54" s="44" t="n">
        <f aca="false">IF(BR54=0,0,bsd(1,BW$27,BS54,$Z54,$W54,$X54,$AE54,0.1))</f>
        <v>0</v>
      </c>
      <c r="BW54" s="44" t="n">
        <f aca="false">IF(BR54=0,0,bsd(2,BW$27,BS54,$Z54,$W54,$X54,$AE54,0.1))</f>
        <v>0</v>
      </c>
      <c r="BX54" s="44" t="n">
        <f aca="false">IF(BR54=0,0,bsd(BW$28,BW$27,BS54,$Z54,$W54,$X54,$AE54,0.1))</f>
        <v>0</v>
      </c>
      <c r="BY54" s="45" t="n">
        <f aca="false">BR54*BV54</f>
        <v>0</v>
      </c>
      <c r="BZ54" s="45" t="n">
        <f aca="false">BR54*BW54</f>
        <v>0</v>
      </c>
      <c r="CA54" s="45" t="n">
        <f aca="false">BR54*BX54</f>
        <v>0</v>
      </c>
    </row>
    <row r="55" customFormat="false" ht="12.75" hidden="false" customHeight="false" outlineLevel="0" collapsed="false">
      <c r="A55" s="48" t="n">
        <f aca="false">DATE(YEAR(A54),MONTH(A54)+1,1)</f>
        <v>38018</v>
      </c>
      <c r="B55" s="40" t="n">
        <f aca="false">VLOOKUP(A55,STRADDLE,5,FALSE())</f>
        <v>3.35</v>
      </c>
      <c r="C55" s="4" t="e">
        <f aca="false">VLOOKUP(A55,STRADDLE,6,FALSE())</f>
        <v>#VALUE!</v>
      </c>
      <c r="D55" s="40" t="n">
        <f aca="false">IF(D$28="nymex",0,VLOOKUP($A55,curvesettle,HLOOKUP(D$28,curvesettle,2,FALSE())))</f>
        <v>0</v>
      </c>
      <c r="E55" s="219" t="n">
        <f aca="false">IF(D$28="NYMEX",$AD55,$AC55)</f>
        <v>-7913</v>
      </c>
      <c r="F55" s="4" t="e">
        <f aca="false">($C55+G55)+B$15</f>
        <v>#DIV/0!</v>
      </c>
      <c r="G55" s="4" t="e">
        <f aca="false">IF(B$16=1,xCalcSkew(A55,H55-AL55,b)/100,0)</f>
        <v>#DIV/0!</v>
      </c>
      <c r="H55" s="41" t="n">
        <f aca="false">IF($B$19=4,$AL55,$B$18)</f>
        <v>2.44</v>
      </c>
      <c r="J55" s="40" t="n">
        <f aca="false">IF(J$28="nymex",0,VLOOKUP($A55,curvesettle,HLOOKUP(J$28,curvesettle,2,FALSE())))</f>
        <v>0</v>
      </c>
      <c r="K55" s="219" t="n">
        <f aca="false">IF(J$28="NYMEX",$AD55,$AC55)</f>
        <v>-7913</v>
      </c>
      <c r="L55" s="220" t="e">
        <f aca="false">($C55+M55)+D$15</f>
        <v>#DIV/0!</v>
      </c>
      <c r="M55" s="4" t="e">
        <f aca="false">IF(D$16=1,xCalcSkew($A55,N55-AW55,b)/100,0)</f>
        <v>#DIV/0!</v>
      </c>
      <c r="N55" s="41" t="n">
        <f aca="false">IF($D$19=4,$AW55,$D$18)</f>
        <v>2.44</v>
      </c>
      <c r="P55" s="40" t="n">
        <f aca="false">IF(P$28="nymex",0,VLOOKUP($A55,curvesettle,HLOOKUP(P$28,curvesettle,2,FALSE())))</f>
        <v>0</v>
      </c>
      <c r="Q55" s="219" t="n">
        <f aca="false">IF(P$28="NYMEX",$AD55,$AC55)</f>
        <v>-7913</v>
      </c>
      <c r="R55" s="220" t="e">
        <f aca="false">($C55+S55)+F$15</f>
        <v>#DIV/0!</v>
      </c>
      <c r="S55" s="4" t="e">
        <f aca="false">IF(F$16=1,xCalcSkew($A55,T55-BH55,b)/100,0)</f>
        <v>#DIV/0!</v>
      </c>
      <c r="T55" s="41" t="n">
        <f aca="false">IF($F$19=4,$BH55,$F$18)</f>
        <v>2.44</v>
      </c>
      <c r="V55" s="40" t="n">
        <f aca="false">IF(V$28="nymex",0,VLOOKUP($A55,curvesettle,HLOOKUP(V$28,curvesettle,2,FALSE())))</f>
        <v>0</v>
      </c>
      <c r="W55" s="219" t="n">
        <f aca="false">IF(V$28="NYMEX",$AD55,$AC55)</f>
        <v>-7913</v>
      </c>
      <c r="X55" s="4" t="e">
        <f aca="false">($C55+Y55)+H$15</f>
        <v>#DIV/0!</v>
      </c>
      <c r="Y55" s="4" t="e">
        <f aca="false">IF(H$16=1,xCalcSkew($A55,Z55-BS55,b)/100,0)</f>
        <v>#DIV/0!</v>
      </c>
      <c r="Z55" s="41" t="n">
        <f aca="false">IF($H$19=4,$BS55,$H$18)</f>
        <v>2.44</v>
      </c>
      <c r="AC55" s="219" t="n">
        <f aca="false">VLOOKUP($A55,expiration,2,FALSE())-$B$2</f>
        <v>-7912</v>
      </c>
      <c r="AD55" s="219" t="n">
        <f aca="false">VLOOKUP($A55,expiration,3,FALSE())-$B$2</f>
        <v>-7913</v>
      </c>
      <c r="AE55" s="4" t="n">
        <f aca="false">VLOOKUP($A55,STRADDLE,15,FALSE())</f>
        <v>0.0346389566727829</v>
      </c>
      <c r="AF55" s="43" t="n">
        <f aca="false">A56-A55</f>
        <v>29</v>
      </c>
      <c r="AG55" s="44"/>
      <c r="AH55" s="44"/>
      <c r="AI55" s="44"/>
      <c r="AJ55" s="44"/>
      <c r="AK55" s="9" t="n">
        <f aca="false">IF($A55&gt;=AL$25,IF($A55&lt;=AL$26,$AF55,0),0)</f>
        <v>0</v>
      </c>
      <c r="AL55" s="221" t="e">
        <f aca="false">AN55/AK55</f>
        <v>#DIV/0!</v>
      </c>
      <c r="AM55" s="1" t="n">
        <f aca="false">AK55*($B55+B$13)</f>
        <v>0</v>
      </c>
      <c r="AN55" s="33" t="n">
        <f aca="false">IF(ISNUMBER(((AM55/AK55)+B$14+$D55)*AK55),((AM55/AK55)+B$14+$D55)*AK55,0)</f>
        <v>0</v>
      </c>
      <c r="AO55" s="44" t="n">
        <f aca="false">IF(AK55=0,0,bsd(1,AP$27,AL55,$H55,$E55,$F55,$AE55,0.1))</f>
        <v>0</v>
      </c>
      <c r="AP55" s="44" t="n">
        <f aca="false">IF(AK55=0,0,bsd(2,AP$27,AL55,$H55,$E55,$F55,$AE55,0.1))</f>
        <v>0</v>
      </c>
      <c r="AQ55" s="44" t="n">
        <f aca="false">IF(AK55=0,0,bsd(AP$28,AP$27,AL55,$H55,$E55,$F55,$AE55,0.1))</f>
        <v>0</v>
      </c>
      <c r="AR55" s="45" t="n">
        <f aca="false">AK55*AO55</f>
        <v>0</v>
      </c>
      <c r="AS55" s="45" t="n">
        <f aca="false">AK55*AP55</f>
        <v>0</v>
      </c>
      <c r="AT55" s="45" t="n">
        <f aca="false">AK55*AQ55</f>
        <v>0</v>
      </c>
      <c r="AV55" s="9" t="n">
        <f aca="false">IF($A55&gt;=AW$25,IF($A55&lt;=AW$26,$AF55,0),0)</f>
        <v>0</v>
      </c>
      <c r="AW55" s="221" t="e">
        <f aca="false">AY55/AV55</f>
        <v>#DIV/0!</v>
      </c>
      <c r="AX55" s="1" t="n">
        <f aca="false">AV55*($B55+D$13)</f>
        <v>0</v>
      </c>
      <c r="AY55" s="33" t="n">
        <f aca="false">IF(ISNUMBER(((AX55/AV55)+D$14+$J55)*AV55),((AX55/AV55)+D$14+$J55)*AV55,0)</f>
        <v>0</v>
      </c>
      <c r="AZ55" s="44" t="n">
        <f aca="false">IF(AV55=0,0,bsd(1,BA$27,AW55,$N55,$K55,$L55,$AE55,0.1))</f>
        <v>0</v>
      </c>
      <c r="BA55" s="44" t="n">
        <f aca="false">IF(AV55=0,0,bsd(2,BA$27,AW55,$N55,$K55,$L55,$AE55,0.1))</f>
        <v>0</v>
      </c>
      <c r="BB55" s="44" t="n">
        <f aca="false">IF(AV55=0,0,bsd(BA$28,BA$27,AW55,$N55,$K55,$L55,$AE55,0.1))</f>
        <v>0</v>
      </c>
      <c r="BC55" s="45" t="n">
        <f aca="false">AV55*AZ55</f>
        <v>0</v>
      </c>
      <c r="BD55" s="45" t="n">
        <f aca="false">AV55*BA55</f>
        <v>0</v>
      </c>
      <c r="BE55" s="45" t="n">
        <f aca="false">AV55*BB55</f>
        <v>0</v>
      </c>
      <c r="BG55" s="9" t="n">
        <f aca="false">IF($A55&gt;=BH$25,IF($A55&lt;=BH$26,$AF55,0),0)</f>
        <v>0</v>
      </c>
      <c r="BH55" s="221" t="e">
        <f aca="false">BJ55/BG55</f>
        <v>#DIV/0!</v>
      </c>
      <c r="BI55" s="1" t="n">
        <f aca="false">BG55*($B55+F$13)</f>
        <v>0</v>
      </c>
      <c r="BJ55" s="33" t="n">
        <f aca="false">IF(ISNUMBER(((BI55/BG55)+F$14+$P55)*BG55),((BI55/BG55)+F$14+$P55)*BG55,0)</f>
        <v>0</v>
      </c>
      <c r="BK55" s="44" t="n">
        <f aca="false">IF(BG55=0,0,bsd(1,BL$27,BH55,$T55,$Q55,$R55,$AE55,0.1))</f>
        <v>0</v>
      </c>
      <c r="BL55" s="44" t="n">
        <f aca="false">IF(BG55=0,0,bsd(2,BL$27,BH55,$T55,$Q55,$R55,$AE55,0.1))</f>
        <v>0</v>
      </c>
      <c r="BM55" s="44" t="n">
        <f aca="false">IF(BG55=0,0,bsd(BL$28,BL$27,BH55,$T55,$Q55,$R55,$AE55,0.1))</f>
        <v>0</v>
      </c>
      <c r="BN55" s="45" t="n">
        <f aca="false">BG55*BK55</f>
        <v>0</v>
      </c>
      <c r="BO55" s="45" t="n">
        <f aca="false">BG55*BL55</f>
        <v>0</v>
      </c>
      <c r="BP55" s="45" t="n">
        <f aca="false">BG55*BM55</f>
        <v>0</v>
      </c>
      <c r="BR55" s="9" t="n">
        <f aca="false">IF($A55&gt;=BS$25,IF($A55&lt;=BS$26,$AF55,0),0)</f>
        <v>0</v>
      </c>
      <c r="BS55" s="221" t="e">
        <f aca="false">BU55/BR55</f>
        <v>#DIV/0!</v>
      </c>
      <c r="BT55" s="1" t="n">
        <f aca="false">BR55*($B55+H$13)</f>
        <v>0</v>
      </c>
      <c r="BU55" s="33" t="n">
        <f aca="false">IF(ISNUMBER(((BT55/BR55)+H$14+$V55)*BR55),((BT55/BR55)+H$14+$V55)*BR55,0)</f>
        <v>0</v>
      </c>
      <c r="BV55" s="44" t="n">
        <f aca="false">IF(BR55=0,0,bsd(1,BW$27,BS55,$Z55,$W55,$X55,$AE55,0.1))</f>
        <v>0</v>
      </c>
      <c r="BW55" s="44" t="n">
        <f aca="false">IF(BR55=0,0,bsd(2,BW$27,BS55,$Z55,$W55,$X55,$AE55,0.1))</f>
        <v>0</v>
      </c>
      <c r="BX55" s="44" t="n">
        <f aca="false">IF(BR55=0,0,bsd(BW$28,BW$27,BS55,$Z55,$W55,$X55,$AE55,0.1))</f>
        <v>0</v>
      </c>
      <c r="BY55" s="45" t="n">
        <f aca="false">BR55*BV55</f>
        <v>0</v>
      </c>
      <c r="BZ55" s="45" t="n">
        <f aca="false">BR55*BW55</f>
        <v>0</v>
      </c>
      <c r="CA55" s="45" t="n">
        <f aca="false">BR55*BX55</f>
        <v>0</v>
      </c>
    </row>
    <row r="56" customFormat="false" ht="12.75" hidden="false" customHeight="false" outlineLevel="0" collapsed="false">
      <c r="A56" s="48" t="n">
        <f aca="false">DATE(YEAR(A55),MONTH(A55)+1,1)</f>
        <v>38047</v>
      </c>
      <c r="B56" s="40" t="n">
        <f aca="false">VLOOKUP(A56,STRADDLE,5,FALSE())</f>
        <v>3.25</v>
      </c>
      <c r="C56" s="4" t="e">
        <f aca="false">VLOOKUP(A56,STRADDLE,6,FALSE())</f>
        <v>#VALUE!</v>
      </c>
      <c r="D56" s="40" t="n">
        <f aca="false">IF(D$28="nymex",0,VLOOKUP($A56,curvesettle,HLOOKUP(D$28,curvesettle,2,FALSE())))</f>
        <v>0</v>
      </c>
      <c r="E56" s="219" t="n">
        <f aca="false">IF(D$28="NYMEX",$AD56,$AC56)</f>
        <v>-7885</v>
      </c>
      <c r="F56" s="4" t="e">
        <f aca="false">($C56+G56)+B$15</f>
        <v>#DIV/0!</v>
      </c>
      <c r="G56" s="4" t="e">
        <f aca="false">IF(B$16=1,xCalcSkew(A56,H56-AL56,b)/100,0)</f>
        <v>#DIV/0!</v>
      </c>
      <c r="H56" s="41" t="n">
        <f aca="false">IF($B$19=4,$AL56,$B$18)</f>
        <v>2.44</v>
      </c>
      <c r="J56" s="40" t="n">
        <f aca="false">IF(J$28="nymex",0,VLOOKUP($A56,curvesettle,HLOOKUP(J$28,curvesettle,2,FALSE())))</f>
        <v>0</v>
      </c>
      <c r="K56" s="219" t="n">
        <f aca="false">IF(J$28="NYMEX",$AD56,$AC56)</f>
        <v>-7885</v>
      </c>
      <c r="L56" s="220" t="e">
        <f aca="false">($C56+M56)+D$15</f>
        <v>#DIV/0!</v>
      </c>
      <c r="M56" s="4" t="e">
        <f aca="false">IF(D$16=1,xCalcSkew($A56,N56-AW56,b)/100,0)</f>
        <v>#DIV/0!</v>
      </c>
      <c r="N56" s="41" t="n">
        <f aca="false">IF($D$19=4,$AW56,$D$18)</f>
        <v>2.44</v>
      </c>
      <c r="P56" s="40" t="n">
        <f aca="false">IF(P$28="nymex",0,VLOOKUP($A56,curvesettle,HLOOKUP(P$28,curvesettle,2,FALSE())))</f>
        <v>0</v>
      </c>
      <c r="Q56" s="219" t="n">
        <f aca="false">IF(P$28="NYMEX",$AD56,$AC56)</f>
        <v>-7885</v>
      </c>
      <c r="R56" s="220" t="e">
        <f aca="false">($C56+S56)+F$15</f>
        <v>#DIV/0!</v>
      </c>
      <c r="S56" s="4" t="e">
        <f aca="false">IF(F$16=1,xCalcSkew($A56,T56-BH56,b)/100,0)</f>
        <v>#DIV/0!</v>
      </c>
      <c r="T56" s="41" t="n">
        <f aca="false">IF($F$19=4,$BH56,$F$18)</f>
        <v>2.44</v>
      </c>
      <c r="V56" s="40" t="n">
        <f aca="false">IF(V$28="nymex",0,VLOOKUP($A56,curvesettle,HLOOKUP(V$28,curvesettle,2,FALSE())))</f>
        <v>0</v>
      </c>
      <c r="W56" s="219" t="n">
        <f aca="false">IF(V$28="NYMEX",$AD56,$AC56)</f>
        <v>-7885</v>
      </c>
      <c r="X56" s="4" t="e">
        <f aca="false">($C56+Y56)+H$15</f>
        <v>#DIV/0!</v>
      </c>
      <c r="Y56" s="4" t="e">
        <f aca="false">IF(H$16=1,xCalcSkew($A56,Z56-BS56,b)/100,0)</f>
        <v>#DIV/0!</v>
      </c>
      <c r="Z56" s="41" t="n">
        <f aca="false">IF($H$19=4,$BS56,$H$18)</f>
        <v>2.44</v>
      </c>
      <c r="AC56" s="219" t="n">
        <f aca="false">VLOOKUP($A56,expiration,2,FALSE())-$B$2</f>
        <v>-7884</v>
      </c>
      <c r="AD56" s="219" t="n">
        <f aca="false">VLOOKUP($A56,expiration,3,FALSE())-$B$2</f>
        <v>-7885</v>
      </c>
      <c r="AE56" s="4" t="n">
        <f aca="false">VLOOKUP($A56,STRADDLE,15,FALSE())</f>
        <v>0.0354685691421812</v>
      </c>
      <c r="AF56" s="43" t="n">
        <f aca="false">A57-A56</f>
        <v>31</v>
      </c>
      <c r="AG56" s="44"/>
      <c r="AH56" s="44"/>
      <c r="AI56" s="44"/>
      <c r="AJ56" s="44"/>
      <c r="AK56" s="9" t="n">
        <f aca="false">IF($A56&gt;=AL$25,IF($A56&lt;=AL$26,$AF56,0),0)</f>
        <v>0</v>
      </c>
      <c r="AL56" s="221" t="e">
        <f aca="false">AN56/AK56</f>
        <v>#DIV/0!</v>
      </c>
      <c r="AM56" s="1" t="n">
        <f aca="false">AK56*($B56+B$13)</f>
        <v>0</v>
      </c>
      <c r="AN56" s="33" t="n">
        <f aca="false">IF(ISNUMBER(((AM56/AK56)+B$14+$D56)*AK56),((AM56/AK56)+B$14+$D56)*AK56,0)</f>
        <v>0</v>
      </c>
      <c r="AO56" s="44" t="n">
        <f aca="false">IF(AK56=0,0,bsd(1,AP$27,AL56,$H56,$E56,$F56,$AE56,0.1))</f>
        <v>0</v>
      </c>
      <c r="AP56" s="44" t="n">
        <f aca="false">IF(AK56=0,0,bsd(2,AP$27,AL56,$H56,$E56,$F56,$AE56,0.1))</f>
        <v>0</v>
      </c>
      <c r="AQ56" s="44" t="n">
        <f aca="false">IF(AK56=0,0,bsd(AP$28,AP$27,AL56,$H56,$E56,$F56,$AE56,0.1))</f>
        <v>0</v>
      </c>
      <c r="AR56" s="45" t="n">
        <f aca="false">AK56*AO56</f>
        <v>0</v>
      </c>
      <c r="AS56" s="45" t="n">
        <f aca="false">AK56*AP56</f>
        <v>0</v>
      </c>
      <c r="AT56" s="45" t="n">
        <f aca="false">AK56*AQ56</f>
        <v>0</v>
      </c>
      <c r="AV56" s="9" t="n">
        <f aca="false">IF($A56&gt;=AW$25,IF($A56&lt;=AW$26,$AF56,0),0)</f>
        <v>0</v>
      </c>
      <c r="AW56" s="221" t="e">
        <f aca="false">AY56/AV56</f>
        <v>#DIV/0!</v>
      </c>
      <c r="AX56" s="1" t="n">
        <f aca="false">AV56*($B56+D$13)</f>
        <v>0</v>
      </c>
      <c r="AY56" s="33" t="n">
        <f aca="false">IF(ISNUMBER(((AX56/AV56)+D$14+$J56)*AV56),((AX56/AV56)+D$14+$J56)*AV56,0)</f>
        <v>0</v>
      </c>
      <c r="AZ56" s="44" t="n">
        <f aca="false">IF(AV56=0,0,bsd(1,BA$27,AW56,$N56,$K56,$L56,$AE56,0.1))</f>
        <v>0</v>
      </c>
      <c r="BA56" s="44" t="n">
        <f aca="false">IF(AV56=0,0,bsd(2,BA$27,AW56,$N56,$K56,$L56,$AE56,0.1))</f>
        <v>0</v>
      </c>
      <c r="BB56" s="44" t="n">
        <f aca="false">IF(AV56=0,0,bsd(BA$28,BA$27,AW56,$N56,$K56,$L56,$AE56,0.1))</f>
        <v>0</v>
      </c>
      <c r="BC56" s="45" t="n">
        <f aca="false">AV56*AZ56</f>
        <v>0</v>
      </c>
      <c r="BD56" s="45" t="n">
        <f aca="false">AV56*BA56</f>
        <v>0</v>
      </c>
      <c r="BE56" s="45" t="n">
        <f aca="false">AV56*BB56</f>
        <v>0</v>
      </c>
      <c r="BG56" s="9" t="n">
        <f aca="false">IF($A56&gt;=BH$25,IF($A56&lt;=BH$26,$AF56,0),0)</f>
        <v>0</v>
      </c>
      <c r="BH56" s="221" t="e">
        <f aca="false">BJ56/BG56</f>
        <v>#DIV/0!</v>
      </c>
      <c r="BI56" s="1" t="n">
        <f aca="false">BG56*($B56+F$13)</f>
        <v>0</v>
      </c>
      <c r="BJ56" s="33" t="n">
        <f aca="false">IF(ISNUMBER(((BI56/BG56)+F$14+$P56)*BG56),((BI56/BG56)+F$14+$P56)*BG56,0)</f>
        <v>0</v>
      </c>
      <c r="BK56" s="44" t="n">
        <f aca="false">IF(BG56=0,0,bsd(1,BL$27,BH56,$T56,$Q56,$R56,$AE56,0.1))</f>
        <v>0</v>
      </c>
      <c r="BL56" s="44" t="n">
        <f aca="false">IF(BG56=0,0,bsd(2,BL$27,BH56,$T56,$Q56,$R56,$AE56,0.1))</f>
        <v>0</v>
      </c>
      <c r="BM56" s="44" t="n">
        <f aca="false">IF(BG56=0,0,bsd(BL$28,BL$27,BH56,$T56,$Q56,$R56,$AE56,0.1))</f>
        <v>0</v>
      </c>
      <c r="BN56" s="45" t="n">
        <f aca="false">BG56*BK56</f>
        <v>0</v>
      </c>
      <c r="BO56" s="45" t="n">
        <f aca="false">BG56*BL56</f>
        <v>0</v>
      </c>
      <c r="BP56" s="45" t="n">
        <f aca="false">BG56*BM56</f>
        <v>0</v>
      </c>
      <c r="BR56" s="9" t="n">
        <f aca="false">IF($A56&gt;=BS$25,IF($A56&lt;=BS$26,$AF56,0),0)</f>
        <v>0</v>
      </c>
      <c r="BS56" s="221" t="e">
        <f aca="false">BU56/BR56</f>
        <v>#DIV/0!</v>
      </c>
      <c r="BT56" s="1" t="n">
        <f aca="false">BR56*($B56+H$13)</f>
        <v>0</v>
      </c>
      <c r="BU56" s="33" t="n">
        <f aca="false">IF(ISNUMBER(((BT56/BR56)+H$14+$V56)*BR56),((BT56/BR56)+H$14+$V56)*BR56,0)</f>
        <v>0</v>
      </c>
      <c r="BV56" s="44" t="n">
        <f aca="false">IF(BR56=0,0,bsd(1,BW$27,BS56,$Z56,$W56,$X56,$AE56,0.1))</f>
        <v>0</v>
      </c>
      <c r="BW56" s="44" t="n">
        <f aca="false">IF(BR56=0,0,bsd(2,BW$27,BS56,$Z56,$W56,$X56,$AE56,0.1))</f>
        <v>0</v>
      </c>
      <c r="BX56" s="44" t="n">
        <f aca="false">IF(BR56=0,0,bsd(BW$28,BW$27,BS56,$Z56,$W56,$X56,$AE56,0.1))</f>
        <v>0</v>
      </c>
      <c r="BY56" s="45" t="n">
        <f aca="false">BR56*BV56</f>
        <v>0</v>
      </c>
      <c r="BZ56" s="45" t="n">
        <f aca="false">BR56*BW56</f>
        <v>0</v>
      </c>
      <c r="CA56" s="45" t="n">
        <f aca="false">BR56*BX56</f>
        <v>0</v>
      </c>
    </row>
    <row r="57" customFormat="false" ht="12.75" hidden="false" customHeight="false" outlineLevel="0" collapsed="false">
      <c r="A57" s="48" t="n">
        <f aca="false">DATE(YEAR(A56),MONTH(A56)+1,1)</f>
        <v>38078</v>
      </c>
      <c r="B57" s="40" t="n">
        <f aca="false">VLOOKUP(A57,STRADDLE,5,FALSE())</f>
        <v>3.08</v>
      </c>
      <c r="C57" s="4" t="e">
        <f aca="false">VLOOKUP(A57,STRADDLE,6,FALSE())</f>
        <v>#VALUE!</v>
      </c>
      <c r="D57" s="40" t="n">
        <f aca="false">IF(D$28="nymex",0,VLOOKUP($A57,curvesettle,HLOOKUP(D$28,curvesettle,2,FALSE())))</f>
        <v>0</v>
      </c>
      <c r="E57" s="219" t="n">
        <f aca="false">IF(D$28="NYMEX",$AD57,$AC57)</f>
        <v>-7854</v>
      </c>
      <c r="F57" s="4" t="e">
        <f aca="false">($C57+G57)+B$15</f>
        <v>#DIV/0!</v>
      </c>
      <c r="G57" s="4" t="e">
        <f aca="false">IF(B$16=1,xCalcSkew(A57,H57-AL57,b)/100,0)</f>
        <v>#DIV/0!</v>
      </c>
      <c r="H57" s="41" t="n">
        <f aca="false">IF($B$19=4,$AL57,$B$18)</f>
        <v>2.44</v>
      </c>
      <c r="J57" s="40" t="n">
        <f aca="false">IF(J$28="nymex",0,VLOOKUP($A57,curvesettle,HLOOKUP(J$28,curvesettle,2,FALSE())))</f>
        <v>0</v>
      </c>
      <c r="K57" s="219" t="n">
        <f aca="false">IF(J$28="NYMEX",$AD57,$AC57)</f>
        <v>-7854</v>
      </c>
      <c r="L57" s="220" t="e">
        <f aca="false">($C57+M57)+D$15</f>
        <v>#DIV/0!</v>
      </c>
      <c r="M57" s="4" t="e">
        <f aca="false">IF(D$16=1,xCalcSkew($A57,N57-AW57,b)/100,0)</f>
        <v>#DIV/0!</v>
      </c>
      <c r="N57" s="41" t="n">
        <f aca="false">IF($D$19=4,$AW57,$D$18)</f>
        <v>2.44</v>
      </c>
      <c r="P57" s="40" t="n">
        <f aca="false">IF(P$28="nymex",0,VLOOKUP($A57,curvesettle,HLOOKUP(P$28,curvesettle,2,FALSE())))</f>
        <v>0</v>
      </c>
      <c r="Q57" s="219" t="n">
        <f aca="false">IF(P$28="NYMEX",$AD57,$AC57)</f>
        <v>-7854</v>
      </c>
      <c r="R57" s="220" t="e">
        <f aca="false">($C57+S57)+F$15</f>
        <v>#DIV/0!</v>
      </c>
      <c r="S57" s="4" t="e">
        <f aca="false">IF(F$16=1,xCalcSkew($A57,T57-BH57,b)/100,0)</f>
        <v>#DIV/0!</v>
      </c>
      <c r="T57" s="41" t="n">
        <f aca="false">IF($F$19=4,$BH57,$F$18)</f>
        <v>2.44</v>
      </c>
      <c r="V57" s="40" t="n">
        <f aca="false">IF(V$28="nymex",0,VLOOKUP($A57,curvesettle,HLOOKUP(V$28,curvesettle,2,FALSE())))</f>
        <v>0</v>
      </c>
      <c r="W57" s="219" t="n">
        <f aca="false">IF(V$28="NYMEX",$AD57,$AC57)</f>
        <v>-7854</v>
      </c>
      <c r="X57" s="4" t="e">
        <f aca="false">($C57+Y57)+H$15</f>
        <v>#DIV/0!</v>
      </c>
      <c r="Y57" s="4" t="e">
        <f aca="false">IF(H$16=1,xCalcSkew($A57,Z57-BS57,b)/100,0)</f>
        <v>#DIV/0!</v>
      </c>
      <c r="Z57" s="41" t="n">
        <f aca="false">IF($H$19=4,$BS57,$H$18)</f>
        <v>2.44</v>
      </c>
      <c r="AC57" s="219" t="n">
        <f aca="false">VLOOKUP($A57,expiration,2,FALSE())-$B$2</f>
        <v>-7851</v>
      </c>
      <c r="AD57" s="219" t="n">
        <f aca="false">VLOOKUP($A57,expiration,3,FALSE())-$B$2</f>
        <v>-7854</v>
      </c>
      <c r="AE57" s="4" t="n">
        <f aca="false">VLOOKUP($A57,STRADDLE,15,FALSE())</f>
        <v>0.0362446584359817</v>
      </c>
      <c r="AF57" s="43" t="n">
        <f aca="false">A58-A57</f>
        <v>30</v>
      </c>
      <c r="AG57" s="44"/>
      <c r="AH57" s="44"/>
      <c r="AI57" s="44"/>
      <c r="AJ57" s="44"/>
      <c r="AK57" s="9" t="n">
        <f aca="false">IF($A57&gt;=AL$25,IF($A57&lt;=AL$26,$AF57,0),0)</f>
        <v>0</v>
      </c>
      <c r="AL57" s="221" t="e">
        <f aca="false">AN57/AK57</f>
        <v>#DIV/0!</v>
      </c>
      <c r="AM57" s="1" t="n">
        <f aca="false">AK57*($B57+B$13)</f>
        <v>0</v>
      </c>
      <c r="AN57" s="33" t="n">
        <f aca="false">IF(ISNUMBER(((AM57/AK57)+B$14+$D57)*AK57),((AM57/AK57)+B$14+$D57)*AK57,0)</f>
        <v>0</v>
      </c>
      <c r="AO57" s="44" t="n">
        <f aca="false">IF(AK57=0,0,bsd(1,AP$27,AL57,$H57,$E57,$F57,$AE57,0.1))</f>
        <v>0</v>
      </c>
      <c r="AP57" s="44" t="n">
        <f aca="false">IF(AK57=0,0,bsd(2,AP$27,AL57,$H57,$E57,$F57,$AE57,0.1))</f>
        <v>0</v>
      </c>
      <c r="AQ57" s="44" t="n">
        <f aca="false">IF(AK57=0,0,bsd(AP$28,AP$27,AL57,$H57,$E57,$F57,$AE57,0.1))</f>
        <v>0</v>
      </c>
      <c r="AR57" s="45" t="n">
        <f aca="false">AK57*AO57</f>
        <v>0</v>
      </c>
      <c r="AS57" s="45" t="n">
        <f aca="false">AK57*AP57</f>
        <v>0</v>
      </c>
      <c r="AT57" s="45" t="n">
        <f aca="false">AK57*AQ57</f>
        <v>0</v>
      </c>
      <c r="AV57" s="9" t="n">
        <f aca="false">IF($A57&gt;=AW$25,IF($A57&lt;=AW$26,$AF57,0),0)</f>
        <v>0</v>
      </c>
      <c r="AW57" s="221" t="e">
        <f aca="false">AY57/AV57</f>
        <v>#DIV/0!</v>
      </c>
      <c r="AX57" s="1" t="n">
        <f aca="false">AV57*($B57+D$13)</f>
        <v>0</v>
      </c>
      <c r="AY57" s="33" t="n">
        <f aca="false">IF(ISNUMBER(((AX57/AV57)+D$14+$J57)*AV57),((AX57/AV57)+D$14+$J57)*AV57,0)</f>
        <v>0</v>
      </c>
      <c r="AZ57" s="44" t="n">
        <f aca="false">IF(AV57=0,0,bsd(1,BA$27,AW57,$N57,$K57,$L57,$AE57,0.1))</f>
        <v>0</v>
      </c>
      <c r="BA57" s="44" t="n">
        <f aca="false">IF(AV57=0,0,bsd(2,BA$27,AW57,$N57,$K57,$L57,$AE57,0.1))</f>
        <v>0</v>
      </c>
      <c r="BB57" s="44" t="n">
        <f aca="false">IF(AV57=0,0,bsd(BA$28,BA$27,AW57,$N57,$K57,$L57,$AE57,0.1))</f>
        <v>0</v>
      </c>
      <c r="BC57" s="45" t="n">
        <f aca="false">AV57*AZ57</f>
        <v>0</v>
      </c>
      <c r="BD57" s="45" t="n">
        <f aca="false">AV57*BA57</f>
        <v>0</v>
      </c>
      <c r="BE57" s="45" t="n">
        <f aca="false">AV57*BB57</f>
        <v>0</v>
      </c>
      <c r="BG57" s="9" t="n">
        <f aca="false">IF($A57&gt;=BH$25,IF($A57&lt;=BH$26,$AF57,0),0)</f>
        <v>0</v>
      </c>
      <c r="BH57" s="221" t="e">
        <f aca="false">BJ57/BG57</f>
        <v>#DIV/0!</v>
      </c>
      <c r="BI57" s="1" t="n">
        <f aca="false">BG57*($B57+F$13)</f>
        <v>0</v>
      </c>
      <c r="BJ57" s="33" t="n">
        <f aca="false">IF(ISNUMBER(((BI57/BG57)+F$14+$P57)*BG57),((BI57/BG57)+F$14+$P57)*BG57,0)</f>
        <v>0</v>
      </c>
      <c r="BK57" s="44" t="n">
        <f aca="false">IF(BG57=0,0,bsd(1,BL$27,BH57,$T57,$Q57,$R57,$AE57,0.1))</f>
        <v>0</v>
      </c>
      <c r="BL57" s="44" t="n">
        <f aca="false">IF(BG57=0,0,bsd(2,BL$27,BH57,$T57,$Q57,$R57,$AE57,0.1))</f>
        <v>0</v>
      </c>
      <c r="BM57" s="44" t="n">
        <f aca="false">IF(BG57=0,0,bsd(BL$28,BL$27,BH57,$T57,$Q57,$R57,$AE57,0.1))</f>
        <v>0</v>
      </c>
      <c r="BN57" s="45" t="n">
        <f aca="false">BG57*BK57</f>
        <v>0</v>
      </c>
      <c r="BO57" s="45" t="n">
        <f aca="false">BG57*BL57</f>
        <v>0</v>
      </c>
      <c r="BP57" s="45" t="n">
        <f aca="false">BG57*BM57</f>
        <v>0</v>
      </c>
      <c r="BR57" s="9" t="n">
        <f aca="false">IF($A57&gt;=BS$25,IF($A57&lt;=BS$26,$AF57,0),0)</f>
        <v>0</v>
      </c>
      <c r="BS57" s="221" t="e">
        <f aca="false">BU57/BR57</f>
        <v>#DIV/0!</v>
      </c>
      <c r="BT57" s="1" t="n">
        <f aca="false">BR57*($B57+H$13)</f>
        <v>0</v>
      </c>
      <c r="BU57" s="33" t="n">
        <f aca="false">IF(ISNUMBER(((BT57/BR57)+H$14+$V57)*BR57),((BT57/BR57)+H$14+$V57)*BR57,0)</f>
        <v>0</v>
      </c>
      <c r="BV57" s="44" t="n">
        <f aca="false">IF(BR57=0,0,bsd(1,BW$27,BS57,$Z57,$W57,$X57,$AE57,0.1))</f>
        <v>0</v>
      </c>
      <c r="BW57" s="44" t="n">
        <f aca="false">IF(BR57=0,0,bsd(2,BW$27,BS57,$Z57,$W57,$X57,$AE57,0.1))</f>
        <v>0</v>
      </c>
      <c r="BX57" s="44" t="n">
        <f aca="false">IF(BR57=0,0,bsd(BW$28,BW$27,BS57,$Z57,$W57,$X57,$AE57,0.1))</f>
        <v>0</v>
      </c>
      <c r="BY57" s="45" t="n">
        <f aca="false">BR57*BV57</f>
        <v>0</v>
      </c>
      <c r="BZ57" s="45" t="n">
        <f aca="false">BR57*BW57</f>
        <v>0</v>
      </c>
      <c r="CA57" s="45" t="n">
        <f aca="false">BR57*BX57</f>
        <v>0</v>
      </c>
    </row>
    <row r="58" customFormat="false" ht="12.75" hidden="false" customHeight="false" outlineLevel="0" collapsed="false">
      <c r="A58" s="48" t="n">
        <f aca="false">DATE(YEAR(A57),MONTH(A57)+1,1)</f>
        <v>38108</v>
      </c>
      <c r="B58" s="40" t="n">
        <f aca="false">VLOOKUP(A58,STRADDLE,5,FALSE())</f>
        <v>3.083</v>
      </c>
      <c r="C58" s="4" t="e">
        <f aca="false">VLOOKUP(A58,STRADDLE,6,FALSE())</f>
        <v>#VALUE!</v>
      </c>
      <c r="D58" s="40" t="n">
        <f aca="false">IF(D$28="nymex",0,VLOOKUP($A58,curvesettle,HLOOKUP(D$28,curvesettle,2,FALSE())))</f>
        <v>0</v>
      </c>
      <c r="E58" s="219" t="n">
        <f aca="false">IF(D$28="NYMEX",$AD58,$AC58)</f>
        <v>-7822</v>
      </c>
      <c r="F58" s="4" t="e">
        <f aca="false">($C58+G58)+B$15</f>
        <v>#DIV/0!</v>
      </c>
      <c r="G58" s="4" t="e">
        <f aca="false">IF(B$16=1,xCalcSkew(A58,H58-AL58,b)/100,0)</f>
        <v>#DIV/0!</v>
      </c>
      <c r="H58" s="41" t="n">
        <f aca="false">IF($B$19=4,$AL58,$B$18)</f>
        <v>2.44</v>
      </c>
      <c r="J58" s="40" t="n">
        <f aca="false">IF(J$28="nymex",0,VLOOKUP($A58,curvesettle,HLOOKUP(J$28,curvesettle,2,FALSE())))</f>
        <v>0</v>
      </c>
      <c r="K58" s="219" t="n">
        <f aca="false">IF(J$28="NYMEX",$AD58,$AC58)</f>
        <v>-7822</v>
      </c>
      <c r="L58" s="220" t="e">
        <f aca="false">($C58+M58)+D$15</f>
        <v>#DIV/0!</v>
      </c>
      <c r="M58" s="4" t="e">
        <f aca="false">IF(D$16=1,xCalcSkew($A58,N58-AW58,b)/100,0)</f>
        <v>#DIV/0!</v>
      </c>
      <c r="N58" s="41" t="n">
        <f aca="false">IF($D$19=4,$AW58,$D$18)</f>
        <v>2.44</v>
      </c>
      <c r="P58" s="40" t="n">
        <f aca="false">IF(P$28="nymex",0,VLOOKUP($A58,curvesettle,HLOOKUP(P$28,curvesettle,2,FALSE())))</f>
        <v>0</v>
      </c>
      <c r="Q58" s="219" t="n">
        <f aca="false">IF(P$28="NYMEX",$AD58,$AC58)</f>
        <v>-7822</v>
      </c>
      <c r="R58" s="220" t="e">
        <f aca="false">($C58+S58)+F$15</f>
        <v>#DIV/0!</v>
      </c>
      <c r="S58" s="4" t="e">
        <f aca="false">IF(F$16=1,xCalcSkew($A58,T58-BH58,b)/100,0)</f>
        <v>#DIV/0!</v>
      </c>
      <c r="T58" s="41" t="n">
        <f aca="false">IF($F$19=4,$BH58,$F$18)</f>
        <v>2.44</v>
      </c>
      <c r="V58" s="40" t="n">
        <f aca="false">IF(V$28="nymex",0,VLOOKUP($A58,curvesettle,HLOOKUP(V$28,curvesettle,2,FALSE())))</f>
        <v>0</v>
      </c>
      <c r="W58" s="219" t="n">
        <f aca="false">IF(V$28="NYMEX",$AD58,$AC58)</f>
        <v>-7822</v>
      </c>
      <c r="X58" s="4" t="e">
        <f aca="false">($C58+Y58)+H$15</f>
        <v>#DIV/0!</v>
      </c>
      <c r="Y58" s="4" t="e">
        <f aca="false">IF(H$16=1,xCalcSkew($A58,Z58-BS58,b)/100,0)</f>
        <v>#DIV/0!</v>
      </c>
      <c r="Z58" s="41" t="n">
        <f aca="false">IF($H$19=4,$BS58,$H$18)</f>
        <v>2.44</v>
      </c>
      <c r="AC58" s="219" t="n">
        <f aca="false">VLOOKUP($A58,expiration,2,FALSE())-$B$2</f>
        <v>-7821</v>
      </c>
      <c r="AD58" s="219" t="n">
        <f aca="false">VLOOKUP($A58,expiration,3,FALSE())-$B$2</f>
        <v>-7822</v>
      </c>
      <c r="AE58" s="4" t="n">
        <f aca="false">VLOOKUP($A58,STRADDLE,15,FALSE())</f>
        <v>0.0370210690335231</v>
      </c>
      <c r="AF58" s="43" t="n">
        <f aca="false">A59-A58</f>
        <v>31</v>
      </c>
      <c r="AG58" s="44"/>
      <c r="AH58" s="44"/>
      <c r="AI58" s="44"/>
      <c r="AJ58" s="44"/>
      <c r="AK58" s="9" t="n">
        <f aca="false">IF($A58&gt;=AL$25,IF($A58&lt;=AL$26,$AF58,0),0)</f>
        <v>0</v>
      </c>
      <c r="AL58" s="221" t="e">
        <f aca="false">AN58/AK58</f>
        <v>#DIV/0!</v>
      </c>
      <c r="AM58" s="1" t="n">
        <f aca="false">AK58*($B58+B$13)</f>
        <v>0</v>
      </c>
      <c r="AN58" s="33" t="n">
        <f aca="false">IF(ISNUMBER(((AM58/AK58)+B$14+$D58)*AK58),((AM58/AK58)+B$14+$D58)*AK58,0)</f>
        <v>0</v>
      </c>
      <c r="AO58" s="44" t="n">
        <f aca="false">IF(AK58=0,0,bsd(1,AP$27,AL58,$H58,$E58,$F58,$AE58,0.1))</f>
        <v>0</v>
      </c>
      <c r="AP58" s="44" t="n">
        <f aca="false">IF(AK58=0,0,bsd(2,AP$27,AL58,$H58,$E58,$F58,$AE58,0.1))</f>
        <v>0</v>
      </c>
      <c r="AQ58" s="44" t="n">
        <f aca="false">IF(AK58=0,0,bsd(AP$28,AP$27,AL58,$H58,$E58,$F58,$AE58,0.1))</f>
        <v>0</v>
      </c>
      <c r="AR58" s="45" t="n">
        <f aca="false">AK58*AO58</f>
        <v>0</v>
      </c>
      <c r="AS58" s="45" t="n">
        <f aca="false">AK58*AP58</f>
        <v>0</v>
      </c>
      <c r="AT58" s="45" t="n">
        <f aca="false">AK58*AQ58</f>
        <v>0</v>
      </c>
      <c r="AV58" s="9" t="n">
        <f aca="false">IF($A58&gt;=AW$25,IF($A58&lt;=AW$26,$AF58,0),0)</f>
        <v>0</v>
      </c>
      <c r="AW58" s="221" t="e">
        <f aca="false">AY58/AV58</f>
        <v>#DIV/0!</v>
      </c>
      <c r="AX58" s="1" t="n">
        <f aca="false">AV58*($B58+D$13)</f>
        <v>0</v>
      </c>
      <c r="AY58" s="33" t="n">
        <f aca="false">IF(ISNUMBER(((AX58/AV58)+D$14+$J58)*AV58),((AX58/AV58)+D$14+$J58)*AV58,0)</f>
        <v>0</v>
      </c>
      <c r="AZ58" s="44" t="n">
        <f aca="false">IF(AV58=0,0,bsd(1,BA$27,AW58,$N58,$K58,$L58,$AE58,0.1))</f>
        <v>0</v>
      </c>
      <c r="BA58" s="44" t="n">
        <f aca="false">IF(AV58=0,0,bsd(2,BA$27,AW58,$N58,$K58,$L58,$AE58,0.1))</f>
        <v>0</v>
      </c>
      <c r="BB58" s="44" t="n">
        <f aca="false">IF(AV58=0,0,bsd(BA$28,BA$27,AW58,$N58,$K58,$L58,$AE58,0.1))</f>
        <v>0</v>
      </c>
      <c r="BC58" s="45" t="n">
        <f aca="false">AV58*AZ58</f>
        <v>0</v>
      </c>
      <c r="BD58" s="45" t="n">
        <f aca="false">AV58*BA58</f>
        <v>0</v>
      </c>
      <c r="BE58" s="45" t="n">
        <f aca="false">AV58*BB58</f>
        <v>0</v>
      </c>
      <c r="BG58" s="9" t="n">
        <f aca="false">IF($A58&gt;=BH$25,IF($A58&lt;=BH$26,$AF58,0),0)</f>
        <v>0</v>
      </c>
      <c r="BH58" s="221" t="e">
        <f aca="false">BJ58/BG58</f>
        <v>#DIV/0!</v>
      </c>
      <c r="BI58" s="1" t="n">
        <f aca="false">BG58*($B58+F$13)</f>
        <v>0</v>
      </c>
      <c r="BJ58" s="33" t="n">
        <f aca="false">IF(ISNUMBER(((BI58/BG58)+F$14+$P58)*BG58),((BI58/BG58)+F$14+$P58)*BG58,0)</f>
        <v>0</v>
      </c>
      <c r="BK58" s="44" t="n">
        <f aca="false">IF(BG58=0,0,bsd(1,BL$27,BH58,$T58,$Q58,$R58,$AE58,0.1))</f>
        <v>0</v>
      </c>
      <c r="BL58" s="44" t="n">
        <f aca="false">IF(BG58=0,0,bsd(2,BL$27,BH58,$T58,$Q58,$R58,$AE58,0.1))</f>
        <v>0</v>
      </c>
      <c r="BM58" s="44" t="n">
        <f aca="false">IF(BG58=0,0,bsd(BL$28,BL$27,BH58,$T58,$Q58,$R58,$AE58,0.1))</f>
        <v>0</v>
      </c>
      <c r="BN58" s="45" t="n">
        <f aca="false">BG58*BK58</f>
        <v>0</v>
      </c>
      <c r="BO58" s="45" t="n">
        <f aca="false">BG58*BL58</f>
        <v>0</v>
      </c>
      <c r="BP58" s="45" t="n">
        <f aca="false">BG58*BM58</f>
        <v>0</v>
      </c>
      <c r="BR58" s="9" t="n">
        <f aca="false">IF($A58&gt;=BS$25,IF($A58&lt;=BS$26,$AF58,0),0)</f>
        <v>0</v>
      </c>
      <c r="BS58" s="221" t="e">
        <f aca="false">BU58/BR58</f>
        <v>#DIV/0!</v>
      </c>
      <c r="BT58" s="1" t="n">
        <f aca="false">BR58*($B58+H$13)</f>
        <v>0</v>
      </c>
      <c r="BU58" s="33" t="n">
        <f aca="false">IF(ISNUMBER(((BT58/BR58)+H$14+$V58)*BR58),((BT58/BR58)+H$14+$V58)*BR58,0)</f>
        <v>0</v>
      </c>
      <c r="BV58" s="44" t="n">
        <f aca="false">IF(BR58=0,0,bsd(1,BW$27,BS58,$Z58,$W58,$X58,$AE58,0.1))</f>
        <v>0</v>
      </c>
      <c r="BW58" s="44" t="n">
        <f aca="false">IF(BR58=0,0,bsd(2,BW$27,BS58,$Z58,$W58,$X58,$AE58,0.1))</f>
        <v>0</v>
      </c>
      <c r="BX58" s="44" t="n">
        <f aca="false">IF(BR58=0,0,bsd(BW$28,BW$27,BS58,$Z58,$W58,$X58,$AE58,0.1))</f>
        <v>0</v>
      </c>
      <c r="BY58" s="45" t="n">
        <f aca="false">BR58*BV58</f>
        <v>0</v>
      </c>
      <c r="BZ58" s="45" t="n">
        <f aca="false">BR58*BW58</f>
        <v>0</v>
      </c>
      <c r="CA58" s="45" t="n">
        <f aca="false">BR58*BX58</f>
        <v>0</v>
      </c>
    </row>
    <row r="59" customFormat="false" ht="12.75" hidden="false" customHeight="false" outlineLevel="0" collapsed="false">
      <c r="A59" s="48" t="n">
        <f aca="false">DATE(YEAR(A58),MONTH(A58)+1,1)</f>
        <v>38139</v>
      </c>
      <c r="B59" s="40" t="n">
        <f aca="false">VLOOKUP(A59,STRADDLE,5,FALSE())</f>
        <v>3.123</v>
      </c>
      <c r="C59" s="4" t="e">
        <f aca="false">VLOOKUP(A59,STRADDLE,6,FALSE())</f>
        <v>#VALUE!</v>
      </c>
      <c r="D59" s="40" t="n">
        <f aca="false">IF(D$28="nymex",0,VLOOKUP($A59,curvesettle,HLOOKUP(D$28,curvesettle,2,FALSE())))</f>
        <v>0</v>
      </c>
      <c r="E59" s="219" t="n">
        <f aca="false">IF(D$28="NYMEX",$AD59,$AC59)</f>
        <v>-7794</v>
      </c>
      <c r="F59" s="4" t="e">
        <f aca="false">($C59+G59)+B$15</f>
        <v>#DIV/0!</v>
      </c>
      <c r="G59" s="4" t="e">
        <f aca="false">IF(B$16=1,xCalcSkew(A59,H59-AL59,b)/100,0)</f>
        <v>#DIV/0!</v>
      </c>
      <c r="H59" s="41" t="n">
        <f aca="false">IF($B$19=4,$AL59,$B$18)</f>
        <v>2.44</v>
      </c>
      <c r="J59" s="40" t="n">
        <f aca="false">IF(J$28="nymex",0,VLOOKUP($A59,curvesettle,HLOOKUP(J$28,curvesettle,2,FALSE())))</f>
        <v>0</v>
      </c>
      <c r="K59" s="219" t="n">
        <f aca="false">IF(J$28="NYMEX",$AD59,$AC59)</f>
        <v>-7794</v>
      </c>
      <c r="L59" s="220" t="e">
        <f aca="false">($C59+M59)+D$15</f>
        <v>#DIV/0!</v>
      </c>
      <c r="M59" s="4" t="e">
        <f aca="false">IF(D$16=1,xCalcSkew($A59,N59-AW59,b)/100,0)</f>
        <v>#DIV/0!</v>
      </c>
      <c r="N59" s="41" t="n">
        <f aca="false">IF($D$19=4,$AW59,$D$18)</f>
        <v>2.44</v>
      </c>
      <c r="P59" s="40" t="n">
        <f aca="false">IF(P$28="nymex",0,VLOOKUP($A59,curvesettle,HLOOKUP(P$28,curvesettle,2,FALSE())))</f>
        <v>0</v>
      </c>
      <c r="Q59" s="219" t="n">
        <f aca="false">IF(P$28="NYMEX",$AD59,$AC59)</f>
        <v>-7794</v>
      </c>
      <c r="R59" s="220" t="e">
        <f aca="false">($C59+S59)+F$15</f>
        <v>#DIV/0!</v>
      </c>
      <c r="S59" s="4" t="e">
        <f aca="false">IF(F$16=1,xCalcSkew($A59,T59-BH59,b)/100,0)</f>
        <v>#DIV/0!</v>
      </c>
      <c r="T59" s="41" t="n">
        <f aca="false">IF($F$19=4,$BH59,$F$18)</f>
        <v>2.44</v>
      </c>
      <c r="V59" s="40" t="n">
        <f aca="false">IF(V$28="nymex",0,VLOOKUP($A59,curvesettle,HLOOKUP(V$28,curvesettle,2,FALSE())))</f>
        <v>0</v>
      </c>
      <c r="W59" s="219" t="n">
        <f aca="false">IF(V$28="NYMEX",$AD59,$AC59)</f>
        <v>-7794</v>
      </c>
      <c r="X59" s="4" t="e">
        <f aca="false">($C59+Y59)+H$15</f>
        <v>#DIV/0!</v>
      </c>
      <c r="Y59" s="4" t="e">
        <f aca="false">IF(H$16=1,xCalcSkew($A59,Z59-BS59,b)/100,0)</f>
        <v>#DIV/0!</v>
      </c>
      <c r="Z59" s="41" t="n">
        <f aca="false">IF($H$19=4,$BS59,$H$18)</f>
        <v>2.44</v>
      </c>
      <c r="AC59" s="219" t="n">
        <f aca="false">VLOOKUP($A59,expiration,2,FALSE())-$B$2</f>
        <v>-7793</v>
      </c>
      <c r="AD59" s="219" t="n">
        <f aca="false">VLOOKUP($A59,expiration,3,FALSE())-$B$2</f>
        <v>-7794</v>
      </c>
      <c r="AE59" s="4" t="n">
        <f aca="false">VLOOKUP($A59,STRADDLE,15,FALSE())</f>
        <v>0.037717515784331</v>
      </c>
      <c r="AF59" s="43" t="n">
        <f aca="false">A60-A59</f>
        <v>30</v>
      </c>
      <c r="AG59" s="44"/>
      <c r="AH59" s="44"/>
      <c r="AI59" s="44"/>
      <c r="AJ59" s="44"/>
      <c r="AK59" s="9" t="n">
        <f aca="false">IF($A59&gt;=AL$25,IF($A59&lt;=AL$26,$AF59,0),0)</f>
        <v>0</v>
      </c>
      <c r="AL59" s="221" t="e">
        <f aca="false">AN59/AK59</f>
        <v>#DIV/0!</v>
      </c>
      <c r="AM59" s="1" t="n">
        <f aca="false">AK59*($B59+B$13)</f>
        <v>0</v>
      </c>
      <c r="AN59" s="33" t="n">
        <f aca="false">IF(ISNUMBER(((AM59/AK59)+B$14+$D59)*AK59),((AM59/AK59)+B$14+$D59)*AK59,0)</f>
        <v>0</v>
      </c>
      <c r="AO59" s="44" t="n">
        <f aca="false">IF(AK59=0,0,bsd(1,AP$27,AL59,$H59,$E59,$F59,$AE59,0.1))</f>
        <v>0</v>
      </c>
      <c r="AP59" s="44" t="n">
        <f aca="false">IF(AK59=0,0,bsd(2,AP$27,AL59,$H59,$E59,$F59,$AE59,0.1))</f>
        <v>0</v>
      </c>
      <c r="AQ59" s="44" t="n">
        <f aca="false">IF(AK59=0,0,bsd(AP$28,AP$27,AL59,$H59,$E59,$F59,$AE59,0.1))</f>
        <v>0</v>
      </c>
      <c r="AR59" s="45" t="n">
        <f aca="false">AK59*AO59</f>
        <v>0</v>
      </c>
      <c r="AS59" s="45" t="n">
        <f aca="false">AK59*AP59</f>
        <v>0</v>
      </c>
      <c r="AT59" s="45" t="n">
        <f aca="false">AK59*AQ59</f>
        <v>0</v>
      </c>
      <c r="AV59" s="9" t="n">
        <f aca="false">IF($A59&gt;=AW$25,IF($A59&lt;=AW$26,$AF59,0),0)</f>
        <v>0</v>
      </c>
      <c r="AW59" s="221" t="e">
        <f aca="false">AY59/AV59</f>
        <v>#DIV/0!</v>
      </c>
      <c r="AX59" s="1" t="n">
        <f aca="false">AV59*($B59+D$13)</f>
        <v>0</v>
      </c>
      <c r="AY59" s="33" t="n">
        <f aca="false">IF(ISNUMBER(((AX59/AV59)+D$14+$J59)*AV59),((AX59/AV59)+D$14+$J59)*AV59,0)</f>
        <v>0</v>
      </c>
      <c r="AZ59" s="44" t="n">
        <f aca="false">IF(AV59=0,0,bsd(1,BA$27,AW59,$N59,$K59,$L59,$AE59,0.1))</f>
        <v>0</v>
      </c>
      <c r="BA59" s="44" t="n">
        <f aca="false">IF(AV59=0,0,bsd(2,BA$27,AW59,$N59,$K59,$L59,$AE59,0.1))</f>
        <v>0</v>
      </c>
      <c r="BB59" s="44" t="n">
        <f aca="false">IF(AV59=0,0,bsd(BA$28,BA$27,AW59,$N59,$K59,$L59,$AE59,0.1))</f>
        <v>0</v>
      </c>
      <c r="BC59" s="45" t="n">
        <f aca="false">AV59*AZ59</f>
        <v>0</v>
      </c>
      <c r="BD59" s="45" t="n">
        <f aca="false">AV59*BA59</f>
        <v>0</v>
      </c>
      <c r="BE59" s="45" t="n">
        <f aca="false">AV59*BB59</f>
        <v>0</v>
      </c>
      <c r="BG59" s="9" t="n">
        <f aca="false">IF($A59&gt;=BH$25,IF($A59&lt;=BH$26,$AF59,0),0)</f>
        <v>0</v>
      </c>
      <c r="BH59" s="221" t="e">
        <f aca="false">BJ59/BG59</f>
        <v>#DIV/0!</v>
      </c>
      <c r="BI59" s="1" t="n">
        <f aca="false">BG59*($B59+F$13)</f>
        <v>0</v>
      </c>
      <c r="BJ59" s="33" t="n">
        <f aca="false">IF(ISNUMBER(((BI59/BG59)+F$14+$P59)*BG59),((BI59/BG59)+F$14+$P59)*BG59,0)</f>
        <v>0</v>
      </c>
      <c r="BK59" s="44" t="n">
        <f aca="false">IF(BG59=0,0,bsd(1,BL$27,BH59,$T59,$Q59,$R59,$AE59,0.1))</f>
        <v>0</v>
      </c>
      <c r="BL59" s="44" t="n">
        <f aca="false">IF(BG59=0,0,bsd(2,BL$27,BH59,$T59,$Q59,$R59,$AE59,0.1))</f>
        <v>0</v>
      </c>
      <c r="BM59" s="44" t="n">
        <f aca="false">IF(BG59=0,0,bsd(BL$28,BL$27,BH59,$T59,$Q59,$R59,$AE59,0.1))</f>
        <v>0</v>
      </c>
      <c r="BN59" s="45" t="n">
        <f aca="false">BG59*BK59</f>
        <v>0</v>
      </c>
      <c r="BO59" s="45" t="n">
        <f aca="false">BG59*BL59</f>
        <v>0</v>
      </c>
      <c r="BP59" s="45" t="n">
        <f aca="false">BG59*BM59</f>
        <v>0</v>
      </c>
      <c r="BR59" s="9" t="n">
        <f aca="false">IF($A59&gt;=BS$25,IF($A59&lt;=BS$26,$AF59,0),0)</f>
        <v>0</v>
      </c>
      <c r="BS59" s="221" t="e">
        <f aca="false">BU59/BR59</f>
        <v>#DIV/0!</v>
      </c>
      <c r="BT59" s="1" t="n">
        <f aca="false">BR59*($B59+H$13)</f>
        <v>0</v>
      </c>
      <c r="BU59" s="33" t="n">
        <f aca="false">IF(ISNUMBER(((BT59/BR59)+H$14+$V59)*BR59),((BT59/BR59)+H$14+$V59)*BR59,0)</f>
        <v>0</v>
      </c>
      <c r="BV59" s="44" t="n">
        <f aca="false">IF(BR59=0,0,bsd(1,BW$27,BS59,$Z59,$W59,$X59,$AE59,0.1))</f>
        <v>0</v>
      </c>
      <c r="BW59" s="44" t="n">
        <f aca="false">IF(BR59=0,0,bsd(2,BW$27,BS59,$Z59,$W59,$X59,$AE59,0.1))</f>
        <v>0</v>
      </c>
      <c r="BX59" s="44" t="n">
        <f aca="false">IF(BR59=0,0,bsd(BW$28,BW$27,BS59,$Z59,$W59,$X59,$AE59,0.1))</f>
        <v>0</v>
      </c>
      <c r="BY59" s="45" t="n">
        <f aca="false">BR59*BV59</f>
        <v>0</v>
      </c>
      <c r="BZ59" s="45" t="n">
        <f aca="false">BR59*BW59</f>
        <v>0</v>
      </c>
      <c r="CA59" s="45" t="n">
        <f aca="false">BR59*BX59</f>
        <v>0</v>
      </c>
    </row>
    <row r="60" customFormat="false" ht="12.75" hidden="false" customHeight="false" outlineLevel="0" collapsed="false">
      <c r="A60" s="48" t="n">
        <f aca="false">DATE(YEAR(A59),MONTH(A59)+1,1)</f>
        <v>38169</v>
      </c>
      <c r="B60" s="40" t="n">
        <f aca="false">VLOOKUP(A60,STRADDLE,5,FALSE())</f>
        <v>3.163</v>
      </c>
      <c r="C60" s="4" t="e">
        <f aca="false">VLOOKUP(A60,STRADDLE,6,FALSE())</f>
        <v>#VALUE!</v>
      </c>
      <c r="D60" s="40" t="n">
        <f aca="false">IF(D$28="nymex",0,VLOOKUP($A60,curvesettle,HLOOKUP(D$28,curvesettle,2,FALSE())))</f>
        <v>0</v>
      </c>
      <c r="E60" s="219" t="n">
        <f aca="false">IF(D$28="NYMEX",$AD60,$AC60)</f>
        <v>-7763</v>
      </c>
      <c r="F60" s="4" t="e">
        <f aca="false">($C60+G60)+B$15</f>
        <v>#DIV/0!</v>
      </c>
      <c r="G60" s="4" t="e">
        <f aca="false">IF(B$16=1,xCalcSkew(A60,H60-AL60,b)/100,0)</f>
        <v>#DIV/0!</v>
      </c>
      <c r="H60" s="41" t="n">
        <f aca="false">IF($B$19=4,$AL60,$B$18)</f>
        <v>2.44</v>
      </c>
      <c r="J60" s="40" t="n">
        <f aca="false">IF(J$28="nymex",0,VLOOKUP($A60,curvesettle,HLOOKUP(J$28,curvesettle,2,FALSE())))</f>
        <v>0</v>
      </c>
      <c r="K60" s="219" t="n">
        <f aca="false">IF(J$28="NYMEX",$AD60,$AC60)</f>
        <v>-7763</v>
      </c>
      <c r="L60" s="220" t="e">
        <f aca="false">($C60+M60)+D$15</f>
        <v>#DIV/0!</v>
      </c>
      <c r="M60" s="4" t="e">
        <f aca="false">IF(D$16=1,xCalcSkew($A60,N60-AW60,b)/100,0)</f>
        <v>#DIV/0!</v>
      </c>
      <c r="N60" s="41" t="n">
        <f aca="false">IF($D$19=4,$AW60,$D$18)</f>
        <v>2.44</v>
      </c>
      <c r="P60" s="40" t="n">
        <f aca="false">IF(P$28="nymex",0,VLOOKUP($A60,curvesettle,HLOOKUP(P$28,curvesettle,2,FALSE())))</f>
        <v>0</v>
      </c>
      <c r="Q60" s="219" t="n">
        <f aca="false">IF(P$28="NYMEX",$AD60,$AC60)</f>
        <v>-7763</v>
      </c>
      <c r="R60" s="220" t="e">
        <f aca="false">($C60+S60)+F$15</f>
        <v>#DIV/0!</v>
      </c>
      <c r="S60" s="4" t="e">
        <f aca="false">IF(F$16=1,xCalcSkew($A60,T60-BH60,b)/100,0)</f>
        <v>#DIV/0!</v>
      </c>
      <c r="T60" s="41" t="n">
        <f aca="false">IF($F$19=4,$BH60,$F$18)</f>
        <v>2.44</v>
      </c>
      <c r="V60" s="40" t="n">
        <f aca="false">IF(V$28="nymex",0,VLOOKUP($A60,curvesettle,HLOOKUP(V$28,curvesettle,2,FALSE())))</f>
        <v>0</v>
      </c>
      <c r="W60" s="219" t="n">
        <f aca="false">IF(V$28="NYMEX",$AD60,$AC60)</f>
        <v>-7763</v>
      </c>
      <c r="X60" s="4" t="e">
        <f aca="false">($C60+Y60)+H$15</f>
        <v>#DIV/0!</v>
      </c>
      <c r="Y60" s="4" t="e">
        <f aca="false">IF(H$16=1,xCalcSkew($A60,Z60-BS60,b)/100,0)</f>
        <v>#DIV/0!</v>
      </c>
      <c r="Z60" s="41" t="n">
        <f aca="false">IF($H$19=4,$BS60,$H$18)</f>
        <v>2.44</v>
      </c>
      <c r="AC60" s="219" t="n">
        <f aca="false">VLOOKUP($A60,expiration,2,FALSE())-$B$2</f>
        <v>-7760</v>
      </c>
      <c r="AD60" s="219" t="n">
        <f aca="false">VLOOKUP($A60,expiration,3,FALSE())-$B$2</f>
        <v>-7763</v>
      </c>
      <c r="AE60" s="4" t="n">
        <f aca="false">VLOOKUP($A60,STRADDLE,15,FALSE())</f>
        <v>0.038437177597991</v>
      </c>
      <c r="AF60" s="43" t="n">
        <f aca="false">A61-A60</f>
        <v>31</v>
      </c>
      <c r="AG60" s="44"/>
      <c r="AH60" s="44"/>
      <c r="AI60" s="44"/>
      <c r="AJ60" s="44"/>
      <c r="AK60" s="9" t="n">
        <f aca="false">IF($A60&gt;=AL$25,IF($A60&lt;=AL$26,$AF60,0),0)</f>
        <v>0</v>
      </c>
      <c r="AL60" s="221" t="e">
        <f aca="false">AN60/AK60</f>
        <v>#DIV/0!</v>
      </c>
      <c r="AM60" s="1" t="n">
        <f aca="false">AK60*($B60+B$13)</f>
        <v>0</v>
      </c>
      <c r="AN60" s="33" t="n">
        <f aca="false">IF(ISNUMBER(((AM60/AK60)+B$14+$D60)*AK60),((AM60/AK60)+B$14+$D60)*AK60,0)</f>
        <v>0</v>
      </c>
      <c r="AO60" s="44" t="n">
        <f aca="false">IF(AK60=0,0,bsd(1,AP$27,AL60,$H60,$E60,$F60,$AE60,0.1))</f>
        <v>0</v>
      </c>
      <c r="AP60" s="44" t="n">
        <f aca="false">IF(AK60=0,0,bsd(2,AP$27,AL60,$H60,$E60,$F60,$AE60,0.1))</f>
        <v>0</v>
      </c>
      <c r="AQ60" s="44" t="n">
        <f aca="false">IF(AK60=0,0,bsd(AP$28,AP$27,AL60,$H60,$E60,$F60,$AE60,0.1))</f>
        <v>0</v>
      </c>
      <c r="AR60" s="45" t="n">
        <f aca="false">AK60*AO60</f>
        <v>0</v>
      </c>
      <c r="AS60" s="45" t="n">
        <f aca="false">AK60*AP60</f>
        <v>0</v>
      </c>
      <c r="AT60" s="45" t="n">
        <f aca="false">AK60*AQ60</f>
        <v>0</v>
      </c>
      <c r="AV60" s="9" t="n">
        <f aca="false">IF($A60&gt;=AW$25,IF($A60&lt;=AW$26,$AF60,0),0)</f>
        <v>0</v>
      </c>
      <c r="AW60" s="221" t="e">
        <f aca="false">AY60/AV60</f>
        <v>#DIV/0!</v>
      </c>
      <c r="AX60" s="1" t="n">
        <f aca="false">AV60*($B60+D$13)</f>
        <v>0</v>
      </c>
      <c r="AY60" s="33" t="n">
        <f aca="false">IF(ISNUMBER(((AX60/AV60)+D$14+$J60)*AV60),((AX60/AV60)+D$14+$J60)*AV60,0)</f>
        <v>0</v>
      </c>
      <c r="AZ60" s="44" t="n">
        <f aca="false">IF(AV60=0,0,bsd(1,BA$27,AW60,$N60,$K60,$L60,$AE60,0.1))</f>
        <v>0</v>
      </c>
      <c r="BA60" s="44" t="n">
        <f aca="false">IF(AV60=0,0,bsd(2,BA$27,AW60,$N60,$K60,$L60,$AE60,0.1))</f>
        <v>0</v>
      </c>
      <c r="BB60" s="44" t="n">
        <f aca="false">IF(AV60=0,0,bsd(BA$28,BA$27,AW60,$N60,$K60,$L60,$AE60,0.1))</f>
        <v>0</v>
      </c>
      <c r="BC60" s="45" t="n">
        <f aca="false">AV60*AZ60</f>
        <v>0</v>
      </c>
      <c r="BD60" s="45" t="n">
        <f aca="false">AV60*BA60</f>
        <v>0</v>
      </c>
      <c r="BE60" s="45" t="n">
        <f aca="false">AV60*BB60</f>
        <v>0</v>
      </c>
      <c r="BG60" s="9" t="n">
        <f aca="false">IF($A60&gt;=BH$25,IF($A60&lt;=BH$26,$AF60,0),0)</f>
        <v>0</v>
      </c>
      <c r="BH60" s="221" t="e">
        <f aca="false">BJ60/BG60</f>
        <v>#DIV/0!</v>
      </c>
      <c r="BI60" s="1" t="n">
        <f aca="false">BG60*($B60+F$13)</f>
        <v>0</v>
      </c>
      <c r="BJ60" s="33" t="n">
        <f aca="false">IF(ISNUMBER(((BI60/BG60)+F$14+$P60)*BG60),((BI60/BG60)+F$14+$P60)*BG60,0)</f>
        <v>0</v>
      </c>
      <c r="BK60" s="44" t="n">
        <f aca="false">IF(BG60=0,0,bsd(1,BL$27,BH60,$T60,$Q60,$R60,$AE60,0.1))</f>
        <v>0</v>
      </c>
      <c r="BL60" s="44" t="n">
        <f aca="false">IF(BG60=0,0,bsd(2,BL$27,BH60,$T60,$Q60,$R60,$AE60,0.1))</f>
        <v>0</v>
      </c>
      <c r="BM60" s="44" t="n">
        <f aca="false">IF(BG60=0,0,bsd(BL$28,BL$27,BH60,$T60,$Q60,$R60,$AE60,0.1))</f>
        <v>0</v>
      </c>
      <c r="BN60" s="45" t="n">
        <f aca="false">BG60*BK60</f>
        <v>0</v>
      </c>
      <c r="BO60" s="45" t="n">
        <f aca="false">BG60*BL60</f>
        <v>0</v>
      </c>
      <c r="BP60" s="45" t="n">
        <f aca="false">BG60*BM60</f>
        <v>0</v>
      </c>
      <c r="BR60" s="9" t="n">
        <f aca="false">IF($A60&gt;=BS$25,IF($A60&lt;=BS$26,$AF60,0),0)</f>
        <v>0</v>
      </c>
      <c r="BS60" s="221" t="e">
        <f aca="false">BU60/BR60</f>
        <v>#DIV/0!</v>
      </c>
      <c r="BT60" s="1" t="n">
        <f aca="false">BR60*($B60+H$13)</f>
        <v>0</v>
      </c>
      <c r="BU60" s="33" t="n">
        <f aca="false">IF(ISNUMBER(((BT60/BR60)+H$14+$V60)*BR60),((BT60/BR60)+H$14+$V60)*BR60,0)</f>
        <v>0</v>
      </c>
      <c r="BV60" s="44" t="n">
        <f aca="false">IF(BR60=0,0,bsd(1,BW$27,BS60,$Z60,$W60,$X60,$AE60,0.1))</f>
        <v>0</v>
      </c>
      <c r="BW60" s="44" t="n">
        <f aca="false">IF(BR60=0,0,bsd(2,BW$27,BS60,$Z60,$W60,$X60,$AE60,0.1))</f>
        <v>0</v>
      </c>
      <c r="BX60" s="44" t="n">
        <f aca="false">IF(BR60=0,0,bsd(BW$28,BW$27,BS60,$Z60,$W60,$X60,$AE60,0.1))</f>
        <v>0</v>
      </c>
      <c r="BY60" s="45" t="n">
        <f aca="false">BR60*BV60</f>
        <v>0</v>
      </c>
      <c r="BZ60" s="45" t="n">
        <f aca="false">BR60*BW60</f>
        <v>0</v>
      </c>
      <c r="CA60" s="45" t="n">
        <f aca="false">BR60*BX60</f>
        <v>0</v>
      </c>
    </row>
    <row r="61" customFormat="false" ht="12.75" hidden="false" customHeight="false" outlineLevel="0" collapsed="false">
      <c r="A61" s="48" t="n">
        <f aca="false">DATE(YEAR(A60),MONTH(A60)+1,1)</f>
        <v>38200</v>
      </c>
      <c r="B61" s="40" t="n">
        <f aca="false">VLOOKUP(A61,STRADDLE,5,FALSE())</f>
        <v>3.213</v>
      </c>
      <c r="C61" s="4" t="e">
        <f aca="false">VLOOKUP(A61,STRADDLE,6,FALSE())</f>
        <v>#VALUE!</v>
      </c>
      <c r="D61" s="40" t="n">
        <f aca="false">IF(D$28="nymex",0,VLOOKUP($A61,curvesettle,HLOOKUP(D$28,curvesettle,2,FALSE())))</f>
        <v>0</v>
      </c>
      <c r="E61" s="219" t="n">
        <f aca="false">IF(D$28="NYMEX",$AD61,$AC61)</f>
        <v>-7731</v>
      </c>
      <c r="F61" s="4" t="e">
        <f aca="false">($C61+G61)+B$15</f>
        <v>#DIV/0!</v>
      </c>
      <c r="G61" s="4" t="e">
        <f aca="false">IF(B$16=1,xCalcSkew(A61,H61-AL61,b)/100,0)</f>
        <v>#DIV/0!</v>
      </c>
      <c r="H61" s="41" t="n">
        <f aca="false">IF($B$19=4,$AL61,$B$18)</f>
        <v>2.44</v>
      </c>
      <c r="J61" s="40" t="n">
        <f aca="false">IF(J$28="nymex",0,VLOOKUP($A61,curvesettle,HLOOKUP(J$28,curvesettle,2,FALSE())))</f>
        <v>0</v>
      </c>
      <c r="K61" s="219" t="n">
        <f aca="false">IF(J$28="NYMEX",$AD61,$AC61)</f>
        <v>-7731</v>
      </c>
      <c r="L61" s="220" t="e">
        <f aca="false">($C61+M61)+D$15</f>
        <v>#DIV/0!</v>
      </c>
      <c r="M61" s="4" t="e">
        <f aca="false">IF(D$16=1,xCalcSkew($A61,N61-AW61,b)/100,0)</f>
        <v>#DIV/0!</v>
      </c>
      <c r="N61" s="41" t="n">
        <f aca="false">IF($D$19=4,$AW61,$D$18)</f>
        <v>2.44</v>
      </c>
      <c r="P61" s="40" t="n">
        <f aca="false">IF(P$28="nymex",0,VLOOKUP($A61,curvesettle,HLOOKUP(P$28,curvesettle,2,FALSE())))</f>
        <v>0</v>
      </c>
      <c r="Q61" s="219" t="n">
        <f aca="false">IF(P$28="NYMEX",$AD61,$AC61)</f>
        <v>-7731</v>
      </c>
      <c r="R61" s="220" t="e">
        <f aca="false">($C61+S61)+F$15</f>
        <v>#DIV/0!</v>
      </c>
      <c r="S61" s="4" t="e">
        <f aca="false">IF(F$16=1,xCalcSkew($A61,T61-BH61,b)/100,0)</f>
        <v>#DIV/0!</v>
      </c>
      <c r="T61" s="41" t="n">
        <f aca="false">IF($F$19=4,$BH61,$F$18)</f>
        <v>2.44</v>
      </c>
      <c r="V61" s="40" t="n">
        <f aca="false">IF(V$28="nymex",0,VLOOKUP($A61,curvesettle,HLOOKUP(V$28,curvesettle,2,FALSE())))</f>
        <v>0</v>
      </c>
      <c r="W61" s="219" t="n">
        <f aca="false">IF(V$28="NYMEX",$AD61,$AC61)</f>
        <v>-7731</v>
      </c>
      <c r="X61" s="4" t="e">
        <f aca="false">($C61+Y61)+H$15</f>
        <v>#DIV/0!</v>
      </c>
      <c r="Y61" s="4" t="e">
        <f aca="false">IF(H$16=1,xCalcSkew($A61,Z61-BS61,b)/100,0)</f>
        <v>#DIV/0!</v>
      </c>
      <c r="Z61" s="41" t="n">
        <f aca="false">IF($H$19=4,$BS61,$H$18)</f>
        <v>2.44</v>
      </c>
      <c r="AC61" s="219" t="n">
        <f aca="false">VLOOKUP($A61,expiration,2,FALSE())-$B$2</f>
        <v>-7730</v>
      </c>
      <c r="AD61" s="219" t="n">
        <f aca="false">VLOOKUP($A61,expiration,3,FALSE())-$B$2</f>
        <v>-7731</v>
      </c>
      <c r="AE61" s="4" t="n">
        <f aca="false">VLOOKUP($A61,STRADDLE,15,FALSE())</f>
        <v>0.0390982280263858</v>
      </c>
      <c r="AF61" s="43" t="n">
        <f aca="false">A62-A61</f>
        <v>31</v>
      </c>
      <c r="AG61" s="44"/>
      <c r="AH61" s="44"/>
      <c r="AI61" s="44"/>
      <c r="AJ61" s="44"/>
      <c r="AK61" s="9" t="n">
        <f aca="false">IF($A61&gt;=AL$25,IF($A61&lt;=AL$26,$AF61,0),0)</f>
        <v>0</v>
      </c>
      <c r="AL61" s="221" t="e">
        <f aca="false">AN61/AK61</f>
        <v>#DIV/0!</v>
      </c>
      <c r="AM61" s="1" t="n">
        <f aca="false">AK61*($B61+B$13)</f>
        <v>0</v>
      </c>
      <c r="AN61" s="33" t="n">
        <f aca="false">IF(ISNUMBER(((AM61/AK61)+B$14+$D61)*AK61),((AM61/AK61)+B$14+$D61)*AK61,0)</f>
        <v>0</v>
      </c>
      <c r="AO61" s="44" t="n">
        <f aca="false">IF(AK61=0,0,bsd(1,AP$27,AL61,$H61,$E61,$F61,$AE61,0.1))</f>
        <v>0</v>
      </c>
      <c r="AP61" s="44" t="n">
        <f aca="false">IF(AK61=0,0,bsd(2,AP$27,AL61,$H61,$E61,$F61,$AE61,0.1))</f>
        <v>0</v>
      </c>
      <c r="AQ61" s="44" t="n">
        <f aca="false">IF(AK61=0,0,bsd(AP$28,AP$27,AL61,$H61,$E61,$F61,$AE61,0.1))</f>
        <v>0</v>
      </c>
      <c r="AR61" s="45" t="n">
        <f aca="false">AK61*AO61</f>
        <v>0</v>
      </c>
      <c r="AS61" s="45" t="n">
        <f aca="false">AK61*AP61</f>
        <v>0</v>
      </c>
      <c r="AT61" s="45" t="n">
        <f aca="false">AK61*AQ61</f>
        <v>0</v>
      </c>
      <c r="AV61" s="9" t="n">
        <f aca="false">IF($A61&gt;=AW$25,IF($A61&lt;=AW$26,$AF61,0),0)</f>
        <v>0</v>
      </c>
      <c r="AW61" s="221" t="e">
        <f aca="false">AY61/AV61</f>
        <v>#DIV/0!</v>
      </c>
      <c r="AX61" s="1" t="n">
        <f aca="false">AV61*($B61+D$13)</f>
        <v>0</v>
      </c>
      <c r="AY61" s="33" t="n">
        <f aca="false">IF(ISNUMBER(((AX61/AV61)+D$14+$J61)*AV61),((AX61/AV61)+D$14+$J61)*AV61,0)</f>
        <v>0</v>
      </c>
      <c r="AZ61" s="44" t="n">
        <f aca="false">IF(AV61=0,0,bsd(1,BA$27,AW61,$N61,$K61,$L61,$AE61,0.1))</f>
        <v>0</v>
      </c>
      <c r="BA61" s="44" t="n">
        <f aca="false">IF(AV61=0,0,bsd(2,BA$27,AW61,$N61,$K61,$L61,$AE61,0.1))</f>
        <v>0</v>
      </c>
      <c r="BB61" s="44" t="n">
        <f aca="false">IF(AV61=0,0,bsd(BA$28,BA$27,AW61,$N61,$K61,$L61,$AE61,0.1))</f>
        <v>0</v>
      </c>
      <c r="BC61" s="45" t="n">
        <f aca="false">AV61*AZ61</f>
        <v>0</v>
      </c>
      <c r="BD61" s="45" t="n">
        <f aca="false">AV61*BA61</f>
        <v>0</v>
      </c>
      <c r="BE61" s="45" t="n">
        <f aca="false">AV61*BB61</f>
        <v>0</v>
      </c>
      <c r="BG61" s="9" t="n">
        <f aca="false">IF($A61&gt;=BH$25,IF($A61&lt;=BH$26,$AF61,0),0)</f>
        <v>0</v>
      </c>
      <c r="BH61" s="221" t="e">
        <f aca="false">BJ61/BG61</f>
        <v>#DIV/0!</v>
      </c>
      <c r="BI61" s="1" t="n">
        <f aca="false">BG61*($B61+F$13)</f>
        <v>0</v>
      </c>
      <c r="BJ61" s="33" t="n">
        <f aca="false">IF(ISNUMBER(((BI61/BG61)+F$14+$P61)*BG61),((BI61/BG61)+F$14+$P61)*BG61,0)</f>
        <v>0</v>
      </c>
      <c r="BK61" s="44" t="n">
        <f aca="false">IF(BG61=0,0,bsd(1,BL$27,BH61,$T61,$Q61,$R61,$AE61,0.1))</f>
        <v>0</v>
      </c>
      <c r="BL61" s="44" t="n">
        <f aca="false">IF(BG61=0,0,bsd(2,BL$27,BH61,$T61,$Q61,$R61,$AE61,0.1))</f>
        <v>0</v>
      </c>
      <c r="BM61" s="44" t="n">
        <f aca="false">IF(BG61=0,0,bsd(BL$28,BL$27,BH61,$T61,$Q61,$R61,$AE61,0.1))</f>
        <v>0</v>
      </c>
      <c r="BN61" s="45" t="n">
        <f aca="false">BG61*BK61</f>
        <v>0</v>
      </c>
      <c r="BO61" s="45" t="n">
        <f aca="false">BG61*BL61</f>
        <v>0</v>
      </c>
      <c r="BP61" s="45" t="n">
        <f aca="false">BG61*BM61</f>
        <v>0</v>
      </c>
      <c r="BR61" s="9" t="n">
        <f aca="false">IF($A61&gt;=BS$25,IF($A61&lt;=BS$26,$AF61,0),0)</f>
        <v>0</v>
      </c>
      <c r="BS61" s="221" t="e">
        <f aca="false">BU61/BR61</f>
        <v>#DIV/0!</v>
      </c>
      <c r="BT61" s="1" t="n">
        <f aca="false">BR61*($B61+H$13)</f>
        <v>0</v>
      </c>
      <c r="BU61" s="33" t="n">
        <f aca="false">IF(ISNUMBER(((BT61/BR61)+H$14+$V61)*BR61),((BT61/BR61)+H$14+$V61)*BR61,0)</f>
        <v>0</v>
      </c>
      <c r="BV61" s="44" t="n">
        <f aca="false">IF(BR61=0,0,bsd(1,BW$27,BS61,$Z61,$W61,$X61,$AE61,0.1))</f>
        <v>0</v>
      </c>
      <c r="BW61" s="44" t="n">
        <f aca="false">IF(BR61=0,0,bsd(2,BW$27,BS61,$Z61,$W61,$X61,$AE61,0.1))</f>
        <v>0</v>
      </c>
      <c r="BX61" s="44" t="n">
        <f aca="false">IF(BR61=0,0,bsd(BW$28,BW$27,BS61,$Z61,$W61,$X61,$AE61,0.1))</f>
        <v>0</v>
      </c>
      <c r="BY61" s="45" t="n">
        <f aca="false">BR61*BV61</f>
        <v>0</v>
      </c>
      <c r="BZ61" s="45" t="n">
        <f aca="false">BR61*BW61</f>
        <v>0</v>
      </c>
      <c r="CA61" s="45" t="n">
        <f aca="false">BR61*BX61</f>
        <v>0</v>
      </c>
    </row>
    <row r="62" customFormat="false" ht="12.75" hidden="false" customHeight="false" outlineLevel="0" collapsed="false">
      <c r="A62" s="48" t="n">
        <f aca="false">DATE(YEAR(A61),MONTH(A61)+1,1)</f>
        <v>38231</v>
      </c>
      <c r="B62" s="40" t="n">
        <f aca="false">VLOOKUP(A62,STRADDLE,5,FALSE())</f>
        <v>3.198</v>
      </c>
      <c r="C62" s="4" t="e">
        <f aca="false">VLOOKUP(A62,STRADDLE,6,FALSE())</f>
        <v>#VALUE!</v>
      </c>
      <c r="D62" s="40" t="n">
        <f aca="false">IF(D$28="nymex",0,VLOOKUP($A62,curvesettle,HLOOKUP(D$28,curvesettle,2,FALSE())))</f>
        <v>0</v>
      </c>
      <c r="E62" s="219" t="n">
        <f aca="false">IF(D$28="NYMEX",$AD62,$AC62)</f>
        <v>-7701</v>
      </c>
      <c r="F62" s="4" t="e">
        <f aca="false">($C62+G62)+B$15</f>
        <v>#DIV/0!</v>
      </c>
      <c r="G62" s="4" t="e">
        <f aca="false">IF(B$16=1,xCalcSkew(A62,H62-AL62,b)/100,0)</f>
        <v>#DIV/0!</v>
      </c>
      <c r="H62" s="41" t="n">
        <f aca="false">IF($B$19=4,$AL62,$B$18)</f>
        <v>2.44</v>
      </c>
      <c r="J62" s="40" t="n">
        <f aca="false">IF(J$28="nymex",0,VLOOKUP($A62,curvesettle,HLOOKUP(J$28,curvesettle,2,FALSE())))</f>
        <v>0</v>
      </c>
      <c r="K62" s="219" t="n">
        <f aca="false">IF(J$28="NYMEX",$AD62,$AC62)</f>
        <v>-7701</v>
      </c>
      <c r="L62" s="220" t="e">
        <f aca="false">($C62+M62)+D$15</f>
        <v>#DIV/0!</v>
      </c>
      <c r="M62" s="4" t="e">
        <f aca="false">IF(D$16=1,xCalcSkew($A62,N62-AW62,b)/100,0)</f>
        <v>#DIV/0!</v>
      </c>
      <c r="N62" s="41" t="n">
        <f aca="false">IF($D$19=4,$AW62,$D$18)</f>
        <v>2.44</v>
      </c>
      <c r="P62" s="40" t="n">
        <f aca="false">IF(P$28="nymex",0,VLOOKUP($A62,curvesettle,HLOOKUP(P$28,curvesettle,2,FALSE())))</f>
        <v>0</v>
      </c>
      <c r="Q62" s="219" t="n">
        <f aca="false">IF(P$28="NYMEX",$AD62,$AC62)</f>
        <v>-7701</v>
      </c>
      <c r="R62" s="220" t="e">
        <f aca="false">($C62+S62)+F$15</f>
        <v>#DIV/0!</v>
      </c>
      <c r="S62" s="4" t="e">
        <f aca="false">IF(F$16=1,xCalcSkew($A62,T62-BH62,b)/100,0)</f>
        <v>#DIV/0!</v>
      </c>
      <c r="T62" s="41" t="n">
        <f aca="false">IF($F$19=4,$BH62,$F$18)</f>
        <v>2.44</v>
      </c>
      <c r="V62" s="40" t="n">
        <f aca="false">IF(V$28="nymex",0,VLOOKUP($A62,curvesettle,HLOOKUP(V$28,curvesettle,2,FALSE())))</f>
        <v>0</v>
      </c>
      <c r="W62" s="219" t="n">
        <f aca="false">IF(V$28="NYMEX",$AD62,$AC62)</f>
        <v>-7701</v>
      </c>
      <c r="X62" s="4" t="e">
        <f aca="false">($C62+Y62)+H$15</f>
        <v>#DIV/0!</v>
      </c>
      <c r="Y62" s="4" t="e">
        <f aca="false">IF(H$16=1,xCalcSkew($A62,Z62-BS62,b)/100,0)</f>
        <v>#DIV/0!</v>
      </c>
      <c r="Z62" s="41" t="n">
        <f aca="false">IF($H$19=4,$BS62,$H$18)</f>
        <v>2.44</v>
      </c>
      <c r="AC62" s="219" t="n">
        <f aca="false">VLOOKUP($A62,expiration,2,FALSE())-$B$2</f>
        <v>-7700</v>
      </c>
      <c r="AD62" s="219" t="n">
        <f aca="false">VLOOKUP($A62,expiration,3,FALSE())-$B$2</f>
        <v>-7701</v>
      </c>
      <c r="AE62" s="4" t="n">
        <f aca="false">VLOOKUP($A62,STRADDLE,15,FALSE())</f>
        <v>0.0397424893326637</v>
      </c>
      <c r="AF62" s="43" t="n">
        <f aca="false">A63-A62</f>
        <v>30</v>
      </c>
      <c r="AG62" s="44"/>
      <c r="AH62" s="44"/>
      <c r="AI62" s="44"/>
      <c r="AJ62" s="44"/>
      <c r="AK62" s="9" t="n">
        <f aca="false">IF($A62&gt;=AL$25,IF($A62&lt;=AL$26,$AF62,0),0)</f>
        <v>0</v>
      </c>
      <c r="AL62" s="221" t="e">
        <f aca="false">AN62/AK62</f>
        <v>#DIV/0!</v>
      </c>
      <c r="AM62" s="1" t="n">
        <f aca="false">AK62*($B62+B$13)</f>
        <v>0</v>
      </c>
      <c r="AN62" s="33" t="n">
        <f aca="false">IF(ISNUMBER(((AM62/AK62)+B$14+$D62)*AK62),((AM62/AK62)+B$14+$D62)*AK62,0)</f>
        <v>0</v>
      </c>
      <c r="AO62" s="44" t="n">
        <f aca="false">IF(AK62=0,0,bsd(1,AP$27,AL62,$H62,$E62,$F62,$AE62,0.1))</f>
        <v>0</v>
      </c>
      <c r="AP62" s="44" t="n">
        <f aca="false">IF(AK62=0,0,bsd(2,AP$27,AL62,$H62,$E62,$F62,$AE62,0.1))</f>
        <v>0</v>
      </c>
      <c r="AQ62" s="44" t="n">
        <f aca="false">IF(AK62=0,0,bsd(AP$28,AP$27,AL62,$H62,$E62,$F62,$AE62,0.1))</f>
        <v>0</v>
      </c>
      <c r="AR62" s="45" t="n">
        <f aca="false">AK62*AO62</f>
        <v>0</v>
      </c>
      <c r="AS62" s="45" t="n">
        <f aca="false">AK62*AP62</f>
        <v>0</v>
      </c>
      <c r="AT62" s="45" t="n">
        <f aca="false">AK62*AQ62</f>
        <v>0</v>
      </c>
      <c r="AV62" s="9" t="n">
        <f aca="false">IF($A62&gt;=AW$25,IF($A62&lt;=AW$26,$AF62,0),0)</f>
        <v>0</v>
      </c>
      <c r="AW62" s="221" t="e">
        <f aca="false">AY62/AV62</f>
        <v>#DIV/0!</v>
      </c>
      <c r="AX62" s="1" t="n">
        <f aca="false">AV62*($B62+D$13)</f>
        <v>0</v>
      </c>
      <c r="AY62" s="33" t="n">
        <f aca="false">IF(ISNUMBER(((AX62/AV62)+D$14+$J62)*AV62),((AX62/AV62)+D$14+$J62)*AV62,0)</f>
        <v>0</v>
      </c>
      <c r="AZ62" s="44" t="n">
        <f aca="false">IF(AV62=0,0,bsd(1,BA$27,AW62,$N62,$K62,$L62,$AE62,0.1))</f>
        <v>0</v>
      </c>
      <c r="BA62" s="44" t="n">
        <f aca="false">IF(AV62=0,0,bsd(2,BA$27,AW62,$N62,$K62,$L62,$AE62,0.1))</f>
        <v>0</v>
      </c>
      <c r="BB62" s="44" t="n">
        <f aca="false">IF(AV62=0,0,bsd(BA$28,BA$27,AW62,$N62,$K62,$L62,$AE62,0.1))</f>
        <v>0</v>
      </c>
      <c r="BC62" s="45" t="n">
        <f aca="false">AV62*AZ62</f>
        <v>0</v>
      </c>
      <c r="BD62" s="45" t="n">
        <f aca="false">AV62*BA62</f>
        <v>0</v>
      </c>
      <c r="BE62" s="45" t="n">
        <f aca="false">AV62*BB62</f>
        <v>0</v>
      </c>
      <c r="BG62" s="9" t="n">
        <f aca="false">IF($A62&gt;=BH$25,IF($A62&lt;=BH$26,$AF62,0),0)</f>
        <v>0</v>
      </c>
      <c r="BH62" s="221" t="e">
        <f aca="false">BJ62/BG62</f>
        <v>#DIV/0!</v>
      </c>
      <c r="BI62" s="1" t="n">
        <f aca="false">BG62*($B62+F$13)</f>
        <v>0</v>
      </c>
      <c r="BJ62" s="33" t="n">
        <f aca="false">IF(ISNUMBER(((BI62/BG62)+F$14+$P62)*BG62),((BI62/BG62)+F$14+$P62)*BG62,0)</f>
        <v>0</v>
      </c>
      <c r="BK62" s="44" t="n">
        <f aca="false">IF(BG62=0,0,bsd(1,BL$27,BH62,$T62,$Q62,$R62,$AE62,0.1))</f>
        <v>0</v>
      </c>
      <c r="BL62" s="44" t="n">
        <f aca="false">IF(BG62=0,0,bsd(2,BL$27,BH62,$T62,$Q62,$R62,$AE62,0.1))</f>
        <v>0</v>
      </c>
      <c r="BM62" s="44" t="n">
        <f aca="false">IF(BG62=0,0,bsd(BL$28,BL$27,BH62,$T62,$Q62,$R62,$AE62,0.1))</f>
        <v>0</v>
      </c>
      <c r="BN62" s="45" t="n">
        <f aca="false">BG62*BK62</f>
        <v>0</v>
      </c>
      <c r="BO62" s="45" t="n">
        <f aca="false">BG62*BL62</f>
        <v>0</v>
      </c>
      <c r="BP62" s="45" t="n">
        <f aca="false">BG62*BM62</f>
        <v>0</v>
      </c>
      <c r="BR62" s="9" t="n">
        <f aca="false">IF($A62&gt;=BS$25,IF($A62&lt;=BS$26,$AF62,0),0)</f>
        <v>0</v>
      </c>
      <c r="BS62" s="221" t="e">
        <f aca="false">BU62/BR62</f>
        <v>#DIV/0!</v>
      </c>
      <c r="BT62" s="1" t="n">
        <f aca="false">BR62*($B62+H$13)</f>
        <v>0</v>
      </c>
      <c r="BU62" s="33" t="n">
        <f aca="false">IF(ISNUMBER(((BT62/BR62)+H$14+$V62)*BR62),((BT62/BR62)+H$14+$V62)*BR62,0)</f>
        <v>0</v>
      </c>
      <c r="BV62" s="44" t="n">
        <f aca="false">IF(BR62=0,0,bsd(1,BW$27,BS62,$Z62,$W62,$X62,$AE62,0.1))</f>
        <v>0</v>
      </c>
      <c r="BW62" s="44" t="n">
        <f aca="false">IF(BR62=0,0,bsd(2,BW$27,BS62,$Z62,$W62,$X62,$AE62,0.1))</f>
        <v>0</v>
      </c>
      <c r="BX62" s="44" t="n">
        <f aca="false">IF(BR62=0,0,bsd(BW$28,BW$27,BS62,$Z62,$W62,$X62,$AE62,0.1))</f>
        <v>0</v>
      </c>
      <c r="BY62" s="45" t="n">
        <f aca="false">BR62*BV62</f>
        <v>0</v>
      </c>
      <c r="BZ62" s="45" t="n">
        <f aca="false">BR62*BW62</f>
        <v>0</v>
      </c>
      <c r="CA62" s="45" t="n">
        <f aca="false">BR62*BX62</f>
        <v>0</v>
      </c>
    </row>
    <row r="63" customFormat="false" ht="12.75" hidden="false" customHeight="false" outlineLevel="0" collapsed="false">
      <c r="A63" s="48" t="n">
        <f aca="false">DATE(YEAR(A62),MONTH(A62)+1,1)</f>
        <v>38261</v>
      </c>
      <c r="B63" s="40" t="n">
        <f aca="false">VLOOKUP(A63,STRADDLE,5,FALSE())</f>
        <v>3.213</v>
      </c>
      <c r="C63" s="4" t="e">
        <f aca="false">VLOOKUP(A63,STRADDLE,6,FALSE())</f>
        <v>#VALUE!</v>
      </c>
      <c r="D63" s="40" t="n">
        <f aca="false">IF(D$28="nymex",0,VLOOKUP($A63,curvesettle,HLOOKUP(D$28,curvesettle,2,FALSE())))</f>
        <v>0</v>
      </c>
      <c r="E63" s="219" t="n">
        <f aca="false">IF(D$28="NYMEX",$AD63,$AC63)</f>
        <v>-7669</v>
      </c>
      <c r="F63" s="4" t="e">
        <f aca="false">($C63+G63)+B$15</f>
        <v>#DIV/0!</v>
      </c>
      <c r="G63" s="4" t="e">
        <f aca="false">IF(B$16=1,xCalcSkew(A63,H63-AL63,b)/100,0)</f>
        <v>#DIV/0!</v>
      </c>
      <c r="H63" s="41" t="n">
        <f aca="false">IF($B$19=4,$AL63,$B$18)</f>
        <v>2.44</v>
      </c>
      <c r="J63" s="40" t="n">
        <f aca="false">IF(J$28="nymex",0,VLOOKUP($A63,curvesettle,HLOOKUP(J$28,curvesettle,2,FALSE())))</f>
        <v>0</v>
      </c>
      <c r="K63" s="219" t="n">
        <f aca="false">IF(J$28="NYMEX",$AD63,$AC63)</f>
        <v>-7669</v>
      </c>
      <c r="L63" s="220" t="e">
        <f aca="false">($C63+M63)+D$15</f>
        <v>#DIV/0!</v>
      </c>
      <c r="M63" s="4" t="e">
        <f aca="false">IF(D$16=1,xCalcSkew($A63,N63-AW63,b)/100,0)</f>
        <v>#DIV/0!</v>
      </c>
      <c r="N63" s="41" t="n">
        <f aca="false">IF($D$19=4,$AW63,$D$18)</f>
        <v>2.44</v>
      </c>
      <c r="P63" s="40" t="n">
        <f aca="false">IF(P$28="nymex",0,VLOOKUP($A63,curvesettle,HLOOKUP(P$28,curvesettle,2,FALSE())))</f>
        <v>0</v>
      </c>
      <c r="Q63" s="219" t="n">
        <f aca="false">IF(P$28="NYMEX",$AD63,$AC63)</f>
        <v>-7669</v>
      </c>
      <c r="R63" s="220" t="e">
        <f aca="false">($C63+S63)+F$15</f>
        <v>#DIV/0!</v>
      </c>
      <c r="S63" s="4" t="e">
        <f aca="false">IF(F$16=1,xCalcSkew($A63,T63-BH63,b)/100,0)</f>
        <v>#DIV/0!</v>
      </c>
      <c r="T63" s="41" t="n">
        <f aca="false">IF($F$19=4,$BH63,$F$18)</f>
        <v>2.44</v>
      </c>
      <c r="V63" s="40" t="n">
        <f aca="false">IF(V$28="nymex",0,VLOOKUP($A63,curvesettle,HLOOKUP(V$28,curvesettle,2,FALSE())))</f>
        <v>0</v>
      </c>
      <c r="W63" s="219" t="n">
        <f aca="false">IF(V$28="NYMEX",$AD63,$AC63)</f>
        <v>-7669</v>
      </c>
      <c r="X63" s="4" t="e">
        <f aca="false">($C63+Y63)+H$15</f>
        <v>#DIV/0!</v>
      </c>
      <c r="Y63" s="4" t="e">
        <f aca="false">IF(H$16=1,xCalcSkew($A63,Z63-BS63,b)/100,0)</f>
        <v>#DIV/0!</v>
      </c>
      <c r="Z63" s="41" t="n">
        <f aca="false">IF($H$19=4,$BS63,$H$18)</f>
        <v>2.44</v>
      </c>
      <c r="AC63" s="219" t="n">
        <f aca="false">VLOOKUP($A63,expiration,2,FALSE())-$B$2</f>
        <v>-7668</v>
      </c>
      <c r="AD63" s="219" t="n">
        <f aca="false">VLOOKUP($A63,expiration,3,FALSE())-$B$2</f>
        <v>-7669</v>
      </c>
      <c r="AE63" s="4" t="n">
        <f aca="false">VLOOKUP($A63,STRADDLE,15,FALSE())</f>
        <v>0.0403867507782238</v>
      </c>
      <c r="AF63" s="43" t="n">
        <f aca="false">A64-A63</f>
        <v>31</v>
      </c>
      <c r="AG63" s="44"/>
      <c r="AH63" s="44"/>
      <c r="AI63" s="44"/>
      <c r="AJ63" s="44"/>
      <c r="AK63" s="9" t="n">
        <f aca="false">IF($A63&gt;=AL$25,IF($A63&lt;=AL$26,$AF63,0),0)</f>
        <v>0</v>
      </c>
      <c r="AL63" s="221" t="e">
        <f aca="false">AN63/AK63</f>
        <v>#DIV/0!</v>
      </c>
      <c r="AM63" s="1" t="n">
        <f aca="false">AK63*($B63+B$13)</f>
        <v>0</v>
      </c>
      <c r="AN63" s="33" t="n">
        <f aca="false">IF(ISNUMBER(((AM63/AK63)+B$14+$D63)*AK63),((AM63/AK63)+B$14+$D63)*AK63,0)</f>
        <v>0</v>
      </c>
      <c r="AO63" s="44" t="n">
        <f aca="false">IF(AK63=0,0,bsd(1,AP$27,AL63,$H63,$E63,$F63,$AE63,0.1))</f>
        <v>0</v>
      </c>
      <c r="AP63" s="44" t="n">
        <f aca="false">IF(AK63=0,0,bsd(2,AP$27,AL63,$H63,$E63,$F63,$AE63,0.1))</f>
        <v>0</v>
      </c>
      <c r="AQ63" s="44" t="n">
        <f aca="false">IF(AK63=0,0,bsd(AP$28,AP$27,AL63,$H63,$E63,$F63,$AE63,0.1))</f>
        <v>0</v>
      </c>
      <c r="AR63" s="45" t="n">
        <f aca="false">AK63*AO63</f>
        <v>0</v>
      </c>
      <c r="AS63" s="45" t="n">
        <f aca="false">AK63*AP63</f>
        <v>0</v>
      </c>
      <c r="AT63" s="45" t="n">
        <f aca="false">AK63*AQ63</f>
        <v>0</v>
      </c>
      <c r="AV63" s="9" t="n">
        <f aca="false">IF($A63&gt;=AW$25,IF($A63&lt;=AW$26,$AF63,0),0)</f>
        <v>0</v>
      </c>
      <c r="AW63" s="221" t="e">
        <f aca="false">AY63/AV63</f>
        <v>#DIV/0!</v>
      </c>
      <c r="AX63" s="1" t="n">
        <f aca="false">AV63*($B63+D$13)</f>
        <v>0</v>
      </c>
      <c r="AY63" s="33" t="n">
        <f aca="false">IF(ISNUMBER(((AX63/AV63)+D$14+$J63)*AV63),((AX63/AV63)+D$14+$J63)*AV63,0)</f>
        <v>0</v>
      </c>
      <c r="AZ63" s="44" t="n">
        <f aca="false">IF(AV63=0,0,bsd(1,BA$27,AW63,$N63,$K63,$L63,$AE63,0.1))</f>
        <v>0</v>
      </c>
      <c r="BA63" s="44" t="n">
        <f aca="false">IF(AV63=0,0,bsd(2,BA$27,AW63,$N63,$K63,$L63,$AE63,0.1))</f>
        <v>0</v>
      </c>
      <c r="BB63" s="44" t="n">
        <f aca="false">IF(AV63=0,0,bsd(BA$28,BA$27,AW63,$N63,$K63,$L63,$AE63,0.1))</f>
        <v>0</v>
      </c>
      <c r="BC63" s="45" t="n">
        <f aca="false">AV63*AZ63</f>
        <v>0</v>
      </c>
      <c r="BD63" s="45" t="n">
        <f aca="false">AV63*BA63</f>
        <v>0</v>
      </c>
      <c r="BE63" s="45" t="n">
        <f aca="false">AV63*BB63</f>
        <v>0</v>
      </c>
      <c r="BG63" s="9" t="n">
        <f aca="false">IF($A63&gt;=BH$25,IF($A63&lt;=BH$26,$AF63,0),0)</f>
        <v>0</v>
      </c>
      <c r="BH63" s="221" t="e">
        <f aca="false">BJ63/BG63</f>
        <v>#DIV/0!</v>
      </c>
      <c r="BI63" s="1" t="n">
        <f aca="false">BG63*($B63+F$13)</f>
        <v>0</v>
      </c>
      <c r="BJ63" s="33" t="n">
        <f aca="false">IF(ISNUMBER(((BI63/BG63)+F$14+$P63)*BG63),((BI63/BG63)+F$14+$P63)*BG63,0)</f>
        <v>0</v>
      </c>
      <c r="BK63" s="44" t="n">
        <f aca="false">IF(BG63=0,0,bsd(1,BL$27,BH63,$T63,$Q63,$R63,$AE63,0.1))</f>
        <v>0</v>
      </c>
      <c r="BL63" s="44" t="n">
        <f aca="false">IF(BG63=0,0,bsd(2,BL$27,BH63,$T63,$Q63,$R63,$AE63,0.1))</f>
        <v>0</v>
      </c>
      <c r="BM63" s="44" t="n">
        <f aca="false">IF(BG63=0,0,bsd(BL$28,BL$27,BH63,$T63,$Q63,$R63,$AE63,0.1))</f>
        <v>0</v>
      </c>
      <c r="BN63" s="45" t="n">
        <f aca="false">BG63*BK63</f>
        <v>0</v>
      </c>
      <c r="BO63" s="45" t="n">
        <f aca="false">BG63*BL63</f>
        <v>0</v>
      </c>
      <c r="BP63" s="45" t="n">
        <f aca="false">BG63*BM63</f>
        <v>0</v>
      </c>
      <c r="BR63" s="9" t="n">
        <f aca="false">IF($A63&gt;=BS$25,IF($A63&lt;=BS$26,$AF63,0),0)</f>
        <v>0</v>
      </c>
      <c r="BS63" s="221" t="e">
        <f aca="false">BU63/BR63</f>
        <v>#DIV/0!</v>
      </c>
      <c r="BT63" s="1" t="n">
        <f aca="false">BR63*($B63+H$13)</f>
        <v>0</v>
      </c>
      <c r="BU63" s="33" t="n">
        <f aca="false">IF(ISNUMBER(((BT63/BR63)+H$14+$V63)*BR63),((BT63/BR63)+H$14+$V63)*BR63,0)</f>
        <v>0</v>
      </c>
      <c r="BV63" s="44" t="n">
        <f aca="false">IF(BR63=0,0,bsd(1,BW$27,BS63,$Z63,$W63,$X63,$AE63,0.1))</f>
        <v>0</v>
      </c>
      <c r="BW63" s="44" t="n">
        <f aca="false">IF(BR63=0,0,bsd(2,BW$27,BS63,$Z63,$W63,$X63,$AE63,0.1))</f>
        <v>0</v>
      </c>
      <c r="BX63" s="44" t="n">
        <f aca="false">IF(BR63=0,0,bsd(BW$28,BW$27,BS63,$Z63,$W63,$X63,$AE63,0.1))</f>
        <v>0</v>
      </c>
      <c r="BY63" s="45" t="n">
        <f aca="false">BR63*BV63</f>
        <v>0</v>
      </c>
      <c r="BZ63" s="45" t="n">
        <f aca="false">BR63*BW63</f>
        <v>0</v>
      </c>
      <c r="CA63" s="45" t="n">
        <f aca="false">BR63*BX63</f>
        <v>0</v>
      </c>
    </row>
    <row r="64" customFormat="false" ht="12.75" hidden="false" customHeight="false" outlineLevel="0" collapsed="false">
      <c r="A64" s="48" t="n">
        <f aca="false">DATE(YEAR(A63),MONTH(A63)+1,1)</f>
        <v>38292</v>
      </c>
      <c r="B64" s="40" t="n">
        <f aca="false">VLOOKUP(A64,STRADDLE,5,FALSE())</f>
        <v>3.358</v>
      </c>
      <c r="C64" s="4" t="e">
        <f aca="false">VLOOKUP(A64,STRADDLE,6,FALSE())</f>
        <v>#VALUE!</v>
      </c>
      <c r="D64" s="40" t="n">
        <f aca="false">IF(D$28="nymex",0,VLOOKUP($A64,curvesettle,HLOOKUP(D$28,curvesettle,2,FALSE())))</f>
        <v>0</v>
      </c>
      <c r="E64" s="219" t="n">
        <f aca="false">IF(D$28="NYMEX",$AD64,$AC64)</f>
        <v>-7640</v>
      </c>
      <c r="F64" s="4" t="e">
        <f aca="false">($C64+G64)+B$15</f>
        <v>#DIV/0!</v>
      </c>
      <c r="G64" s="4" t="e">
        <f aca="false">IF(B$16=1,xCalcSkew(A64,H64-AL64,b)/100,0)</f>
        <v>#DIV/0!</v>
      </c>
      <c r="H64" s="41" t="n">
        <f aca="false">IF($B$19=4,$AL64,$B$18)</f>
        <v>2.44</v>
      </c>
      <c r="J64" s="40" t="n">
        <f aca="false">IF(J$28="nymex",0,VLOOKUP($A64,curvesettle,HLOOKUP(J$28,curvesettle,2,FALSE())))</f>
        <v>0</v>
      </c>
      <c r="K64" s="219" t="n">
        <f aca="false">IF(J$28="NYMEX",$AD64,$AC64)</f>
        <v>-7640</v>
      </c>
      <c r="L64" s="220" t="e">
        <f aca="false">($C64+M64)+D$15</f>
        <v>#DIV/0!</v>
      </c>
      <c r="M64" s="4" t="e">
        <f aca="false">IF(D$16=1,xCalcSkew($A64,N64-AW64,b)/100,0)</f>
        <v>#DIV/0!</v>
      </c>
      <c r="N64" s="41" t="n">
        <f aca="false">IF($D$19=4,$AW64,$D$18)</f>
        <v>2.44</v>
      </c>
      <c r="P64" s="40" t="n">
        <f aca="false">IF(P$28="nymex",0,VLOOKUP($A64,curvesettle,HLOOKUP(P$28,curvesettle,2,FALSE())))</f>
        <v>0</v>
      </c>
      <c r="Q64" s="219" t="n">
        <f aca="false">IF(P$28="NYMEX",$AD64,$AC64)</f>
        <v>-7640</v>
      </c>
      <c r="R64" s="220" t="e">
        <f aca="false">($C64+S64)+F$15</f>
        <v>#DIV/0!</v>
      </c>
      <c r="S64" s="4" t="e">
        <f aca="false">IF(F$16=1,xCalcSkew($A64,T64-BH64,b)/100,0)</f>
        <v>#DIV/0!</v>
      </c>
      <c r="T64" s="41" t="n">
        <f aca="false">IF($F$19=4,$BH64,$F$18)</f>
        <v>2.44</v>
      </c>
      <c r="V64" s="40" t="n">
        <f aca="false">IF(V$28="nymex",0,VLOOKUP($A64,curvesettle,HLOOKUP(V$28,curvesettle,2,FALSE())))</f>
        <v>0</v>
      </c>
      <c r="W64" s="219" t="n">
        <f aca="false">IF(V$28="NYMEX",$AD64,$AC64)</f>
        <v>-7640</v>
      </c>
      <c r="X64" s="4" t="e">
        <f aca="false">($C64+Y64)+H$15</f>
        <v>#DIV/0!</v>
      </c>
      <c r="Y64" s="4" t="e">
        <f aca="false">IF(H$16=1,xCalcSkew($A64,Z64-BS64,b)/100,0)</f>
        <v>#DIV/0!</v>
      </c>
      <c r="Z64" s="41" t="n">
        <f aca="false">IF($H$19=4,$BS64,$H$18)</f>
        <v>2.44</v>
      </c>
      <c r="AC64" s="219" t="n">
        <f aca="false">VLOOKUP($A64,expiration,2,FALSE())-$B$2</f>
        <v>-7639</v>
      </c>
      <c r="AD64" s="219" t="n">
        <f aca="false">VLOOKUP($A64,expiration,3,FALSE())-$B$2</f>
        <v>-7640</v>
      </c>
      <c r="AE64" s="4" t="n">
        <f aca="false">VLOOKUP($A64,STRADDLE,15,FALSE())</f>
        <v>0.0409754465349472</v>
      </c>
      <c r="AF64" s="43" t="n">
        <f aca="false">A65-A64</f>
        <v>30</v>
      </c>
      <c r="AG64" s="44"/>
      <c r="AH64" s="44"/>
      <c r="AI64" s="44"/>
      <c r="AJ64" s="44"/>
      <c r="AK64" s="9" t="n">
        <f aca="false">IF($A64&gt;=AL$25,IF($A64&lt;=AL$26,$AF64,0),0)</f>
        <v>0</v>
      </c>
      <c r="AL64" s="221" t="e">
        <f aca="false">AN64/AK64</f>
        <v>#DIV/0!</v>
      </c>
      <c r="AM64" s="1" t="n">
        <f aca="false">AK64*($B64+B$13)</f>
        <v>0</v>
      </c>
      <c r="AN64" s="33" t="n">
        <f aca="false">IF(ISNUMBER(((AM64/AK64)+B$14+$D64)*AK64),((AM64/AK64)+B$14+$D64)*AK64,0)</f>
        <v>0</v>
      </c>
      <c r="AO64" s="44" t="n">
        <f aca="false">IF(AK64=0,0,bsd(1,AP$27,AL64,$H64,$E64,$F64,$AE64,0.1))</f>
        <v>0</v>
      </c>
      <c r="AP64" s="44" t="n">
        <f aca="false">IF(AK64=0,0,bsd(2,AP$27,AL64,$H64,$E64,$F64,$AE64,0.1))</f>
        <v>0</v>
      </c>
      <c r="AQ64" s="44" t="n">
        <f aca="false">IF(AK64=0,0,bsd(AP$28,AP$27,AL64,$H64,$E64,$F64,$AE64,0.1))</f>
        <v>0</v>
      </c>
      <c r="AR64" s="45" t="n">
        <f aca="false">AK64*AO64</f>
        <v>0</v>
      </c>
      <c r="AS64" s="45" t="n">
        <f aca="false">AK64*AP64</f>
        <v>0</v>
      </c>
      <c r="AT64" s="45" t="n">
        <f aca="false">AK64*AQ64</f>
        <v>0</v>
      </c>
      <c r="AV64" s="9" t="n">
        <f aca="false">IF($A64&gt;=AW$25,IF($A64&lt;=AW$26,$AF64,0),0)</f>
        <v>0</v>
      </c>
      <c r="AW64" s="221" t="e">
        <f aca="false">AY64/AV64</f>
        <v>#DIV/0!</v>
      </c>
      <c r="AX64" s="1" t="n">
        <f aca="false">AV64*($B64+D$13)</f>
        <v>0</v>
      </c>
      <c r="AY64" s="33" t="n">
        <f aca="false">IF(ISNUMBER(((AX64/AV64)+D$14+$J64)*AV64),((AX64/AV64)+D$14+$J64)*AV64,0)</f>
        <v>0</v>
      </c>
      <c r="AZ64" s="44" t="n">
        <f aca="false">IF(AV64=0,0,bsd(1,BA$27,AW64,$N64,$K64,$L64,$AE64,0.1))</f>
        <v>0</v>
      </c>
      <c r="BA64" s="44" t="n">
        <f aca="false">IF(AV64=0,0,bsd(2,BA$27,AW64,$N64,$K64,$L64,$AE64,0.1))</f>
        <v>0</v>
      </c>
      <c r="BB64" s="44" t="n">
        <f aca="false">IF(AV64=0,0,bsd(BA$28,BA$27,AW64,$N64,$K64,$L64,$AE64,0.1))</f>
        <v>0</v>
      </c>
      <c r="BC64" s="45" t="n">
        <f aca="false">AV64*AZ64</f>
        <v>0</v>
      </c>
      <c r="BD64" s="45" t="n">
        <f aca="false">AV64*BA64</f>
        <v>0</v>
      </c>
      <c r="BE64" s="45" t="n">
        <f aca="false">AV64*BB64</f>
        <v>0</v>
      </c>
      <c r="BG64" s="9" t="n">
        <f aca="false">IF($A64&gt;=BH$25,IF($A64&lt;=BH$26,$AF64,0),0)</f>
        <v>0</v>
      </c>
      <c r="BH64" s="221" t="e">
        <f aca="false">BJ64/BG64</f>
        <v>#DIV/0!</v>
      </c>
      <c r="BI64" s="1" t="n">
        <f aca="false">BG64*($B64+F$13)</f>
        <v>0</v>
      </c>
      <c r="BJ64" s="33" t="n">
        <f aca="false">IF(ISNUMBER(((BI64/BG64)+F$14+$P64)*BG64),((BI64/BG64)+F$14+$P64)*BG64,0)</f>
        <v>0</v>
      </c>
      <c r="BK64" s="44" t="n">
        <f aca="false">IF(BG64=0,0,bsd(1,BL$27,BH64,$T64,$Q64,$R64,$AE64,0.1))</f>
        <v>0</v>
      </c>
      <c r="BL64" s="44" t="n">
        <f aca="false">IF(BG64=0,0,bsd(2,BL$27,BH64,$T64,$Q64,$R64,$AE64,0.1))</f>
        <v>0</v>
      </c>
      <c r="BM64" s="44" t="n">
        <f aca="false">IF(BG64=0,0,bsd(BL$28,BL$27,BH64,$T64,$Q64,$R64,$AE64,0.1))</f>
        <v>0</v>
      </c>
      <c r="BN64" s="45" t="n">
        <f aca="false">BG64*BK64</f>
        <v>0</v>
      </c>
      <c r="BO64" s="45" t="n">
        <f aca="false">BG64*BL64</f>
        <v>0</v>
      </c>
      <c r="BP64" s="45" t="n">
        <f aca="false">BG64*BM64</f>
        <v>0</v>
      </c>
      <c r="BR64" s="9" t="n">
        <f aca="false">IF($A64&gt;=BS$25,IF($A64&lt;=BS$26,$AF64,0),0)</f>
        <v>0</v>
      </c>
      <c r="BS64" s="221" t="e">
        <f aca="false">BU64/BR64</f>
        <v>#DIV/0!</v>
      </c>
      <c r="BT64" s="1" t="n">
        <f aca="false">BR64*($B64+H$13)</f>
        <v>0</v>
      </c>
      <c r="BU64" s="33" t="n">
        <f aca="false">IF(ISNUMBER(((BT64/BR64)+H$14+$V64)*BR64),((BT64/BR64)+H$14+$V64)*BR64,0)</f>
        <v>0</v>
      </c>
      <c r="BV64" s="44" t="n">
        <f aca="false">IF(BR64=0,0,bsd(1,BW$27,BS64,$Z64,$W64,$X64,$AE64,0.1))</f>
        <v>0</v>
      </c>
      <c r="BW64" s="44" t="n">
        <f aca="false">IF(BR64=0,0,bsd(2,BW$27,BS64,$Z64,$W64,$X64,$AE64,0.1))</f>
        <v>0</v>
      </c>
      <c r="BX64" s="44" t="n">
        <f aca="false">IF(BR64=0,0,bsd(BW$28,BW$27,BS64,$Z64,$W64,$X64,$AE64,0.1))</f>
        <v>0</v>
      </c>
      <c r="BY64" s="45" t="n">
        <f aca="false">BR64*BV64</f>
        <v>0</v>
      </c>
      <c r="BZ64" s="45" t="n">
        <f aca="false">BR64*BW64</f>
        <v>0</v>
      </c>
      <c r="CA64" s="45" t="n">
        <f aca="false">BR64*BX64</f>
        <v>0</v>
      </c>
    </row>
    <row r="65" customFormat="false" ht="12.75" hidden="false" customHeight="false" outlineLevel="0" collapsed="false">
      <c r="A65" s="48" t="n">
        <f aca="false">DATE(YEAR(A64),MONTH(A64)+1,1)</f>
        <v>38322</v>
      </c>
      <c r="B65" s="40" t="n">
        <f aca="false">VLOOKUP(A65,STRADDLE,5,FALSE())</f>
        <v>3.444</v>
      </c>
      <c r="C65" s="4" t="e">
        <f aca="false">VLOOKUP(A65,STRADDLE,6,FALSE())</f>
        <v>#VALUE!</v>
      </c>
      <c r="D65" s="40" t="n">
        <f aca="false">IF(D$28="nymex",0,VLOOKUP($A65,curvesettle,HLOOKUP(D$28,curvesettle,2,FALSE())))</f>
        <v>0</v>
      </c>
      <c r="E65" s="219" t="n">
        <f aca="false">IF(D$28="NYMEX",$AD65,$AC65)</f>
        <v>-7611</v>
      </c>
      <c r="F65" s="4" t="e">
        <f aca="false">($C65+G65)+B$15</f>
        <v>#DIV/0!</v>
      </c>
      <c r="G65" s="4" t="e">
        <f aca="false">IF(B$16=1,xCalcSkew(A65,H65-AL65,b)/100,0)</f>
        <v>#DIV/0!</v>
      </c>
      <c r="H65" s="41" t="n">
        <f aca="false">IF($B$19=4,$AL65,$B$18)</f>
        <v>2.44</v>
      </c>
      <c r="J65" s="40" t="n">
        <f aca="false">IF(J$28="nymex",0,VLOOKUP($A65,curvesettle,HLOOKUP(J$28,curvesettle,2,FALSE())))</f>
        <v>0</v>
      </c>
      <c r="K65" s="219" t="n">
        <f aca="false">IF(J$28="NYMEX",$AD65,$AC65)</f>
        <v>-7611</v>
      </c>
      <c r="L65" s="220" t="e">
        <f aca="false">($C65+M65)+D$15</f>
        <v>#DIV/0!</v>
      </c>
      <c r="M65" s="4" t="e">
        <f aca="false">IF(D$16=1,xCalcSkew($A65,N65-AW65,b)/100,0)</f>
        <v>#DIV/0!</v>
      </c>
      <c r="N65" s="41" t="n">
        <f aca="false">IF($D$19=4,$AW65,$D$18)</f>
        <v>2.44</v>
      </c>
      <c r="P65" s="40" t="n">
        <f aca="false">IF(P$28="nymex",0,VLOOKUP($A65,curvesettle,HLOOKUP(P$28,curvesettle,2,FALSE())))</f>
        <v>0</v>
      </c>
      <c r="Q65" s="219" t="n">
        <f aca="false">IF(P$28="NYMEX",$AD65,$AC65)</f>
        <v>-7611</v>
      </c>
      <c r="R65" s="220" t="e">
        <f aca="false">($C65+S65)+F$15</f>
        <v>#DIV/0!</v>
      </c>
      <c r="S65" s="4" t="e">
        <f aca="false">IF(F$16=1,xCalcSkew($A65,T65-BH65,b)/100,0)</f>
        <v>#DIV/0!</v>
      </c>
      <c r="T65" s="41" t="n">
        <f aca="false">IF($F$19=4,$BH65,$F$18)</f>
        <v>2.44</v>
      </c>
      <c r="V65" s="40" t="n">
        <f aca="false">IF(V$28="nymex",0,VLOOKUP($A65,curvesettle,HLOOKUP(V$28,curvesettle,2,FALSE())))</f>
        <v>0</v>
      </c>
      <c r="W65" s="219" t="n">
        <f aca="false">IF(V$28="NYMEX",$AD65,$AC65)</f>
        <v>-7611</v>
      </c>
      <c r="X65" s="4" t="e">
        <f aca="false">($C65+Y65)+H$15</f>
        <v>#DIV/0!</v>
      </c>
      <c r="Y65" s="4" t="e">
        <f aca="false">IF(H$16=1,xCalcSkew($A65,Z65-BS65,b)/100,0)</f>
        <v>#DIV/0!</v>
      </c>
      <c r="Z65" s="41" t="n">
        <f aca="false">IF($H$19=4,$BS65,$H$18)</f>
        <v>2.44</v>
      </c>
      <c r="AC65" s="219" t="n">
        <f aca="false">VLOOKUP($A65,expiration,2,FALSE())-$B$2</f>
        <v>-7609</v>
      </c>
      <c r="AD65" s="219" t="n">
        <f aca="false">VLOOKUP($A65,expiration,3,FALSE())-$B$2</f>
        <v>-7611</v>
      </c>
      <c r="AE65" s="4" t="n">
        <f aca="false">VLOOKUP($A65,STRADDLE,15,FALSE())</f>
        <v>0.0415503422333172</v>
      </c>
      <c r="AF65" s="43" t="n">
        <f aca="false">A66-A65</f>
        <v>31</v>
      </c>
      <c r="AG65" s="44"/>
      <c r="AH65" s="44"/>
      <c r="AI65" s="44"/>
      <c r="AJ65" s="44"/>
      <c r="AK65" s="9" t="n">
        <f aca="false">IF($A65&gt;=AL$25,IF($A65&lt;=AL$26,$AF65,0),0)</f>
        <v>0</v>
      </c>
      <c r="AL65" s="221" t="e">
        <f aca="false">AN65/AK65</f>
        <v>#DIV/0!</v>
      </c>
      <c r="AM65" s="1" t="n">
        <f aca="false">AK65*($B65+B$13)</f>
        <v>0</v>
      </c>
      <c r="AN65" s="33" t="n">
        <f aca="false">IF(ISNUMBER(((AM65/AK65)+B$14+$D65)*AK65),((AM65/AK65)+B$14+$D65)*AK65,0)</f>
        <v>0</v>
      </c>
      <c r="AO65" s="44" t="n">
        <f aca="false">IF(AK65=0,0,bsd(1,AP$27,AL65,$H65,$E65,$F65,$AE65,0.1))</f>
        <v>0</v>
      </c>
      <c r="AP65" s="44" t="n">
        <f aca="false">IF(AK65=0,0,bsd(2,AP$27,AL65,$H65,$E65,$F65,$AE65,0.1))</f>
        <v>0</v>
      </c>
      <c r="AQ65" s="44" t="n">
        <f aca="false">IF(AK65=0,0,bsd(AP$28,AP$27,AL65,$H65,$E65,$F65,$AE65,0.1))</f>
        <v>0</v>
      </c>
      <c r="AR65" s="45" t="n">
        <f aca="false">AK65*AO65</f>
        <v>0</v>
      </c>
      <c r="AS65" s="45" t="n">
        <f aca="false">AK65*AP65</f>
        <v>0</v>
      </c>
      <c r="AT65" s="45" t="n">
        <f aca="false">AK65*AQ65</f>
        <v>0</v>
      </c>
      <c r="AV65" s="9" t="n">
        <f aca="false">IF($A65&gt;=AW$25,IF($A65&lt;=AW$26,$AF65,0),0)</f>
        <v>0</v>
      </c>
      <c r="AW65" s="221" t="e">
        <f aca="false">AY65/AV65</f>
        <v>#DIV/0!</v>
      </c>
      <c r="AX65" s="1" t="n">
        <f aca="false">AV65*($B65+D$13)</f>
        <v>0</v>
      </c>
      <c r="AY65" s="33" t="n">
        <f aca="false">IF(ISNUMBER(((AX65/AV65)+D$14+$J65)*AV65),((AX65/AV65)+D$14+$J65)*AV65,0)</f>
        <v>0</v>
      </c>
      <c r="AZ65" s="44" t="n">
        <f aca="false">IF(AV65=0,0,bsd(1,BA$27,AW65,$N65,$K65,$L65,$AE65,0.1))</f>
        <v>0</v>
      </c>
      <c r="BA65" s="44" t="n">
        <f aca="false">IF(AV65=0,0,bsd(2,BA$27,AW65,$N65,$K65,$L65,$AE65,0.1))</f>
        <v>0</v>
      </c>
      <c r="BB65" s="44" t="n">
        <f aca="false">IF(AV65=0,0,bsd(BA$28,BA$27,AW65,$N65,$K65,$L65,$AE65,0.1))</f>
        <v>0</v>
      </c>
      <c r="BC65" s="45" t="n">
        <f aca="false">AV65*AZ65</f>
        <v>0</v>
      </c>
      <c r="BD65" s="45" t="n">
        <f aca="false">AV65*BA65</f>
        <v>0</v>
      </c>
      <c r="BE65" s="45" t="n">
        <f aca="false">AV65*BB65</f>
        <v>0</v>
      </c>
      <c r="BG65" s="9" t="n">
        <f aca="false">IF($A65&gt;=BH$25,IF($A65&lt;=BH$26,$AF65,0),0)</f>
        <v>0</v>
      </c>
      <c r="BH65" s="221" t="e">
        <f aca="false">BJ65/BG65</f>
        <v>#DIV/0!</v>
      </c>
      <c r="BI65" s="1" t="n">
        <f aca="false">BG65*($B65+F$13)</f>
        <v>0</v>
      </c>
      <c r="BJ65" s="33" t="n">
        <f aca="false">IF(ISNUMBER(((BI65/BG65)+F$14+$P65)*BG65),((BI65/BG65)+F$14+$P65)*BG65,0)</f>
        <v>0</v>
      </c>
      <c r="BK65" s="44" t="n">
        <f aca="false">IF(BG65=0,0,bsd(1,BL$27,BH65,$T65,$Q65,$R65,$AE65,0.1))</f>
        <v>0</v>
      </c>
      <c r="BL65" s="44" t="n">
        <f aca="false">IF(BG65=0,0,bsd(2,BL$27,BH65,$T65,$Q65,$R65,$AE65,0.1))</f>
        <v>0</v>
      </c>
      <c r="BM65" s="44" t="n">
        <f aca="false">IF(BG65=0,0,bsd(BL$28,BL$27,BH65,$T65,$Q65,$R65,$AE65,0.1))</f>
        <v>0</v>
      </c>
      <c r="BN65" s="45" t="n">
        <f aca="false">BG65*BK65</f>
        <v>0</v>
      </c>
      <c r="BO65" s="45" t="n">
        <f aca="false">BG65*BL65</f>
        <v>0</v>
      </c>
      <c r="BP65" s="45" t="n">
        <f aca="false">BG65*BM65</f>
        <v>0</v>
      </c>
      <c r="BR65" s="9" t="n">
        <f aca="false">IF($A65&gt;=BS$25,IF($A65&lt;=BS$26,$AF65,0),0)</f>
        <v>0</v>
      </c>
      <c r="BS65" s="221" t="e">
        <f aca="false">BU65/BR65</f>
        <v>#DIV/0!</v>
      </c>
      <c r="BT65" s="1" t="n">
        <f aca="false">BR65*($B65+H$13)</f>
        <v>0</v>
      </c>
      <c r="BU65" s="33" t="n">
        <f aca="false">IF(ISNUMBER(((BT65/BR65)+H$14+$V65)*BR65),((BT65/BR65)+H$14+$V65)*BR65,0)</f>
        <v>0</v>
      </c>
      <c r="BV65" s="44" t="n">
        <f aca="false">IF(BR65=0,0,bsd(1,BW$27,BS65,$Z65,$W65,$X65,$AE65,0.1))</f>
        <v>0</v>
      </c>
      <c r="BW65" s="44" t="n">
        <f aca="false">IF(BR65=0,0,bsd(2,BW$27,BS65,$Z65,$W65,$X65,$AE65,0.1))</f>
        <v>0</v>
      </c>
      <c r="BX65" s="44" t="n">
        <f aca="false">IF(BR65=0,0,bsd(BW$28,BW$27,BS65,$Z65,$W65,$X65,$AE65,0.1))</f>
        <v>0</v>
      </c>
      <c r="BY65" s="45" t="n">
        <f aca="false">BR65*BV65</f>
        <v>0</v>
      </c>
      <c r="BZ65" s="45" t="n">
        <f aca="false">BR65*BW65</f>
        <v>0</v>
      </c>
      <c r="CA65" s="45" t="n">
        <f aca="false">BR65*BX65</f>
        <v>0</v>
      </c>
    </row>
    <row r="66" customFormat="false" ht="12.75" hidden="false" customHeight="false" outlineLevel="0" collapsed="false">
      <c r="A66" s="48" t="n">
        <f aca="false">DATE(YEAR(A65),MONTH(A65)+1,1)</f>
        <v>38353</v>
      </c>
      <c r="B66" s="40" t="n">
        <f aca="false">VLOOKUP(A66,STRADDLE,5,FALSE())</f>
        <v>3.499</v>
      </c>
      <c r="C66" s="4" t="e">
        <f aca="false">VLOOKUP(A66,STRADDLE,6,FALSE())</f>
        <v>#VALUE!</v>
      </c>
      <c r="D66" s="40" t="n">
        <f aca="false">IF(D$28="nymex",0,VLOOKUP($A66,curvesettle,HLOOKUP(D$28,curvesettle,2,FALSE())))</f>
        <v>0</v>
      </c>
      <c r="E66" s="219" t="n">
        <f aca="false">IF(D$28="NYMEX",$AD66,$AC66)</f>
        <v>-7578</v>
      </c>
      <c r="F66" s="4" t="e">
        <f aca="false">($C66+G66)+B$15</f>
        <v>#DIV/0!</v>
      </c>
      <c r="G66" s="4" t="e">
        <f aca="false">IF(B$16=1,xCalcSkew(A66,H66-AL66,b)/100,0)</f>
        <v>#DIV/0!</v>
      </c>
      <c r="H66" s="41" t="n">
        <f aca="false">IF($B$19=4,$AL66,$B$18)</f>
        <v>2.44</v>
      </c>
      <c r="J66" s="40" t="n">
        <f aca="false">IF(J$28="nymex",0,VLOOKUP($A66,curvesettle,HLOOKUP(J$28,curvesettle,2,FALSE())))</f>
        <v>0</v>
      </c>
      <c r="K66" s="219" t="n">
        <f aca="false">IF(J$28="NYMEX",$AD66,$AC66)</f>
        <v>-7578</v>
      </c>
      <c r="L66" s="220" t="e">
        <f aca="false">($C66+M66)+D$15</f>
        <v>#DIV/0!</v>
      </c>
      <c r="M66" s="4" t="e">
        <f aca="false">IF(D$16=1,xCalcSkew($A66,N66-AW66,b)/100,0)</f>
        <v>#DIV/0!</v>
      </c>
      <c r="N66" s="41" t="n">
        <f aca="false">IF($D$19=4,$AW66,$D$18)</f>
        <v>2.44</v>
      </c>
      <c r="P66" s="40" t="n">
        <f aca="false">IF(P$28="nymex",0,VLOOKUP($A66,curvesettle,HLOOKUP(P$28,curvesettle,2,FALSE())))</f>
        <v>0</v>
      </c>
      <c r="Q66" s="219" t="n">
        <f aca="false">IF(P$28="NYMEX",$AD66,$AC66)</f>
        <v>-7578</v>
      </c>
      <c r="R66" s="220" t="e">
        <f aca="false">($C66+S66)+F$15</f>
        <v>#DIV/0!</v>
      </c>
      <c r="S66" s="4" t="e">
        <f aca="false">IF(F$16=1,xCalcSkew($A66,T66-BH66,b)/100,0)</f>
        <v>#DIV/0!</v>
      </c>
      <c r="T66" s="41" t="n">
        <f aca="false">IF($F$19=4,$BH66,$F$18)</f>
        <v>2.44</v>
      </c>
      <c r="V66" s="40" t="n">
        <f aca="false">IF(V$28="nymex",0,VLOOKUP($A66,curvesettle,HLOOKUP(V$28,curvesettle,2,FALSE())))</f>
        <v>0</v>
      </c>
      <c r="W66" s="219" t="n">
        <f aca="false">IF(V$28="NYMEX",$AD66,$AC66)</f>
        <v>-7578</v>
      </c>
      <c r="X66" s="4" t="e">
        <f aca="false">($C66+Y66)+H$15</f>
        <v>#DIV/0!</v>
      </c>
      <c r="Y66" s="4" t="e">
        <f aca="false">IF(H$16=1,xCalcSkew($A66,Z66-BS66,b)/100,0)</f>
        <v>#DIV/0!</v>
      </c>
      <c r="Z66" s="41" t="n">
        <f aca="false">IF($H$19=4,$BS66,$H$18)</f>
        <v>2.44</v>
      </c>
      <c r="AC66" s="219" t="n">
        <f aca="false">VLOOKUP($A66,expiration,2,FALSE())-$B$2</f>
        <v>-7577</v>
      </c>
      <c r="AD66" s="219" t="n">
        <f aca="false">VLOOKUP($A66,expiration,3,FALSE())-$B$2</f>
        <v>-7578</v>
      </c>
      <c r="AE66" s="4" t="n">
        <f aca="false">VLOOKUP($A66,STRADDLE,15,FALSE())</f>
        <v>0.0421066930146625</v>
      </c>
      <c r="AF66" s="43" t="n">
        <f aca="false">A67-A66</f>
        <v>31</v>
      </c>
      <c r="AG66" s="44"/>
      <c r="AH66" s="44"/>
      <c r="AI66" s="44"/>
      <c r="AJ66" s="44"/>
      <c r="AK66" s="9" t="n">
        <f aca="false">IF($A66&gt;=AL$25,IF($A66&lt;=AL$26,$AF66,0),0)</f>
        <v>0</v>
      </c>
      <c r="AL66" s="221" t="e">
        <f aca="false">AN66/AK66</f>
        <v>#DIV/0!</v>
      </c>
      <c r="AM66" s="1" t="n">
        <f aca="false">AK66*($B66+B$13)</f>
        <v>0</v>
      </c>
      <c r="AN66" s="33" t="n">
        <f aca="false">IF(ISNUMBER(((AM66/AK66)+B$14+$D66)*AK66),((AM66/AK66)+B$14+$D66)*AK66,0)</f>
        <v>0</v>
      </c>
      <c r="AO66" s="44" t="n">
        <f aca="false">IF(AK66=0,0,bsd(1,AP$27,AL66,$H66,$E66,$F66,$AE66,0.1))</f>
        <v>0</v>
      </c>
      <c r="AP66" s="44" t="n">
        <f aca="false">IF(AK66=0,0,bsd(2,AP$27,AL66,$H66,$E66,$F66,$AE66,0.1))</f>
        <v>0</v>
      </c>
      <c r="AQ66" s="44" t="n">
        <f aca="false">IF(AK66=0,0,bsd(AP$28,AP$27,AL66,$H66,$E66,$F66,$AE66,0.1))</f>
        <v>0</v>
      </c>
      <c r="AR66" s="45" t="n">
        <f aca="false">AK66*AO66</f>
        <v>0</v>
      </c>
      <c r="AS66" s="45" t="n">
        <f aca="false">AK66*AP66</f>
        <v>0</v>
      </c>
      <c r="AT66" s="45" t="n">
        <f aca="false">AK66*AQ66</f>
        <v>0</v>
      </c>
      <c r="AV66" s="9" t="n">
        <f aca="false">IF($A66&gt;=AW$25,IF($A66&lt;=AW$26,$AF66,0),0)</f>
        <v>0</v>
      </c>
      <c r="AW66" s="221" t="e">
        <f aca="false">AY66/AV66</f>
        <v>#DIV/0!</v>
      </c>
      <c r="AX66" s="1" t="n">
        <f aca="false">AV66*($B66+D$13)</f>
        <v>0</v>
      </c>
      <c r="AY66" s="33" t="n">
        <f aca="false">IF(ISNUMBER(((AX66/AV66)+D$14+$J66)*AV66),((AX66/AV66)+D$14+$J66)*AV66,0)</f>
        <v>0</v>
      </c>
      <c r="AZ66" s="44" t="n">
        <f aca="false">IF(AV66=0,0,bsd(1,BA$27,AW66,$N66,$K66,$L66,$AE66,0.1))</f>
        <v>0</v>
      </c>
      <c r="BA66" s="44" t="n">
        <f aca="false">IF(AV66=0,0,bsd(2,BA$27,AW66,$N66,$K66,$L66,$AE66,0.1))</f>
        <v>0</v>
      </c>
      <c r="BB66" s="44" t="n">
        <f aca="false">IF(AV66=0,0,bsd(BA$28,BA$27,AW66,$N66,$K66,$L66,$AE66,0.1))</f>
        <v>0</v>
      </c>
      <c r="BC66" s="45" t="n">
        <f aca="false">AV66*AZ66</f>
        <v>0</v>
      </c>
      <c r="BD66" s="45" t="n">
        <f aca="false">AV66*BA66</f>
        <v>0</v>
      </c>
      <c r="BE66" s="45" t="n">
        <f aca="false">AV66*BB66</f>
        <v>0</v>
      </c>
      <c r="BG66" s="9" t="n">
        <f aca="false">IF($A66&gt;=BH$25,IF($A66&lt;=BH$26,$AF66,0),0)</f>
        <v>0</v>
      </c>
      <c r="BH66" s="221" t="e">
        <f aca="false">BJ66/BG66</f>
        <v>#DIV/0!</v>
      </c>
      <c r="BI66" s="1" t="n">
        <f aca="false">BG66*($B66+F$13)</f>
        <v>0</v>
      </c>
      <c r="BJ66" s="33" t="n">
        <f aca="false">IF(ISNUMBER(((BI66/BG66)+F$14+$P66)*BG66),((BI66/BG66)+F$14+$P66)*BG66,0)</f>
        <v>0</v>
      </c>
      <c r="BK66" s="44" t="n">
        <f aca="false">IF(BG66=0,0,bsd(1,BL$27,BH66,$T66,$Q66,$R66,$AE66,0.1))</f>
        <v>0</v>
      </c>
      <c r="BL66" s="44" t="n">
        <f aca="false">IF(BG66=0,0,bsd(2,BL$27,BH66,$T66,$Q66,$R66,$AE66,0.1))</f>
        <v>0</v>
      </c>
      <c r="BM66" s="44" t="n">
        <f aca="false">IF(BG66=0,0,bsd(BL$28,BL$27,BH66,$T66,$Q66,$R66,$AE66,0.1))</f>
        <v>0</v>
      </c>
      <c r="BN66" s="45" t="n">
        <f aca="false">BG66*BK66</f>
        <v>0</v>
      </c>
      <c r="BO66" s="45" t="n">
        <f aca="false">BG66*BL66</f>
        <v>0</v>
      </c>
      <c r="BP66" s="45" t="n">
        <f aca="false">BG66*BM66</f>
        <v>0</v>
      </c>
      <c r="BR66" s="9" t="n">
        <f aca="false">IF($A66&gt;=BS$25,IF($A66&lt;=BS$26,$AF66,0),0)</f>
        <v>0</v>
      </c>
      <c r="BS66" s="221" t="e">
        <f aca="false">BU66/BR66</f>
        <v>#DIV/0!</v>
      </c>
      <c r="BT66" s="1" t="n">
        <f aca="false">BR66*($B66+H$13)</f>
        <v>0</v>
      </c>
      <c r="BU66" s="33" t="n">
        <f aca="false">IF(ISNUMBER(((BT66/BR66)+H$14+$V66)*BR66),((BT66/BR66)+H$14+$V66)*BR66,0)</f>
        <v>0</v>
      </c>
      <c r="BV66" s="44" t="n">
        <f aca="false">IF(BR66=0,0,bsd(1,BW$27,BS66,$Z66,$W66,$X66,$AE66,0.1))</f>
        <v>0</v>
      </c>
      <c r="BW66" s="44" t="n">
        <f aca="false">IF(BR66=0,0,bsd(2,BW$27,BS66,$Z66,$W66,$X66,$AE66,0.1))</f>
        <v>0</v>
      </c>
      <c r="BX66" s="44" t="n">
        <f aca="false">IF(BR66=0,0,bsd(BW$28,BW$27,BS66,$Z66,$W66,$X66,$AE66,0.1))</f>
        <v>0</v>
      </c>
      <c r="BY66" s="45" t="n">
        <f aca="false">BR66*BV66</f>
        <v>0</v>
      </c>
      <c r="BZ66" s="45" t="n">
        <f aca="false">BR66*BW66</f>
        <v>0</v>
      </c>
      <c r="CA66" s="45" t="n">
        <f aca="false">BR66*BX66</f>
        <v>0</v>
      </c>
    </row>
    <row r="67" customFormat="false" ht="12.75" hidden="false" customHeight="false" outlineLevel="0" collapsed="false">
      <c r="A67" s="48" t="n">
        <f aca="false">DATE(YEAR(A66),MONTH(A66)+1,1)</f>
        <v>38384</v>
      </c>
      <c r="B67" s="40" t="n">
        <f aca="false">VLOOKUP(A67,STRADDLE,5,FALSE())</f>
        <v>3.351</v>
      </c>
      <c r="C67" s="4" t="e">
        <f aca="false">VLOOKUP(A67,STRADDLE,6,FALSE())</f>
        <v>#VALUE!</v>
      </c>
      <c r="D67" s="40" t="n">
        <f aca="false">IF(D$28="nymex",0,VLOOKUP($A67,curvesettle,HLOOKUP(D$28,curvesettle,2,FALSE())))</f>
        <v>0</v>
      </c>
      <c r="E67" s="219" t="n">
        <f aca="false">IF(D$28="NYMEX",$AD67,$AC67)</f>
        <v>-7548</v>
      </c>
      <c r="F67" s="4" t="e">
        <f aca="false">($C67+G67)+B$15</f>
        <v>#DIV/0!</v>
      </c>
      <c r="G67" s="4" t="e">
        <f aca="false">IF(B$16=1,xCalcSkew(A67,H67-AL67,b)/100,0)</f>
        <v>#DIV/0!</v>
      </c>
      <c r="H67" s="41" t="n">
        <f aca="false">IF($B$19=4,$AL67,$B$18)</f>
        <v>2.44</v>
      </c>
      <c r="J67" s="40" t="n">
        <f aca="false">IF(J$28="nymex",0,VLOOKUP($A67,curvesettle,HLOOKUP(J$28,curvesettle,2,FALSE())))</f>
        <v>0</v>
      </c>
      <c r="K67" s="219" t="n">
        <f aca="false">IF(J$28="NYMEX",$AD67,$AC67)</f>
        <v>-7548</v>
      </c>
      <c r="L67" s="220" t="e">
        <f aca="false">($C67+M67)+D$15</f>
        <v>#DIV/0!</v>
      </c>
      <c r="M67" s="4" t="e">
        <f aca="false">IF(D$16=1,xCalcSkew($A67,N67-AW67,b)/100,0)</f>
        <v>#DIV/0!</v>
      </c>
      <c r="N67" s="41" t="n">
        <f aca="false">IF($D$19=4,$AW67,$D$18)</f>
        <v>2.44</v>
      </c>
      <c r="P67" s="40" t="n">
        <f aca="false">IF(P$28="nymex",0,VLOOKUP($A67,curvesettle,HLOOKUP(P$28,curvesettle,2,FALSE())))</f>
        <v>0</v>
      </c>
      <c r="Q67" s="219" t="n">
        <f aca="false">IF(P$28="NYMEX",$AD67,$AC67)</f>
        <v>-7548</v>
      </c>
      <c r="R67" s="220" t="e">
        <f aca="false">($C67+S67)+F$15</f>
        <v>#DIV/0!</v>
      </c>
      <c r="S67" s="4" t="e">
        <f aca="false">IF(F$16=1,xCalcSkew($A67,T67-BH67,b)/100,0)</f>
        <v>#DIV/0!</v>
      </c>
      <c r="T67" s="41" t="n">
        <f aca="false">IF($F$19=4,$BH67,$F$18)</f>
        <v>2.44</v>
      </c>
      <c r="V67" s="40" t="n">
        <f aca="false">IF(V$28="nymex",0,VLOOKUP($A67,curvesettle,HLOOKUP(V$28,curvesettle,2,FALSE())))</f>
        <v>0</v>
      </c>
      <c r="W67" s="219" t="n">
        <f aca="false">IF(V$28="NYMEX",$AD67,$AC67)</f>
        <v>-7548</v>
      </c>
      <c r="X67" s="4" t="e">
        <f aca="false">($C67+Y67)+H$15</f>
        <v>#DIV/0!</v>
      </c>
      <c r="Y67" s="4" t="e">
        <f aca="false">IF(H$16=1,xCalcSkew($A67,Z67-BS67,b)/100,0)</f>
        <v>#DIV/0!</v>
      </c>
      <c r="Z67" s="41" t="n">
        <f aca="false">IF($H$19=4,$BS67,$H$18)</f>
        <v>2.44</v>
      </c>
      <c r="AC67" s="219" t="n">
        <f aca="false">VLOOKUP($A67,expiration,2,FALSE())-$B$2</f>
        <v>-7547</v>
      </c>
      <c r="AD67" s="219" t="n">
        <f aca="false">VLOOKUP($A67,expiration,3,FALSE())-$B$2</f>
        <v>-7548</v>
      </c>
      <c r="AE67" s="4" t="n">
        <f aca="false">VLOOKUP($A67,STRADDLE,15,FALSE())</f>
        <v>0.0426576899474638</v>
      </c>
      <c r="AF67" s="43" t="n">
        <f aca="false">A68-A67</f>
        <v>28</v>
      </c>
      <c r="AG67" s="44"/>
      <c r="AH67" s="44"/>
      <c r="AI67" s="44"/>
      <c r="AJ67" s="44"/>
      <c r="AK67" s="9" t="n">
        <f aca="false">IF($A67&gt;=AL$25,IF($A67&lt;=AL$26,$AF67,0),0)</f>
        <v>0</v>
      </c>
      <c r="AL67" s="221" t="e">
        <f aca="false">AN67/AK67</f>
        <v>#DIV/0!</v>
      </c>
      <c r="AM67" s="1" t="n">
        <f aca="false">AK67*($B67+B$13)</f>
        <v>0</v>
      </c>
      <c r="AN67" s="33" t="n">
        <f aca="false">IF(ISNUMBER(((AM67/AK67)+B$14+$D67)*AK67),((AM67/AK67)+B$14+$D67)*AK67,0)</f>
        <v>0</v>
      </c>
      <c r="AO67" s="44" t="n">
        <f aca="false">IF(AK67=0,0,bsd(1,AP$27,AL67,$H67,$E67,$F67,$AE67,0.1))</f>
        <v>0</v>
      </c>
      <c r="AP67" s="44" t="n">
        <f aca="false">IF(AK67=0,0,bsd(2,AP$27,AL67,$H67,$E67,$F67,$AE67,0.1))</f>
        <v>0</v>
      </c>
      <c r="AQ67" s="44" t="n">
        <f aca="false">IF(AK67=0,0,bsd(AP$28,AP$27,AL67,$H67,$E67,$F67,$AE67,0.1))</f>
        <v>0</v>
      </c>
      <c r="AR67" s="45" t="n">
        <f aca="false">AK67*AO67</f>
        <v>0</v>
      </c>
      <c r="AS67" s="45" t="n">
        <f aca="false">AK67*AP67</f>
        <v>0</v>
      </c>
      <c r="AT67" s="45" t="n">
        <f aca="false">AK67*AQ67</f>
        <v>0</v>
      </c>
      <c r="AV67" s="9" t="n">
        <f aca="false">IF($A67&gt;=AW$25,IF($A67&lt;=AW$26,$AF67,0),0)</f>
        <v>0</v>
      </c>
      <c r="AW67" s="221" t="e">
        <f aca="false">AY67/AV67</f>
        <v>#DIV/0!</v>
      </c>
      <c r="AX67" s="1" t="n">
        <f aca="false">AV67*($B67+D$13)</f>
        <v>0</v>
      </c>
      <c r="AY67" s="33" t="n">
        <f aca="false">IF(ISNUMBER(((AX67/AV67)+D$14+$J67)*AV67),((AX67/AV67)+D$14+$J67)*AV67,0)</f>
        <v>0</v>
      </c>
      <c r="AZ67" s="44" t="n">
        <f aca="false">IF(AV67=0,0,bsd(1,BA$27,AW67,$N67,$K67,$L67,$AE67,0.1))</f>
        <v>0</v>
      </c>
      <c r="BA67" s="44" t="n">
        <f aca="false">IF(AV67=0,0,bsd(2,BA$27,AW67,$N67,$K67,$L67,$AE67,0.1))</f>
        <v>0</v>
      </c>
      <c r="BB67" s="44" t="n">
        <f aca="false">IF(AV67=0,0,bsd(BA$28,BA$27,AW67,$N67,$K67,$L67,$AE67,0.1))</f>
        <v>0</v>
      </c>
      <c r="BC67" s="45" t="n">
        <f aca="false">AV67*AZ67</f>
        <v>0</v>
      </c>
      <c r="BD67" s="45" t="n">
        <f aca="false">AV67*BA67</f>
        <v>0</v>
      </c>
      <c r="BE67" s="45" t="n">
        <f aca="false">AV67*BB67</f>
        <v>0</v>
      </c>
      <c r="BG67" s="9" t="n">
        <f aca="false">IF($A67&gt;=BH$25,IF($A67&lt;=BH$26,$AF67,0),0)</f>
        <v>0</v>
      </c>
      <c r="BH67" s="221" t="e">
        <f aca="false">BJ67/BG67</f>
        <v>#DIV/0!</v>
      </c>
      <c r="BI67" s="1" t="n">
        <f aca="false">BG67*($B67+F$13)</f>
        <v>0</v>
      </c>
      <c r="BJ67" s="33" t="n">
        <f aca="false">IF(ISNUMBER(((BI67/BG67)+F$14+$P67)*BG67),((BI67/BG67)+F$14+$P67)*BG67,0)</f>
        <v>0</v>
      </c>
      <c r="BK67" s="44" t="n">
        <f aca="false">IF(BG67=0,0,bsd(1,BL$27,BH67,$T67,$Q67,$R67,$AE67,0.1))</f>
        <v>0</v>
      </c>
      <c r="BL67" s="44" t="n">
        <f aca="false">IF(BG67=0,0,bsd(2,BL$27,BH67,$T67,$Q67,$R67,$AE67,0.1))</f>
        <v>0</v>
      </c>
      <c r="BM67" s="44" t="n">
        <f aca="false">IF(BG67=0,0,bsd(BL$28,BL$27,BH67,$T67,$Q67,$R67,$AE67,0.1))</f>
        <v>0</v>
      </c>
      <c r="BN67" s="45" t="n">
        <f aca="false">BG67*BK67</f>
        <v>0</v>
      </c>
      <c r="BO67" s="45" t="n">
        <f aca="false">BG67*BL67</f>
        <v>0</v>
      </c>
      <c r="BP67" s="45" t="n">
        <f aca="false">BG67*BM67</f>
        <v>0</v>
      </c>
      <c r="BR67" s="9" t="n">
        <f aca="false">IF($A67&gt;=BS$25,IF($A67&lt;=BS$26,$AF67,0),0)</f>
        <v>0</v>
      </c>
      <c r="BS67" s="221" t="e">
        <f aca="false">BU67/BR67</f>
        <v>#DIV/0!</v>
      </c>
      <c r="BT67" s="1" t="n">
        <f aca="false">BR67*($B67+H$13)</f>
        <v>0</v>
      </c>
      <c r="BU67" s="33" t="n">
        <f aca="false">IF(ISNUMBER(((BT67/BR67)+H$14+$V67)*BR67),((BT67/BR67)+H$14+$V67)*BR67,0)</f>
        <v>0</v>
      </c>
      <c r="BV67" s="44" t="n">
        <f aca="false">IF(BR67=0,0,bsd(1,BW$27,BS67,$Z67,$W67,$X67,$AE67,0.1))</f>
        <v>0</v>
      </c>
      <c r="BW67" s="44" t="n">
        <f aca="false">IF(BR67=0,0,bsd(2,BW$27,BS67,$Z67,$W67,$X67,$AE67,0.1))</f>
        <v>0</v>
      </c>
      <c r="BX67" s="44" t="n">
        <f aca="false">IF(BR67=0,0,bsd(BW$28,BW$27,BS67,$Z67,$W67,$X67,$AE67,0.1))</f>
        <v>0</v>
      </c>
      <c r="BY67" s="45" t="n">
        <f aca="false">BR67*BV67</f>
        <v>0</v>
      </c>
      <c r="BZ67" s="45" t="n">
        <f aca="false">BR67*BW67</f>
        <v>0</v>
      </c>
      <c r="CA67" s="45" t="n">
        <f aca="false">BR67*BX67</f>
        <v>0</v>
      </c>
    </row>
    <row r="68" customFormat="false" ht="12.75" hidden="false" customHeight="false" outlineLevel="0" collapsed="false">
      <c r="A68" s="48" t="n">
        <f aca="false">DATE(YEAR(A67),MONTH(A67)+1,1)</f>
        <v>38412</v>
      </c>
      <c r="B68" s="40" t="n">
        <f aca="false">VLOOKUP(A68,STRADDLE,5,FALSE())</f>
        <v>3.3</v>
      </c>
      <c r="C68" s="4" t="e">
        <f aca="false">VLOOKUP(A68,STRADDLE,6,FALSE())</f>
        <v>#VALUE!</v>
      </c>
      <c r="D68" s="40" t="n">
        <f aca="false">IF(D$28="nymex",0,VLOOKUP($A68,curvesettle,HLOOKUP(D$28,curvesettle,2,FALSE())))</f>
        <v>0</v>
      </c>
      <c r="E68" s="219" t="n">
        <f aca="false">IF(D$28="NYMEX",$AD68,$AC68)</f>
        <v>-7520</v>
      </c>
      <c r="F68" s="4" t="e">
        <f aca="false">($C68+G68)+B$15</f>
        <v>#DIV/0!</v>
      </c>
      <c r="G68" s="4" t="e">
        <f aca="false">IF(B$16=1,xCalcSkew(A68,H68-AL68,b)/100,0)</f>
        <v>#DIV/0!</v>
      </c>
      <c r="H68" s="41" t="n">
        <f aca="false">IF($B$19=4,$AL68,$B$18)</f>
        <v>2.44</v>
      </c>
      <c r="J68" s="40" t="n">
        <f aca="false">IF(J$28="nymex",0,VLOOKUP($A68,curvesettle,HLOOKUP(J$28,curvesettle,2,FALSE())))</f>
        <v>0</v>
      </c>
      <c r="K68" s="219" t="n">
        <f aca="false">IF(J$28="NYMEX",$AD68,$AC68)</f>
        <v>-7520</v>
      </c>
      <c r="L68" s="220" t="e">
        <f aca="false">($C68+M68)+D$15</f>
        <v>#DIV/0!</v>
      </c>
      <c r="M68" s="4" t="e">
        <f aca="false">IF(D$16=1,xCalcSkew($A68,N68-AW68,b)/100,0)</f>
        <v>#DIV/0!</v>
      </c>
      <c r="N68" s="41" t="n">
        <f aca="false">IF($D$19=4,$AW68,$D$18)</f>
        <v>2.44</v>
      </c>
      <c r="P68" s="40" t="n">
        <f aca="false">IF(P$28="nymex",0,VLOOKUP($A68,curvesettle,HLOOKUP(P$28,curvesettle,2,FALSE())))</f>
        <v>0</v>
      </c>
      <c r="Q68" s="219" t="n">
        <f aca="false">IF(P$28="NYMEX",$AD68,$AC68)</f>
        <v>-7520</v>
      </c>
      <c r="R68" s="220" t="e">
        <f aca="false">($C68+S68)+F$15</f>
        <v>#DIV/0!</v>
      </c>
      <c r="S68" s="4" t="e">
        <f aca="false">IF(F$16=1,xCalcSkew($A68,T68-BH68,b)/100,0)</f>
        <v>#DIV/0!</v>
      </c>
      <c r="T68" s="41" t="n">
        <f aca="false">IF($F$19=4,$BH68,$F$18)</f>
        <v>2.44</v>
      </c>
      <c r="V68" s="40" t="n">
        <f aca="false">IF(V$28="nymex",0,VLOOKUP($A68,curvesettle,HLOOKUP(V$28,curvesettle,2,FALSE())))</f>
        <v>0</v>
      </c>
      <c r="W68" s="219" t="n">
        <f aca="false">IF(V$28="NYMEX",$AD68,$AC68)</f>
        <v>-7520</v>
      </c>
      <c r="X68" s="4" t="e">
        <f aca="false">($C68+Y68)+H$15</f>
        <v>#DIV/0!</v>
      </c>
      <c r="Y68" s="4" t="e">
        <f aca="false">IF(H$16=1,xCalcSkew($A68,Z68-BS68,b)/100,0)</f>
        <v>#DIV/0!</v>
      </c>
      <c r="Z68" s="41" t="n">
        <f aca="false">IF($H$19=4,$BS68,$H$18)</f>
        <v>2.44</v>
      </c>
      <c r="AC68" s="219" t="n">
        <f aca="false">VLOOKUP($A68,expiration,2,FALSE())-$B$2</f>
        <v>-7519</v>
      </c>
      <c r="AD68" s="219" t="n">
        <f aca="false">VLOOKUP($A68,expiration,3,FALSE())-$B$2</f>
        <v>-7520</v>
      </c>
      <c r="AE68" s="4" t="n">
        <f aca="false">VLOOKUP($A68,STRADDLE,15,FALSE())</f>
        <v>0.0431890054626174</v>
      </c>
      <c r="AF68" s="43" t="n">
        <f aca="false">A69-A68</f>
        <v>31</v>
      </c>
      <c r="AG68" s="44"/>
      <c r="AH68" s="44"/>
      <c r="AI68" s="44"/>
      <c r="AJ68" s="44"/>
      <c r="AK68" s="9" t="n">
        <f aca="false">IF($A68&gt;=AL$25,IF($A68&lt;=AL$26,$AF68,0),0)</f>
        <v>0</v>
      </c>
      <c r="AL68" s="221" t="e">
        <f aca="false">AN68/AK68</f>
        <v>#DIV/0!</v>
      </c>
      <c r="AM68" s="1" t="n">
        <f aca="false">AK68*($B68+B$13)</f>
        <v>0</v>
      </c>
      <c r="AN68" s="33" t="n">
        <f aca="false">IF(ISNUMBER(((AM68/AK68)+B$14+$D68)*AK68),((AM68/AK68)+B$14+$D68)*AK68,0)</f>
        <v>0</v>
      </c>
      <c r="AO68" s="44" t="n">
        <f aca="false">IF(AK68=0,0,bsd(1,AP$27,AL68,$H68,$E68,$F68,$AE68,0.1))</f>
        <v>0</v>
      </c>
      <c r="AP68" s="44" t="n">
        <f aca="false">IF(AK68=0,0,bsd(2,AP$27,AL68,$H68,$E68,$F68,$AE68,0.1))</f>
        <v>0</v>
      </c>
      <c r="AQ68" s="44" t="n">
        <f aca="false">IF(AK68=0,0,bsd(AP$28,AP$27,AL68,$H68,$E68,$F68,$AE68,0.1))</f>
        <v>0</v>
      </c>
      <c r="AR68" s="45" t="n">
        <f aca="false">AK68*AO68</f>
        <v>0</v>
      </c>
      <c r="AS68" s="45" t="n">
        <f aca="false">AK68*AP68</f>
        <v>0</v>
      </c>
      <c r="AT68" s="45" t="n">
        <f aca="false">AK68*AQ68</f>
        <v>0</v>
      </c>
      <c r="AV68" s="9" t="n">
        <f aca="false">IF($A68&gt;=AW$25,IF($A68&lt;=AW$26,$AF68,0),0)</f>
        <v>0</v>
      </c>
      <c r="AW68" s="221" t="e">
        <f aca="false">AY68/AV68</f>
        <v>#DIV/0!</v>
      </c>
      <c r="AX68" s="1" t="n">
        <f aca="false">AV68*($B68+D$13)</f>
        <v>0</v>
      </c>
      <c r="AY68" s="33" t="n">
        <f aca="false">IF(ISNUMBER(((AX68/AV68)+D$14+$J68)*AV68),((AX68/AV68)+D$14+$J68)*AV68,0)</f>
        <v>0</v>
      </c>
      <c r="AZ68" s="44" t="n">
        <f aca="false">IF(AV68=0,0,bsd(1,BA$27,AW68,$N68,$K68,$L68,$AE68,0.1))</f>
        <v>0</v>
      </c>
      <c r="BA68" s="44" t="n">
        <f aca="false">IF(AV68=0,0,bsd(2,BA$27,AW68,$N68,$K68,$L68,$AE68,0.1))</f>
        <v>0</v>
      </c>
      <c r="BB68" s="44" t="n">
        <f aca="false">IF(AV68=0,0,bsd(BA$28,BA$27,AW68,$N68,$K68,$L68,$AE68,0.1))</f>
        <v>0</v>
      </c>
      <c r="BC68" s="45" t="n">
        <f aca="false">AV68*AZ68</f>
        <v>0</v>
      </c>
      <c r="BD68" s="45" t="n">
        <f aca="false">AV68*BA68</f>
        <v>0</v>
      </c>
      <c r="BE68" s="45" t="n">
        <f aca="false">AV68*BB68</f>
        <v>0</v>
      </c>
      <c r="BG68" s="9" t="n">
        <f aca="false">IF($A68&gt;=BH$25,IF($A68&lt;=BH$26,$AF68,0),0)</f>
        <v>0</v>
      </c>
      <c r="BH68" s="221" t="e">
        <f aca="false">BJ68/BG68</f>
        <v>#DIV/0!</v>
      </c>
      <c r="BI68" s="1" t="n">
        <f aca="false">BG68*($B68+F$13)</f>
        <v>0</v>
      </c>
      <c r="BJ68" s="33" t="n">
        <f aca="false">IF(ISNUMBER(((BI68/BG68)+F$14+$P68)*BG68),((BI68/BG68)+F$14+$P68)*BG68,0)</f>
        <v>0</v>
      </c>
      <c r="BK68" s="44" t="n">
        <f aca="false">IF(BG68=0,0,bsd(1,BL$27,BH68,$T68,$Q68,$R68,$AE68,0.1))</f>
        <v>0</v>
      </c>
      <c r="BL68" s="44" t="n">
        <f aca="false">IF(BG68=0,0,bsd(2,BL$27,BH68,$T68,$Q68,$R68,$AE68,0.1))</f>
        <v>0</v>
      </c>
      <c r="BM68" s="44" t="n">
        <f aca="false">IF(BG68=0,0,bsd(BL$28,BL$27,BH68,$T68,$Q68,$R68,$AE68,0.1))</f>
        <v>0</v>
      </c>
      <c r="BN68" s="45" t="n">
        <f aca="false">BG68*BK68</f>
        <v>0</v>
      </c>
      <c r="BO68" s="45" t="n">
        <f aca="false">BG68*BL68</f>
        <v>0</v>
      </c>
      <c r="BP68" s="45" t="n">
        <f aca="false">BG68*BM68</f>
        <v>0</v>
      </c>
      <c r="BR68" s="9" t="n">
        <f aca="false">IF($A68&gt;=BS$25,IF($A68&lt;=BS$26,$AF68,0),0)</f>
        <v>0</v>
      </c>
      <c r="BS68" s="221" t="e">
        <f aca="false">BU68/BR68</f>
        <v>#DIV/0!</v>
      </c>
      <c r="BT68" s="1" t="n">
        <f aca="false">BR68*($B68+H$13)</f>
        <v>0</v>
      </c>
      <c r="BU68" s="33" t="n">
        <f aca="false">IF(ISNUMBER(((BT68/BR68)+H$14+$V68)*BR68),((BT68/BR68)+H$14+$V68)*BR68,0)</f>
        <v>0</v>
      </c>
      <c r="BV68" s="44" t="n">
        <f aca="false">IF(BR68=0,0,bsd(1,BW$27,BS68,$Z68,$W68,$X68,$AE68,0.1))</f>
        <v>0</v>
      </c>
      <c r="BW68" s="44" t="n">
        <f aca="false">IF(BR68=0,0,bsd(2,BW$27,BS68,$Z68,$W68,$X68,$AE68,0.1))</f>
        <v>0</v>
      </c>
      <c r="BX68" s="44" t="n">
        <f aca="false">IF(BR68=0,0,bsd(BW$28,BW$27,BS68,$Z68,$W68,$X68,$AE68,0.1))</f>
        <v>0</v>
      </c>
      <c r="BY68" s="45" t="n">
        <f aca="false">BR68*BV68</f>
        <v>0</v>
      </c>
      <c r="BZ68" s="45" t="n">
        <f aca="false">BR68*BW68</f>
        <v>0</v>
      </c>
      <c r="CA68" s="45" t="n">
        <f aca="false">BR68*BX68</f>
        <v>0</v>
      </c>
    </row>
    <row r="69" customFormat="false" ht="12.75" hidden="false" customHeight="false" outlineLevel="0" collapsed="false">
      <c r="A69" s="48" t="n">
        <f aca="false">DATE(YEAR(A68),MONTH(A68)+1,1)</f>
        <v>38443</v>
      </c>
      <c r="B69" s="40" t="n">
        <f aca="false">VLOOKUP(A69,STRADDLE,5,FALSE())</f>
        <v>3.081</v>
      </c>
      <c r="C69" s="4" t="e">
        <f aca="false">VLOOKUP(A69,STRADDLE,6,FALSE())</f>
        <v>#VALUE!</v>
      </c>
      <c r="D69" s="40" t="n">
        <f aca="false">IF(D$28="nymex",0,VLOOKUP($A69,curvesettle,HLOOKUP(D$28,curvesettle,2,FALSE())))</f>
        <v>0</v>
      </c>
      <c r="E69" s="219" t="n">
        <f aca="false">IF(D$28="NYMEX",$AD69,$AC69)</f>
        <v>-7487</v>
      </c>
      <c r="F69" s="4" t="e">
        <f aca="false">($C69+G69)+B$15</f>
        <v>#DIV/0!</v>
      </c>
      <c r="G69" s="4" t="e">
        <f aca="false">IF(B$16=1,xCalcSkew(A69,H69-AL69,b)/100,0)</f>
        <v>#DIV/0!</v>
      </c>
      <c r="H69" s="41" t="n">
        <f aca="false">IF($B$19=4,$AL69,$B$18)</f>
        <v>2.44</v>
      </c>
      <c r="J69" s="40" t="n">
        <f aca="false">IF(J$28="nymex",0,VLOOKUP($A69,curvesettle,HLOOKUP(J$28,curvesettle,2,FALSE())))</f>
        <v>0</v>
      </c>
      <c r="K69" s="219" t="n">
        <f aca="false">IF(J$28="NYMEX",$AD69,$AC69)</f>
        <v>-7487</v>
      </c>
      <c r="L69" s="220" t="e">
        <f aca="false">($C69+M69)+D$15</f>
        <v>#DIV/0!</v>
      </c>
      <c r="M69" s="4" t="e">
        <f aca="false">IF(D$16=1,xCalcSkew($A69,N69-AW69,b)/100,0)</f>
        <v>#DIV/0!</v>
      </c>
      <c r="N69" s="41" t="n">
        <f aca="false">IF($D$19=4,$AW69,$D$18)</f>
        <v>2.44</v>
      </c>
      <c r="P69" s="40" t="n">
        <f aca="false">IF(P$28="nymex",0,VLOOKUP($A69,curvesettle,HLOOKUP(P$28,curvesettle,2,FALSE())))</f>
        <v>0</v>
      </c>
      <c r="Q69" s="219" t="n">
        <f aca="false">IF(P$28="NYMEX",$AD69,$AC69)</f>
        <v>-7487</v>
      </c>
      <c r="R69" s="220" t="e">
        <f aca="false">($C69+S69)+F$15</f>
        <v>#DIV/0!</v>
      </c>
      <c r="S69" s="4" t="e">
        <f aca="false">IF(F$16=1,xCalcSkew($A69,T69-BH69,b)/100,0)</f>
        <v>#DIV/0!</v>
      </c>
      <c r="T69" s="41" t="n">
        <f aca="false">IF($F$19=4,$BH69,$F$18)</f>
        <v>2.44</v>
      </c>
      <c r="V69" s="40" t="n">
        <f aca="false">IF(V$28="nymex",0,VLOOKUP($A69,curvesettle,HLOOKUP(V$28,curvesettle,2,FALSE())))</f>
        <v>0</v>
      </c>
      <c r="W69" s="219" t="n">
        <f aca="false">IF(V$28="NYMEX",$AD69,$AC69)</f>
        <v>-7487</v>
      </c>
      <c r="X69" s="4" t="e">
        <f aca="false">($C69+Y69)+H$15</f>
        <v>#DIV/0!</v>
      </c>
      <c r="Y69" s="4" t="e">
        <f aca="false">IF(H$16=1,xCalcSkew($A69,Z69-BS69,b)/100,0)</f>
        <v>#DIV/0!</v>
      </c>
      <c r="Z69" s="41" t="n">
        <f aca="false">IF($H$19=4,$BS69,$H$18)</f>
        <v>2.44</v>
      </c>
      <c r="AC69" s="219" t="n">
        <f aca="false">VLOOKUP($A69,expiration,2,FALSE())-$B$2</f>
        <v>-7486</v>
      </c>
      <c r="AD69" s="219" t="n">
        <f aca="false">VLOOKUP($A69,expiration,3,FALSE())-$B$2</f>
        <v>-7487</v>
      </c>
      <c r="AE69" s="4" t="n">
        <f aca="false">VLOOKUP($A69,STRADDLE,15,FALSE())</f>
        <v>0.0436689034285567</v>
      </c>
      <c r="AF69" s="43" t="n">
        <f aca="false">A70-A69</f>
        <v>30</v>
      </c>
      <c r="AG69" s="44"/>
      <c r="AH69" s="44"/>
      <c r="AI69" s="44"/>
      <c r="AJ69" s="44"/>
      <c r="AK69" s="9" t="n">
        <f aca="false">IF($A69&gt;=AL$25,IF($A69&lt;=AL$26,$AF69,0),0)</f>
        <v>0</v>
      </c>
      <c r="AL69" s="221" t="e">
        <f aca="false">AN69/AK69</f>
        <v>#DIV/0!</v>
      </c>
      <c r="AM69" s="1" t="n">
        <f aca="false">AK69*($B69+B$13)</f>
        <v>0</v>
      </c>
      <c r="AN69" s="33" t="n">
        <f aca="false">IF(ISNUMBER(((AM69/AK69)+B$14+$D69)*AK69),((AM69/AK69)+B$14+$D69)*AK69,0)</f>
        <v>0</v>
      </c>
      <c r="AO69" s="44" t="n">
        <f aca="false">IF(AK69=0,0,bsd(1,AP$27,AL69,$H69,$E69,$F69,$AE69,0.1))</f>
        <v>0</v>
      </c>
      <c r="AP69" s="44" t="n">
        <f aca="false">IF(AK69=0,0,bsd(2,AP$27,AL69,$H69,$E69,$F69,$AE69,0.1))</f>
        <v>0</v>
      </c>
      <c r="AQ69" s="44" t="n">
        <f aca="false">IF(AK69=0,0,bsd(AP$28,AP$27,AL69,$H69,$E69,$F69,$AE69,0.1))</f>
        <v>0</v>
      </c>
      <c r="AR69" s="45" t="n">
        <f aca="false">AK69*AO69</f>
        <v>0</v>
      </c>
      <c r="AS69" s="45" t="n">
        <f aca="false">AK69*AP69</f>
        <v>0</v>
      </c>
      <c r="AT69" s="45" t="n">
        <f aca="false">AK69*AQ69</f>
        <v>0</v>
      </c>
      <c r="AV69" s="9" t="n">
        <f aca="false">IF($A69&gt;=AW$25,IF($A69&lt;=AW$26,$AF69,0),0)</f>
        <v>0</v>
      </c>
      <c r="AW69" s="221" t="e">
        <f aca="false">AY69/AV69</f>
        <v>#DIV/0!</v>
      </c>
      <c r="AX69" s="1" t="n">
        <f aca="false">AV69*($B69+D$13)</f>
        <v>0</v>
      </c>
      <c r="AY69" s="33" t="n">
        <f aca="false">IF(ISNUMBER(((AX69/AV69)+D$14+$J69)*AV69),((AX69/AV69)+D$14+$J69)*AV69,0)</f>
        <v>0</v>
      </c>
      <c r="AZ69" s="44" t="n">
        <f aca="false">IF(AV69=0,0,bsd(1,BA$27,AW69,$N69,$K69,$L69,$AE69,0.1))</f>
        <v>0</v>
      </c>
      <c r="BA69" s="44" t="n">
        <f aca="false">IF(AV69=0,0,bsd(2,BA$27,AW69,$N69,$K69,$L69,$AE69,0.1))</f>
        <v>0</v>
      </c>
      <c r="BB69" s="44" t="n">
        <f aca="false">IF(AV69=0,0,bsd(BA$28,BA$27,AW69,$N69,$K69,$L69,$AE69,0.1))</f>
        <v>0</v>
      </c>
      <c r="BC69" s="45" t="n">
        <f aca="false">AV69*AZ69</f>
        <v>0</v>
      </c>
      <c r="BD69" s="45" t="n">
        <f aca="false">AV69*BA69</f>
        <v>0</v>
      </c>
      <c r="BE69" s="45" t="n">
        <f aca="false">AV69*BB69</f>
        <v>0</v>
      </c>
      <c r="BG69" s="9" t="n">
        <f aca="false">IF($A69&gt;=BH$25,IF($A69&lt;=BH$26,$AF69,0),0)</f>
        <v>0</v>
      </c>
      <c r="BH69" s="221" t="e">
        <f aca="false">BJ69/BG69</f>
        <v>#DIV/0!</v>
      </c>
      <c r="BI69" s="1" t="n">
        <f aca="false">BG69*($B69+F$13)</f>
        <v>0</v>
      </c>
      <c r="BJ69" s="33" t="n">
        <f aca="false">IF(ISNUMBER(((BI69/BG69)+F$14+$P69)*BG69),((BI69/BG69)+F$14+$P69)*BG69,0)</f>
        <v>0</v>
      </c>
      <c r="BK69" s="44" t="n">
        <f aca="false">IF(BG69=0,0,bsd(1,BL$27,BH69,$T69,$Q69,$R69,$AE69,0.1))</f>
        <v>0</v>
      </c>
      <c r="BL69" s="44" t="n">
        <f aca="false">IF(BG69=0,0,bsd(2,BL$27,BH69,$T69,$Q69,$R69,$AE69,0.1))</f>
        <v>0</v>
      </c>
      <c r="BM69" s="44" t="n">
        <f aca="false">IF(BG69=0,0,bsd(BL$28,BL$27,BH69,$T69,$Q69,$R69,$AE69,0.1))</f>
        <v>0</v>
      </c>
      <c r="BN69" s="45" t="n">
        <f aca="false">BG69*BK69</f>
        <v>0</v>
      </c>
      <c r="BO69" s="45" t="n">
        <f aca="false">BG69*BL69</f>
        <v>0</v>
      </c>
      <c r="BP69" s="45" t="n">
        <f aca="false">BG69*BM69</f>
        <v>0</v>
      </c>
      <c r="BR69" s="9" t="n">
        <f aca="false">IF($A69&gt;=BS$25,IF($A69&lt;=BS$26,$AF69,0),0)</f>
        <v>0</v>
      </c>
      <c r="BS69" s="221" t="e">
        <f aca="false">BU69/BR69</f>
        <v>#DIV/0!</v>
      </c>
      <c r="BT69" s="1" t="n">
        <f aca="false">BR69*($B69+H$13)</f>
        <v>0</v>
      </c>
      <c r="BU69" s="33" t="n">
        <f aca="false">IF(ISNUMBER(((BT69/BR69)+H$14+$V69)*BR69),((BT69/BR69)+H$14+$V69)*BR69,0)</f>
        <v>0</v>
      </c>
      <c r="BV69" s="44" t="n">
        <f aca="false">IF(BR69=0,0,bsd(1,BW$27,BS69,$Z69,$W69,$X69,$AE69,0.1))</f>
        <v>0</v>
      </c>
      <c r="BW69" s="44" t="n">
        <f aca="false">IF(BR69=0,0,bsd(2,BW$27,BS69,$Z69,$W69,$X69,$AE69,0.1))</f>
        <v>0</v>
      </c>
      <c r="BX69" s="44" t="n">
        <f aca="false">IF(BR69=0,0,bsd(BW$28,BW$27,BS69,$Z69,$W69,$X69,$AE69,0.1))</f>
        <v>0</v>
      </c>
      <c r="BY69" s="45" t="n">
        <f aca="false">BR69*BV69</f>
        <v>0</v>
      </c>
      <c r="BZ69" s="45" t="n">
        <f aca="false">BR69*BW69</f>
        <v>0</v>
      </c>
      <c r="CA69" s="45" t="n">
        <f aca="false">BR69*BX69</f>
        <v>0</v>
      </c>
    </row>
    <row r="70" customFormat="false" ht="12.75" hidden="false" customHeight="false" outlineLevel="0" collapsed="false">
      <c r="A70" s="48" t="n">
        <f aca="false">DATE(YEAR(A69),MONTH(A69)+1,1)</f>
        <v>38473</v>
      </c>
      <c r="B70" s="40" t="n">
        <f aca="false">VLOOKUP(A70,STRADDLE,5,FALSE())</f>
        <v>3.084</v>
      </c>
      <c r="C70" s="4" t="e">
        <f aca="false">VLOOKUP(A70,STRADDLE,6,FALSE())</f>
        <v>#VALUE!</v>
      </c>
      <c r="D70" s="40" t="n">
        <f aca="false">IF(D$28="nymex",0,VLOOKUP($A70,curvesettle,HLOOKUP(D$28,curvesettle,2,FALSE())))</f>
        <v>0</v>
      </c>
      <c r="E70" s="219" t="n">
        <f aca="false">IF(D$28="NYMEX",$AD70,$AC70)</f>
        <v>-7458</v>
      </c>
      <c r="F70" s="4" t="e">
        <f aca="false">($C70+G70)+B$15</f>
        <v>#DIV/0!</v>
      </c>
      <c r="G70" s="4" t="e">
        <f aca="false">IF(B$16=1,xCalcSkew(A70,H70-AL70,b)/100,0)</f>
        <v>#DIV/0!</v>
      </c>
      <c r="H70" s="41" t="n">
        <f aca="false">IF($B$19=4,$AL70,$B$18)</f>
        <v>2.44</v>
      </c>
      <c r="J70" s="40" t="n">
        <f aca="false">IF(J$28="nymex",0,VLOOKUP($A70,curvesettle,HLOOKUP(J$28,curvesettle,2,FALSE())))</f>
        <v>0</v>
      </c>
      <c r="K70" s="219" t="n">
        <f aca="false">IF(J$28="NYMEX",$AD70,$AC70)</f>
        <v>-7458</v>
      </c>
      <c r="L70" s="220" t="e">
        <f aca="false">($C70+M70)+D$15</f>
        <v>#DIV/0!</v>
      </c>
      <c r="M70" s="4" t="e">
        <f aca="false">IF(D$16=1,xCalcSkew($A70,N70-AW70,b)/100,0)</f>
        <v>#DIV/0!</v>
      </c>
      <c r="N70" s="41" t="n">
        <f aca="false">IF($D$19=4,$AW70,$D$18)</f>
        <v>2.44</v>
      </c>
      <c r="P70" s="40" t="n">
        <f aca="false">IF(P$28="nymex",0,VLOOKUP($A70,curvesettle,HLOOKUP(P$28,curvesettle,2,FALSE())))</f>
        <v>0</v>
      </c>
      <c r="Q70" s="219" t="n">
        <f aca="false">IF(P$28="NYMEX",$AD70,$AC70)</f>
        <v>-7458</v>
      </c>
      <c r="R70" s="220" t="e">
        <f aca="false">($C70+S70)+F$15</f>
        <v>#DIV/0!</v>
      </c>
      <c r="S70" s="4" t="e">
        <f aca="false">IF(F$16=1,xCalcSkew($A70,T70-BH70,b)/100,0)</f>
        <v>#DIV/0!</v>
      </c>
      <c r="T70" s="41" t="n">
        <f aca="false">IF($F$19=4,$BH70,$F$18)</f>
        <v>2.44</v>
      </c>
      <c r="V70" s="40" t="n">
        <f aca="false">IF(V$28="nymex",0,VLOOKUP($A70,curvesettle,HLOOKUP(V$28,curvesettle,2,FALSE())))</f>
        <v>0</v>
      </c>
      <c r="W70" s="219" t="n">
        <f aca="false">IF(V$28="NYMEX",$AD70,$AC70)</f>
        <v>-7458</v>
      </c>
      <c r="X70" s="4" t="e">
        <f aca="false">($C70+Y70)+H$15</f>
        <v>#DIV/0!</v>
      </c>
      <c r="Y70" s="4" t="e">
        <f aca="false">IF(H$16=1,xCalcSkew($A70,Z70-BS70,b)/100,0)</f>
        <v>#DIV/0!</v>
      </c>
      <c r="Z70" s="41" t="n">
        <f aca="false">IF($H$19=4,$BS70,$H$18)</f>
        <v>2.44</v>
      </c>
      <c r="AC70" s="219" t="n">
        <f aca="false">VLOOKUP($A70,expiration,2,FALSE())-$B$2</f>
        <v>-7457</v>
      </c>
      <c r="AD70" s="219" t="n">
        <f aca="false">VLOOKUP($A70,expiration,3,FALSE())-$B$2</f>
        <v>-7458</v>
      </c>
      <c r="AE70" s="4" t="n">
        <f aca="false">VLOOKUP($A70,STRADDLE,15,FALSE())</f>
        <v>0.0441629859154538</v>
      </c>
      <c r="AF70" s="43" t="n">
        <f aca="false">A71-A70</f>
        <v>31</v>
      </c>
      <c r="AG70" s="44"/>
      <c r="AH70" s="44"/>
      <c r="AI70" s="44"/>
      <c r="AJ70" s="44"/>
      <c r="AK70" s="9" t="n">
        <f aca="false">IF($A70&gt;=AL$25,IF($A70&lt;=AL$26,$AF70,0),0)</f>
        <v>0</v>
      </c>
      <c r="AL70" s="221" t="e">
        <f aca="false">AN70/AK70</f>
        <v>#DIV/0!</v>
      </c>
      <c r="AM70" s="1" t="n">
        <f aca="false">AK70*($B70+B$13)</f>
        <v>0</v>
      </c>
      <c r="AN70" s="33" t="n">
        <f aca="false">IF(ISNUMBER(((AM70/AK70)+B$14+$D70)*AK70),((AM70/AK70)+B$14+$D70)*AK70,0)</f>
        <v>0</v>
      </c>
      <c r="AO70" s="44" t="n">
        <f aca="false">IF(AK70=0,0,bsd(1,AP$27,AL70,$H70,$E70,$F70,$AE70,0.1))</f>
        <v>0</v>
      </c>
      <c r="AP70" s="44" t="n">
        <f aca="false">IF(AK70=0,0,bsd(2,AP$27,AL70,$H70,$E70,$F70,$AE70,0.1))</f>
        <v>0</v>
      </c>
      <c r="AQ70" s="44" t="n">
        <f aca="false">IF(AK70=0,0,bsd(AP$28,AP$27,AL70,$H70,$E70,$F70,$AE70,0.1))</f>
        <v>0</v>
      </c>
      <c r="AR70" s="45" t="n">
        <f aca="false">AK70*AO70</f>
        <v>0</v>
      </c>
      <c r="AS70" s="45" t="n">
        <f aca="false">AK70*AP70</f>
        <v>0</v>
      </c>
      <c r="AT70" s="45" t="n">
        <f aca="false">AK70*AQ70</f>
        <v>0</v>
      </c>
      <c r="AV70" s="9" t="n">
        <f aca="false">IF($A70&gt;=AW$25,IF($A70&lt;=AW$26,$AF70,0),0)</f>
        <v>0</v>
      </c>
      <c r="AW70" s="221" t="e">
        <f aca="false">AY70/AV70</f>
        <v>#DIV/0!</v>
      </c>
      <c r="AX70" s="1" t="n">
        <f aca="false">AV70*($B70+D$13)</f>
        <v>0</v>
      </c>
      <c r="AY70" s="33" t="n">
        <f aca="false">IF(ISNUMBER(((AX70/AV70)+D$14+$J70)*AV70),((AX70/AV70)+D$14+$J70)*AV70,0)</f>
        <v>0</v>
      </c>
      <c r="AZ70" s="44" t="n">
        <f aca="false">IF(AV70=0,0,bsd(1,BA$27,AW70,$N70,$K70,$L70,$AE70,0.1))</f>
        <v>0</v>
      </c>
      <c r="BA70" s="44" t="n">
        <f aca="false">IF(AV70=0,0,bsd(2,BA$27,AW70,$N70,$K70,$L70,$AE70,0.1))</f>
        <v>0</v>
      </c>
      <c r="BB70" s="44" t="n">
        <f aca="false">IF(AV70=0,0,bsd(BA$28,BA$27,AW70,$N70,$K70,$L70,$AE70,0.1))</f>
        <v>0</v>
      </c>
      <c r="BC70" s="45" t="n">
        <f aca="false">AV70*AZ70</f>
        <v>0</v>
      </c>
      <c r="BD70" s="45" t="n">
        <f aca="false">AV70*BA70</f>
        <v>0</v>
      </c>
      <c r="BE70" s="45" t="n">
        <f aca="false">AV70*BB70</f>
        <v>0</v>
      </c>
      <c r="BG70" s="9" t="n">
        <f aca="false">IF($A70&gt;=BH$25,IF($A70&lt;=BH$26,$AF70,0),0)</f>
        <v>0</v>
      </c>
      <c r="BH70" s="221" t="e">
        <f aca="false">BJ70/BG70</f>
        <v>#DIV/0!</v>
      </c>
      <c r="BI70" s="1" t="n">
        <f aca="false">BG70*($B70+F$13)</f>
        <v>0</v>
      </c>
      <c r="BJ70" s="33" t="n">
        <f aca="false">IF(ISNUMBER(((BI70/BG70)+F$14+$P70)*BG70),((BI70/BG70)+F$14+$P70)*BG70,0)</f>
        <v>0</v>
      </c>
      <c r="BK70" s="44" t="n">
        <f aca="false">IF(BG70=0,0,bsd(1,BL$27,BH70,$T70,$Q70,$R70,$AE70,0.1))</f>
        <v>0</v>
      </c>
      <c r="BL70" s="44" t="n">
        <f aca="false">IF(BG70=0,0,bsd(2,BL$27,BH70,$T70,$Q70,$R70,$AE70,0.1))</f>
        <v>0</v>
      </c>
      <c r="BM70" s="44" t="n">
        <f aca="false">IF(BG70=0,0,bsd(BL$28,BL$27,BH70,$T70,$Q70,$R70,$AE70,0.1))</f>
        <v>0</v>
      </c>
      <c r="BN70" s="45" t="n">
        <f aca="false">BG70*BK70</f>
        <v>0</v>
      </c>
      <c r="BO70" s="45" t="n">
        <f aca="false">BG70*BL70</f>
        <v>0</v>
      </c>
      <c r="BP70" s="45" t="n">
        <f aca="false">BG70*BM70</f>
        <v>0</v>
      </c>
      <c r="BR70" s="9" t="n">
        <f aca="false">IF($A70&gt;=BS$25,IF($A70&lt;=BS$26,$AF70,0),0)</f>
        <v>0</v>
      </c>
      <c r="BS70" s="221" t="e">
        <f aca="false">BU70/BR70</f>
        <v>#DIV/0!</v>
      </c>
      <c r="BT70" s="1" t="n">
        <f aca="false">BR70*($B70+H$13)</f>
        <v>0</v>
      </c>
      <c r="BU70" s="33" t="n">
        <f aca="false">IF(ISNUMBER(((BT70/BR70)+H$14+$V70)*BR70),((BT70/BR70)+H$14+$V70)*BR70,0)</f>
        <v>0</v>
      </c>
      <c r="BV70" s="44" t="n">
        <f aca="false">IF(BR70=0,0,bsd(1,BW$27,BS70,$Z70,$W70,$X70,$AE70,0.1))</f>
        <v>0</v>
      </c>
      <c r="BW70" s="44" t="n">
        <f aca="false">IF(BR70=0,0,bsd(2,BW$27,BS70,$Z70,$W70,$X70,$AE70,0.1))</f>
        <v>0</v>
      </c>
      <c r="BX70" s="44" t="n">
        <f aca="false">IF(BR70=0,0,bsd(BW$28,BW$27,BS70,$Z70,$W70,$X70,$AE70,0.1))</f>
        <v>0</v>
      </c>
      <c r="BY70" s="45" t="n">
        <f aca="false">BR70*BV70</f>
        <v>0</v>
      </c>
      <c r="BZ70" s="45" t="n">
        <f aca="false">BR70*BW70</f>
        <v>0</v>
      </c>
      <c r="CA70" s="45" t="n">
        <f aca="false">BR70*BX70</f>
        <v>0</v>
      </c>
    </row>
    <row r="71" customFormat="false" ht="12.75" hidden="false" customHeight="false" outlineLevel="0" collapsed="false">
      <c r="A71" s="48" t="n">
        <f aca="false">DATE(YEAR(A70),MONTH(A70)+1,1)</f>
        <v>38504</v>
      </c>
      <c r="B71" s="40" t="n">
        <f aca="false">VLOOKUP(A71,STRADDLE,5,FALSE())</f>
        <v>3.124</v>
      </c>
      <c r="C71" s="4" t="e">
        <f aca="false">VLOOKUP(A71,STRADDLE,6,FALSE())</f>
        <v>#VALUE!</v>
      </c>
      <c r="D71" s="40" t="n">
        <f aca="false">IF(D$28="nymex",0,VLOOKUP($A71,curvesettle,HLOOKUP(D$28,curvesettle,2,FALSE())))</f>
        <v>0</v>
      </c>
      <c r="E71" s="219" t="n">
        <f aca="false">IF(D$28="NYMEX",$AD71,$AC71)</f>
        <v>-7429</v>
      </c>
      <c r="F71" s="4" t="e">
        <f aca="false">($C71+G71)+B$15</f>
        <v>#DIV/0!</v>
      </c>
      <c r="G71" s="4" t="e">
        <f aca="false">IF(B$16=1,xCalcSkew(A71,H71-AL71,b)/100,0)</f>
        <v>#DIV/0!</v>
      </c>
      <c r="H71" s="41" t="n">
        <f aca="false">IF($B$19=4,$AL71,$B$18)</f>
        <v>2.44</v>
      </c>
      <c r="J71" s="40" t="n">
        <f aca="false">IF(J$28="nymex",0,VLOOKUP($A71,curvesettle,HLOOKUP(J$28,curvesettle,2,FALSE())))</f>
        <v>0</v>
      </c>
      <c r="K71" s="219" t="n">
        <f aca="false">IF(J$28="NYMEX",$AD71,$AC71)</f>
        <v>-7429</v>
      </c>
      <c r="L71" s="220" t="e">
        <f aca="false">($C71+M71)+D$15</f>
        <v>#DIV/0!</v>
      </c>
      <c r="M71" s="4" t="e">
        <f aca="false">IF(D$16=1,xCalcSkew($A71,N71-AW71,b)/100,0)</f>
        <v>#DIV/0!</v>
      </c>
      <c r="N71" s="41" t="n">
        <f aca="false">IF($D$19=4,$AW71,$D$18)</f>
        <v>2.44</v>
      </c>
      <c r="P71" s="40" t="n">
        <f aca="false">IF(P$28="nymex",0,VLOOKUP($A71,curvesettle,HLOOKUP(P$28,curvesettle,2,FALSE())))</f>
        <v>0</v>
      </c>
      <c r="Q71" s="219" t="n">
        <f aca="false">IF(P$28="NYMEX",$AD71,$AC71)</f>
        <v>-7429</v>
      </c>
      <c r="R71" s="220" t="e">
        <f aca="false">($C71+S71)+F$15</f>
        <v>#DIV/0!</v>
      </c>
      <c r="S71" s="4" t="e">
        <f aca="false">IF(F$16=1,xCalcSkew($A71,T71-BH71,b)/100,0)</f>
        <v>#DIV/0!</v>
      </c>
      <c r="T71" s="41" t="n">
        <f aca="false">IF($F$19=4,$BH71,$F$18)</f>
        <v>2.44</v>
      </c>
      <c r="V71" s="40" t="n">
        <f aca="false">IF(V$28="nymex",0,VLOOKUP($A71,curvesettle,HLOOKUP(V$28,curvesettle,2,FALSE())))</f>
        <v>0</v>
      </c>
      <c r="W71" s="219" t="n">
        <f aca="false">IF(V$28="NYMEX",$AD71,$AC71)</f>
        <v>-7429</v>
      </c>
      <c r="X71" s="4" t="e">
        <f aca="false">($C71+Y71)+H$15</f>
        <v>#DIV/0!</v>
      </c>
      <c r="Y71" s="4" t="e">
        <f aca="false">IF(H$16=1,xCalcSkew($A71,Z71-BS71,b)/100,0)</f>
        <v>#DIV/0!</v>
      </c>
      <c r="Z71" s="41" t="n">
        <f aca="false">IF($H$19=4,$BS71,$H$18)</f>
        <v>2.44</v>
      </c>
      <c r="AC71" s="219" t="n">
        <f aca="false">VLOOKUP($A71,expiration,2,FALSE())-$B$2</f>
        <v>-7428</v>
      </c>
      <c r="AD71" s="219" t="n">
        <f aca="false">VLOOKUP($A71,expiration,3,FALSE())-$B$2</f>
        <v>-7429</v>
      </c>
      <c r="AE71" s="4" t="n">
        <f aca="false">VLOOKUP($A71,STRADDLE,15,FALSE())</f>
        <v>0.0446087139677753</v>
      </c>
      <c r="AF71" s="43" t="n">
        <f aca="false">A72-A71</f>
        <v>30</v>
      </c>
      <c r="AG71" s="44"/>
      <c r="AH71" s="44"/>
      <c r="AI71" s="44"/>
      <c r="AJ71" s="44"/>
      <c r="AK71" s="9" t="n">
        <f aca="false">IF($A71&gt;=AL$25,IF($A71&lt;=AL$26,$AF71,0),0)</f>
        <v>0</v>
      </c>
      <c r="AL71" s="221" t="e">
        <f aca="false">AN71/AK71</f>
        <v>#DIV/0!</v>
      </c>
      <c r="AM71" s="1" t="n">
        <f aca="false">AK71*($B71+B$13)</f>
        <v>0</v>
      </c>
      <c r="AN71" s="33" t="n">
        <f aca="false">IF(ISNUMBER(((AM71/AK71)+B$14+$D71)*AK71),((AM71/AK71)+B$14+$D71)*AK71,0)</f>
        <v>0</v>
      </c>
      <c r="AO71" s="44" t="n">
        <f aca="false">IF(AK71=0,0,bsd(1,AP$27,AL71,$H71,$E71,$F71,$AE71,0.1))</f>
        <v>0</v>
      </c>
      <c r="AP71" s="44" t="n">
        <f aca="false">IF(AK71=0,0,bsd(2,AP$27,AL71,$H71,$E71,$F71,$AE71,0.1))</f>
        <v>0</v>
      </c>
      <c r="AQ71" s="44" t="n">
        <f aca="false">IF(AK71=0,0,bsd(AP$28,AP$27,AL71,$H71,$E71,$F71,$AE71,0.1))</f>
        <v>0</v>
      </c>
      <c r="AR71" s="45" t="n">
        <f aca="false">AK71*AO71</f>
        <v>0</v>
      </c>
      <c r="AS71" s="45" t="n">
        <f aca="false">AK71*AP71</f>
        <v>0</v>
      </c>
      <c r="AT71" s="45" t="n">
        <f aca="false">AK71*AQ71</f>
        <v>0</v>
      </c>
      <c r="AV71" s="9" t="n">
        <f aca="false">IF($A71&gt;=AW$25,IF($A71&lt;=AW$26,$AF71,0),0)</f>
        <v>0</v>
      </c>
      <c r="AW71" s="221" t="e">
        <f aca="false">AY71/AV71</f>
        <v>#DIV/0!</v>
      </c>
      <c r="AX71" s="1" t="n">
        <f aca="false">AV71*($B71+D$13)</f>
        <v>0</v>
      </c>
      <c r="AY71" s="33" t="n">
        <f aca="false">IF(ISNUMBER(((AX71/AV71)+D$14+$J71)*AV71),((AX71/AV71)+D$14+$J71)*AV71,0)</f>
        <v>0</v>
      </c>
      <c r="AZ71" s="44" t="n">
        <f aca="false">IF(AV71=0,0,bsd(1,BA$27,AW71,$N71,$K71,$L71,$AE71,0.1))</f>
        <v>0</v>
      </c>
      <c r="BA71" s="44" t="n">
        <f aca="false">IF(AV71=0,0,bsd(2,BA$27,AW71,$N71,$K71,$L71,$AE71,0.1))</f>
        <v>0</v>
      </c>
      <c r="BB71" s="44" t="n">
        <f aca="false">IF(AV71=0,0,bsd(BA$28,BA$27,AW71,$N71,$K71,$L71,$AE71,0.1))</f>
        <v>0</v>
      </c>
      <c r="BC71" s="45" t="n">
        <f aca="false">AV71*AZ71</f>
        <v>0</v>
      </c>
      <c r="BD71" s="45" t="n">
        <f aca="false">AV71*BA71</f>
        <v>0</v>
      </c>
      <c r="BE71" s="45" t="n">
        <f aca="false">AV71*BB71</f>
        <v>0</v>
      </c>
      <c r="BG71" s="9" t="n">
        <f aca="false">IF($A71&gt;=BH$25,IF($A71&lt;=BH$26,$AF71,0),0)</f>
        <v>0</v>
      </c>
      <c r="BH71" s="221" t="e">
        <f aca="false">BJ71/BG71</f>
        <v>#DIV/0!</v>
      </c>
      <c r="BI71" s="1" t="n">
        <f aca="false">BG71*($B71+F$13)</f>
        <v>0</v>
      </c>
      <c r="BJ71" s="33" t="n">
        <f aca="false">IF(ISNUMBER(((BI71/BG71)+F$14+$P71)*BG71),((BI71/BG71)+F$14+$P71)*BG71,0)</f>
        <v>0</v>
      </c>
      <c r="BK71" s="44" t="n">
        <f aca="false">IF(BG71=0,0,bsd(1,BL$27,BH71,$T71,$Q71,$R71,$AE71,0.1))</f>
        <v>0</v>
      </c>
      <c r="BL71" s="44" t="n">
        <f aca="false">IF(BG71=0,0,bsd(2,BL$27,BH71,$T71,$Q71,$R71,$AE71,0.1))</f>
        <v>0</v>
      </c>
      <c r="BM71" s="44" t="n">
        <f aca="false">IF(BG71=0,0,bsd(BL$28,BL$27,BH71,$T71,$Q71,$R71,$AE71,0.1))</f>
        <v>0</v>
      </c>
      <c r="BN71" s="45" t="n">
        <f aca="false">BG71*BK71</f>
        <v>0</v>
      </c>
      <c r="BO71" s="45" t="n">
        <f aca="false">BG71*BL71</f>
        <v>0</v>
      </c>
      <c r="BP71" s="45" t="n">
        <f aca="false">BG71*BM71</f>
        <v>0</v>
      </c>
      <c r="BR71" s="9" t="n">
        <f aca="false">IF($A71&gt;=BS$25,IF($A71&lt;=BS$26,$AF71,0),0)</f>
        <v>0</v>
      </c>
      <c r="BS71" s="221" t="e">
        <f aca="false">BU71/BR71</f>
        <v>#DIV/0!</v>
      </c>
      <c r="BT71" s="1" t="n">
        <f aca="false">BR71*($B71+H$13)</f>
        <v>0</v>
      </c>
      <c r="BU71" s="33" t="n">
        <f aca="false">IF(ISNUMBER(((BT71/BR71)+H$14+$V71)*BR71),((BT71/BR71)+H$14+$V71)*BR71,0)</f>
        <v>0</v>
      </c>
      <c r="BV71" s="44" t="n">
        <f aca="false">IF(BR71=0,0,bsd(1,BW$27,BS71,$Z71,$W71,$X71,$AE71,0.1))</f>
        <v>0</v>
      </c>
      <c r="BW71" s="44" t="n">
        <f aca="false">IF(BR71=0,0,bsd(2,BW$27,BS71,$Z71,$W71,$X71,$AE71,0.1))</f>
        <v>0</v>
      </c>
      <c r="BX71" s="44" t="n">
        <f aca="false">IF(BR71=0,0,bsd(BW$28,BW$27,BS71,$Z71,$W71,$X71,$AE71,0.1))</f>
        <v>0</v>
      </c>
      <c r="BY71" s="45" t="n">
        <f aca="false">BR71*BV71</f>
        <v>0</v>
      </c>
      <c r="BZ71" s="45" t="n">
        <f aca="false">BR71*BW71</f>
        <v>0</v>
      </c>
      <c r="CA71" s="45" t="n">
        <f aca="false">BR71*BX71</f>
        <v>0</v>
      </c>
    </row>
    <row r="72" customFormat="false" ht="12.75" hidden="false" customHeight="false" outlineLevel="0" collapsed="false">
      <c r="A72" s="48" t="n">
        <f aca="false">DATE(YEAR(A71),MONTH(A71)+1,1)</f>
        <v>38534</v>
      </c>
      <c r="B72" s="40" t="n">
        <f aca="false">VLOOKUP(A72,STRADDLE,5,FALSE())</f>
        <v>3.164</v>
      </c>
      <c r="C72" s="4" t="e">
        <f aca="false">VLOOKUP(A72,STRADDLE,6,FALSE())</f>
        <v>#VALUE!</v>
      </c>
      <c r="D72" s="40" t="n">
        <f aca="false">IF(D$28="nymex",0,VLOOKUP($A72,curvesettle,HLOOKUP(D$28,curvesettle,2,FALSE())))</f>
        <v>0</v>
      </c>
      <c r="E72" s="219" t="n">
        <f aca="false">IF(D$28="NYMEX",$AD72,$AC72)</f>
        <v>-7396</v>
      </c>
      <c r="F72" s="4" t="e">
        <f aca="false">($C72+G72)+B$15</f>
        <v>#DIV/0!</v>
      </c>
      <c r="G72" s="4" t="e">
        <f aca="false">IF(B$16=1,xCalcSkew(A72,H72-AL72,b)/100,0)</f>
        <v>#DIV/0!</v>
      </c>
      <c r="H72" s="41" t="n">
        <f aca="false">IF($B$19=4,$AL72,$B$18)</f>
        <v>2.44</v>
      </c>
      <c r="J72" s="40" t="n">
        <f aca="false">IF(J$28="nymex",0,VLOOKUP($A72,curvesettle,HLOOKUP(J$28,curvesettle,2,FALSE())))</f>
        <v>0</v>
      </c>
      <c r="K72" s="219" t="n">
        <f aca="false">IF(J$28="NYMEX",$AD72,$AC72)</f>
        <v>-7396</v>
      </c>
      <c r="L72" s="220" t="e">
        <f aca="false">($C72+M72)+D$15</f>
        <v>#DIV/0!</v>
      </c>
      <c r="M72" s="4" t="e">
        <f aca="false">IF(D$16=1,xCalcSkew($A72,N72-AW72,b)/100,0)</f>
        <v>#DIV/0!</v>
      </c>
      <c r="N72" s="41" t="n">
        <f aca="false">IF($D$19=4,$AW72,$D$18)</f>
        <v>2.44</v>
      </c>
      <c r="P72" s="40" t="n">
        <f aca="false">IF(P$28="nymex",0,VLOOKUP($A72,curvesettle,HLOOKUP(P$28,curvesettle,2,FALSE())))</f>
        <v>0</v>
      </c>
      <c r="Q72" s="219" t="n">
        <f aca="false">IF(P$28="NYMEX",$AD72,$AC72)</f>
        <v>-7396</v>
      </c>
      <c r="R72" s="220" t="e">
        <f aca="false">($C72+S72)+F$15</f>
        <v>#DIV/0!</v>
      </c>
      <c r="S72" s="4" t="e">
        <f aca="false">IF(F$16=1,xCalcSkew($A72,T72-BH72,b)/100,0)</f>
        <v>#DIV/0!</v>
      </c>
      <c r="T72" s="41" t="n">
        <f aca="false">IF($F$19=4,$BH72,$F$18)</f>
        <v>2.44</v>
      </c>
      <c r="V72" s="40" t="n">
        <f aca="false">IF(V$28="nymex",0,VLOOKUP($A72,curvesettle,HLOOKUP(V$28,curvesettle,2,FALSE())))</f>
        <v>0</v>
      </c>
      <c r="W72" s="219" t="n">
        <f aca="false">IF(V$28="NYMEX",$AD72,$AC72)</f>
        <v>-7396</v>
      </c>
      <c r="X72" s="4" t="e">
        <f aca="false">($C72+Y72)+H$15</f>
        <v>#DIV/0!</v>
      </c>
      <c r="Y72" s="4" t="e">
        <f aca="false">IF(H$16=1,xCalcSkew($A72,Z72-BS72,b)/100,0)</f>
        <v>#DIV/0!</v>
      </c>
      <c r="Z72" s="41" t="n">
        <f aca="false">IF($H$19=4,$BS72,$H$18)</f>
        <v>2.44</v>
      </c>
      <c r="AC72" s="219" t="n">
        <f aca="false">VLOOKUP($A72,expiration,2,FALSE())-$B$2</f>
        <v>-7395</v>
      </c>
      <c r="AD72" s="219" t="n">
        <f aca="false">VLOOKUP($A72,expiration,3,FALSE())-$B$2</f>
        <v>-7396</v>
      </c>
      <c r="AE72" s="4" t="n">
        <f aca="false">VLOOKUP($A72,STRADDLE,15,FALSE())</f>
        <v>0.0450692996917126</v>
      </c>
      <c r="AF72" s="43" t="n">
        <f aca="false">A73-A72</f>
        <v>31</v>
      </c>
      <c r="AG72" s="44"/>
      <c r="AH72" s="44"/>
      <c r="AI72" s="44"/>
      <c r="AJ72" s="44"/>
      <c r="AK72" s="9" t="n">
        <f aca="false">IF($A72&gt;=AL$25,IF($A72&lt;=AL$26,$AF72,0),0)</f>
        <v>0</v>
      </c>
      <c r="AL72" s="221" t="e">
        <f aca="false">AN72/AK72</f>
        <v>#DIV/0!</v>
      </c>
      <c r="AM72" s="1" t="n">
        <f aca="false">AK72*($B72+B$13)</f>
        <v>0</v>
      </c>
      <c r="AN72" s="33" t="n">
        <f aca="false">IF(ISNUMBER(((AM72/AK72)+B$14+$D72)*AK72),((AM72/AK72)+B$14+$D72)*AK72,0)</f>
        <v>0</v>
      </c>
      <c r="AO72" s="44" t="n">
        <f aca="false">IF(AK72=0,0,bsd(1,AP$27,AL72,$H72,$E72,$F72,$AE72,0.1))</f>
        <v>0</v>
      </c>
      <c r="AP72" s="44" t="n">
        <f aca="false">IF(AK72=0,0,bsd(2,AP$27,AL72,$H72,$E72,$F72,$AE72,0.1))</f>
        <v>0</v>
      </c>
      <c r="AQ72" s="44" t="n">
        <f aca="false">IF(AK72=0,0,bsd(AP$28,AP$27,AL72,$H72,$E72,$F72,$AE72,0.1))</f>
        <v>0</v>
      </c>
      <c r="AR72" s="45" t="n">
        <f aca="false">AK72*AO72</f>
        <v>0</v>
      </c>
      <c r="AS72" s="45" t="n">
        <f aca="false">AK72*AP72</f>
        <v>0</v>
      </c>
      <c r="AT72" s="45" t="n">
        <f aca="false">AK72*AQ72</f>
        <v>0</v>
      </c>
      <c r="AV72" s="9" t="n">
        <f aca="false">IF($A72&gt;=AW$25,IF($A72&lt;=AW$26,$AF72,0),0)</f>
        <v>0</v>
      </c>
      <c r="AW72" s="221" t="e">
        <f aca="false">AY72/AV72</f>
        <v>#DIV/0!</v>
      </c>
      <c r="AX72" s="1" t="n">
        <f aca="false">AV72*($B72+D$13)</f>
        <v>0</v>
      </c>
      <c r="AY72" s="33" t="n">
        <f aca="false">IF(ISNUMBER(((AX72/AV72)+D$14+$J72)*AV72),((AX72/AV72)+D$14+$J72)*AV72,0)</f>
        <v>0</v>
      </c>
      <c r="AZ72" s="44" t="n">
        <f aca="false">IF(AV72=0,0,bsd(1,BA$27,AW72,$N72,$K72,$L72,$AE72,0.1))</f>
        <v>0</v>
      </c>
      <c r="BA72" s="44" t="n">
        <f aca="false">IF(AV72=0,0,bsd(2,BA$27,AW72,$N72,$K72,$L72,$AE72,0.1))</f>
        <v>0</v>
      </c>
      <c r="BB72" s="44" t="n">
        <f aca="false">IF(AV72=0,0,bsd(BA$28,BA$27,AW72,$N72,$K72,$L72,$AE72,0.1))</f>
        <v>0</v>
      </c>
      <c r="BC72" s="45" t="n">
        <f aca="false">AV72*AZ72</f>
        <v>0</v>
      </c>
      <c r="BD72" s="45" t="n">
        <f aca="false">AV72*BA72</f>
        <v>0</v>
      </c>
      <c r="BE72" s="45" t="n">
        <f aca="false">AV72*BB72</f>
        <v>0</v>
      </c>
      <c r="BG72" s="9" t="n">
        <f aca="false">IF($A72&gt;=BH$25,IF($A72&lt;=BH$26,$AF72,0),0)</f>
        <v>0</v>
      </c>
      <c r="BH72" s="221" t="e">
        <f aca="false">BJ72/BG72</f>
        <v>#DIV/0!</v>
      </c>
      <c r="BI72" s="1" t="n">
        <f aca="false">BG72*($B72+F$13)</f>
        <v>0</v>
      </c>
      <c r="BJ72" s="33" t="n">
        <f aca="false">IF(ISNUMBER(((BI72/BG72)+F$14+$P72)*BG72),((BI72/BG72)+F$14+$P72)*BG72,0)</f>
        <v>0</v>
      </c>
      <c r="BK72" s="44" t="n">
        <f aca="false">IF(BG72=0,0,bsd(1,BL$27,BH72,$T72,$Q72,$R72,$AE72,0.1))</f>
        <v>0</v>
      </c>
      <c r="BL72" s="44" t="n">
        <f aca="false">IF(BG72=0,0,bsd(2,BL$27,BH72,$T72,$Q72,$R72,$AE72,0.1))</f>
        <v>0</v>
      </c>
      <c r="BM72" s="44" t="n">
        <f aca="false">IF(BG72=0,0,bsd(BL$28,BL$27,BH72,$T72,$Q72,$R72,$AE72,0.1))</f>
        <v>0</v>
      </c>
      <c r="BN72" s="45" t="n">
        <f aca="false">BG72*BK72</f>
        <v>0</v>
      </c>
      <c r="BO72" s="45" t="n">
        <f aca="false">BG72*BL72</f>
        <v>0</v>
      </c>
      <c r="BP72" s="45" t="n">
        <f aca="false">BG72*BM72</f>
        <v>0</v>
      </c>
      <c r="BR72" s="9" t="n">
        <f aca="false">IF($A72&gt;=BS$25,IF($A72&lt;=BS$26,$AF72,0),0)</f>
        <v>0</v>
      </c>
      <c r="BS72" s="221" t="e">
        <f aca="false">BU72/BR72</f>
        <v>#DIV/0!</v>
      </c>
      <c r="BT72" s="1" t="n">
        <f aca="false">BR72*($B72+H$13)</f>
        <v>0</v>
      </c>
      <c r="BU72" s="33" t="n">
        <f aca="false">IF(ISNUMBER(((BT72/BR72)+H$14+$V72)*BR72),((BT72/BR72)+H$14+$V72)*BR72,0)</f>
        <v>0</v>
      </c>
      <c r="BV72" s="44" t="n">
        <f aca="false">IF(BR72=0,0,bsd(1,BW$27,BS72,$Z72,$W72,$X72,$AE72,0.1))</f>
        <v>0</v>
      </c>
      <c r="BW72" s="44" t="n">
        <f aca="false">IF(BR72=0,0,bsd(2,BW$27,BS72,$Z72,$W72,$X72,$AE72,0.1))</f>
        <v>0</v>
      </c>
      <c r="BX72" s="44" t="n">
        <f aca="false">IF(BR72=0,0,bsd(BW$28,BW$27,BS72,$Z72,$W72,$X72,$AE72,0.1))</f>
        <v>0</v>
      </c>
      <c r="BY72" s="45" t="n">
        <f aca="false">BR72*BV72</f>
        <v>0</v>
      </c>
      <c r="BZ72" s="45" t="n">
        <f aca="false">BR72*BW72</f>
        <v>0</v>
      </c>
      <c r="CA72" s="45" t="n">
        <f aca="false">BR72*BX72</f>
        <v>0</v>
      </c>
    </row>
    <row r="73" customFormat="false" ht="12.75" hidden="false" customHeight="false" outlineLevel="0" collapsed="false">
      <c r="A73" s="48" t="n">
        <f aca="false">DATE(YEAR(A72),MONTH(A72)+1,1)</f>
        <v>38565</v>
      </c>
      <c r="B73" s="40" t="n">
        <f aca="false">VLOOKUP(A73,STRADDLE,5,FALSE())</f>
        <v>3.214</v>
      </c>
      <c r="C73" s="4" t="e">
        <f aca="false">VLOOKUP(A73,STRADDLE,6,FALSE())</f>
        <v>#VALUE!</v>
      </c>
      <c r="D73" s="40" t="n">
        <f aca="false">IF(D$28="nymex",0,VLOOKUP($A73,curvesettle,HLOOKUP(D$28,curvesettle,2,FALSE())))</f>
        <v>0</v>
      </c>
      <c r="E73" s="219" t="n">
        <f aca="false">IF(D$28="NYMEX",$AD73,$AC73)</f>
        <v>-7367</v>
      </c>
      <c r="F73" s="4" t="e">
        <f aca="false">($C73+G73)+B$15</f>
        <v>#DIV/0!</v>
      </c>
      <c r="G73" s="4" t="e">
        <f aca="false">IF(B$16=1,xCalcSkew(A73,H73-AL73,b)/100,0)</f>
        <v>#DIV/0!</v>
      </c>
      <c r="H73" s="41" t="n">
        <f aca="false">IF($B$19=4,$AL73,$B$18)</f>
        <v>2.44</v>
      </c>
      <c r="J73" s="40" t="n">
        <f aca="false">IF(J$28="nymex",0,VLOOKUP($A73,curvesettle,HLOOKUP(J$28,curvesettle,2,FALSE())))</f>
        <v>0</v>
      </c>
      <c r="K73" s="219" t="n">
        <f aca="false">IF(J$28="NYMEX",$AD73,$AC73)</f>
        <v>-7367</v>
      </c>
      <c r="L73" s="220" t="e">
        <f aca="false">($C73+M73)+D$15</f>
        <v>#DIV/0!</v>
      </c>
      <c r="M73" s="4" t="e">
        <f aca="false">IF(D$16=1,xCalcSkew($A73,N73-AW73,b)/100,0)</f>
        <v>#DIV/0!</v>
      </c>
      <c r="N73" s="41" t="n">
        <f aca="false">IF($D$19=4,$AW73,$D$18)</f>
        <v>2.44</v>
      </c>
      <c r="P73" s="40" t="n">
        <f aca="false">IF(P$28="nymex",0,VLOOKUP($A73,curvesettle,HLOOKUP(P$28,curvesettle,2,FALSE())))</f>
        <v>0</v>
      </c>
      <c r="Q73" s="219" t="n">
        <f aca="false">IF(P$28="NYMEX",$AD73,$AC73)</f>
        <v>-7367</v>
      </c>
      <c r="R73" s="220" t="e">
        <f aca="false">($C73+S73)+F$15</f>
        <v>#DIV/0!</v>
      </c>
      <c r="S73" s="4" t="e">
        <f aca="false">IF(F$16=1,xCalcSkew($A73,T73-BH73,b)/100,0)</f>
        <v>#DIV/0!</v>
      </c>
      <c r="T73" s="41" t="n">
        <f aca="false">IF($F$19=4,$BH73,$F$18)</f>
        <v>2.44</v>
      </c>
      <c r="V73" s="40" t="n">
        <f aca="false">IF(V$28="nymex",0,VLOOKUP($A73,curvesettle,HLOOKUP(V$28,curvesettle,2,FALSE())))</f>
        <v>0</v>
      </c>
      <c r="W73" s="219" t="n">
        <f aca="false">IF(V$28="NYMEX",$AD73,$AC73)</f>
        <v>-7367</v>
      </c>
      <c r="X73" s="4" t="e">
        <f aca="false">($C73+Y73)+H$15</f>
        <v>#DIV/0!</v>
      </c>
      <c r="Y73" s="4" t="e">
        <f aca="false">IF(H$16=1,xCalcSkew($A73,Z73-BS73,b)/100,0)</f>
        <v>#DIV/0!</v>
      </c>
      <c r="Z73" s="41" t="n">
        <f aca="false">IF($H$19=4,$BS73,$H$18)</f>
        <v>2.44</v>
      </c>
      <c r="AC73" s="219" t="n">
        <f aca="false">VLOOKUP($A73,expiration,2,FALSE())-$B$2</f>
        <v>-7366</v>
      </c>
      <c r="AD73" s="219" t="n">
        <f aca="false">VLOOKUP($A73,expiration,3,FALSE())-$B$2</f>
        <v>-7367</v>
      </c>
      <c r="AE73" s="4" t="n">
        <f aca="false">VLOOKUP($A73,STRADDLE,15,FALSE())</f>
        <v>0.0454931128840683</v>
      </c>
      <c r="AF73" s="43" t="n">
        <f aca="false">A74-A73</f>
        <v>31</v>
      </c>
      <c r="AG73" s="44"/>
      <c r="AH73" s="44"/>
      <c r="AI73" s="44"/>
      <c r="AJ73" s="44"/>
      <c r="AK73" s="9" t="n">
        <f aca="false">IF($A73&gt;=AL$25,IF($A73&lt;=AL$26,$AF73,0),0)</f>
        <v>0</v>
      </c>
      <c r="AL73" s="221" t="e">
        <f aca="false">AN73/AK73</f>
        <v>#DIV/0!</v>
      </c>
      <c r="AM73" s="1" t="n">
        <f aca="false">AK73*($B73+B$13)</f>
        <v>0</v>
      </c>
      <c r="AN73" s="33" t="n">
        <f aca="false">IF(ISNUMBER(((AM73/AK73)+B$14+$D73)*AK73),((AM73/AK73)+B$14+$D73)*AK73,0)</f>
        <v>0</v>
      </c>
      <c r="AO73" s="44" t="n">
        <f aca="false">IF(AK73=0,0,bsd(1,AP$27,AL73,$H73,$E73,$F73,$AE73,0.1))</f>
        <v>0</v>
      </c>
      <c r="AP73" s="44" t="n">
        <f aca="false">IF(AK73=0,0,bsd(2,AP$27,AL73,$H73,$E73,$F73,$AE73,0.1))</f>
        <v>0</v>
      </c>
      <c r="AQ73" s="44" t="n">
        <f aca="false">IF(AK73=0,0,bsd(AP$28,AP$27,AL73,$H73,$E73,$F73,$AE73,0.1))</f>
        <v>0</v>
      </c>
      <c r="AR73" s="45" t="n">
        <f aca="false">AK73*AO73</f>
        <v>0</v>
      </c>
      <c r="AS73" s="45" t="n">
        <f aca="false">AK73*AP73</f>
        <v>0</v>
      </c>
      <c r="AT73" s="45" t="n">
        <f aca="false">AK73*AQ73</f>
        <v>0</v>
      </c>
      <c r="AV73" s="9" t="n">
        <f aca="false">IF($A73&gt;=AW$25,IF($A73&lt;=AW$26,$AF73,0),0)</f>
        <v>0</v>
      </c>
      <c r="AW73" s="221" t="e">
        <f aca="false">AY73/AV73</f>
        <v>#DIV/0!</v>
      </c>
      <c r="AX73" s="1" t="n">
        <f aca="false">AV73*($B73+D$13)</f>
        <v>0</v>
      </c>
      <c r="AY73" s="33" t="n">
        <f aca="false">IF(ISNUMBER(((AX73/AV73)+D$14+$J73)*AV73),((AX73/AV73)+D$14+$J73)*AV73,0)</f>
        <v>0</v>
      </c>
      <c r="AZ73" s="44" t="n">
        <f aca="false">IF(AV73=0,0,bsd(1,BA$27,AW73,$N73,$K73,$L73,$AE73,0.1))</f>
        <v>0</v>
      </c>
      <c r="BA73" s="44" t="n">
        <f aca="false">IF(AV73=0,0,bsd(2,BA$27,AW73,$N73,$K73,$L73,$AE73,0.1))</f>
        <v>0</v>
      </c>
      <c r="BB73" s="44" t="n">
        <f aca="false">IF(AV73=0,0,bsd(BA$28,BA$27,AW73,$N73,$K73,$L73,$AE73,0.1))</f>
        <v>0</v>
      </c>
      <c r="BC73" s="45" t="n">
        <f aca="false">AV73*AZ73</f>
        <v>0</v>
      </c>
      <c r="BD73" s="45" t="n">
        <f aca="false">AV73*BA73</f>
        <v>0</v>
      </c>
      <c r="BE73" s="45" t="n">
        <f aca="false">AV73*BB73</f>
        <v>0</v>
      </c>
      <c r="BG73" s="9" t="n">
        <f aca="false">IF($A73&gt;=BH$25,IF($A73&lt;=BH$26,$AF73,0),0)</f>
        <v>0</v>
      </c>
      <c r="BH73" s="221" t="e">
        <f aca="false">BJ73/BG73</f>
        <v>#DIV/0!</v>
      </c>
      <c r="BI73" s="1" t="n">
        <f aca="false">BG73*($B73+F$13)</f>
        <v>0</v>
      </c>
      <c r="BJ73" s="33" t="n">
        <f aca="false">IF(ISNUMBER(((BI73/BG73)+F$14+$P73)*BG73),((BI73/BG73)+F$14+$P73)*BG73,0)</f>
        <v>0</v>
      </c>
      <c r="BK73" s="44" t="n">
        <f aca="false">IF(BG73=0,0,bsd(1,BL$27,BH73,$T73,$Q73,$R73,$AE73,0.1))</f>
        <v>0</v>
      </c>
      <c r="BL73" s="44" t="n">
        <f aca="false">IF(BG73=0,0,bsd(2,BL$27,BH73,$T73,$Q73,$R73,$AE73,0.1))</f>
        <v>0</v>
      </c>
      <c r="BM73" s="44" t="n">
        <f aca="false">IF(BG73=0,0,bsd(BL$28,BL$27,BH73,$T73,$Q73,$R73,$AE73,0.1))</f>
        <v>0</v>
      </c>
      <c r="BN73" s="45" t="n">
        <f aca="false">BG73*BK73</f>
        <v>0</v>
      </c>
      <c r="BO73" s="45" t="n">
        <f aca="false">BG73*BL73</f>
        <v>0</v>
      </c>
      <c r="BP73" s="45" t="n">
        <f aca="false">BG73*BM73</f>
        <v>0</v>
      </c>
      <c r="BR73" s="9" t="n">
        <f aca="false">IF($A73&gt;=BS$25,IF($A73&lt;=BS$26,$AF73,0),0)</f>
        <v>0</v>
      </c>
      <c r="BS73" s="221" t="e">
        <f aca="false">BU73/BR73</f>
        <v>#DIV/0!</v>
      </c>
      <c r="BT73" s="1" t="n">
        <f aca="false">BR73*($B73+H$13)</f>
        <v>0</v>
      </c>
      <c r="BU73" s="33" t="n">
        <f aca="false">IF(ISNUMBER(((BT73/BR73)+H$14+$V73)*BR73),((BT73/BR73)+H$14+$V73)*BR73,0)</f>
        <v>0</v>
      </c>
      <c r="BV73" s="44" t="n">
        <f aca="false">IF(BR73=0,0,bsd(1,BW$27,BS73,$Z73,$W73,$X73,$AE73,0.1))</f>
        <v>0</v>
      </c>
      <c r="BW73" s="44" t="n">
        <f aca="false">IF(BR73=0,0,bsd(2,BW$27,BS73,$Z73,$W73,$X73,$AE73,0.1))</f>
        <v>0</v>
      </c>
      <c r="BX73" s="44" t="n">
        <f aca="false">IF(BR73=0,0,bsd(BW$28,BW$27,BS73,$Z73,$W73,$X73,$AE73,0.1))</f>
        <v>0</v>
      </c>
      <c r="BY73" s="45" t="n">
        <f aca="false">BR73*BV73</f>
        <v>0</v>
      </c>
      <c r="BZ73" s="45" t="n">
        <f aca="false">BR73*BW73</f>
        <v>0</v>
      </c>
      <c r="CA73" s="45" t="n">
        <f aca="false">BR73*BX73</f>
        <v>0</v>
      </c>
    </row>
    <row r="74" customFormat="false" ht="12.75" hidden="false" customHeight="false" outlineLevel="0" collapsed="false">
      <c r="A74" s="48" t="n">
        <f aca="false">DATE(YEAR(A73),MONTH(A73)+1,1)</f>
        <v>38596</v>
      </c>
      <c r="B74" s="40" t="n">
        <f aca="false">VLOOKUP(A74,STRADDLE,5,FALSE())</f>
        <v>3.199</v>
      </c>
      <c r="C74" s="4" t="e">
        <f aca="false">VLOOKUP(A74,STRADDLE,6,FALSE())</f>
        <v>#VALUE!</v>
      </c>
      <c r="D74" s="40" t="n">
        <f aca="false">IF(D$28="nymex",0,VLOOKUP($A74,curvesettle,HLOOKUP(D$28,curvesettle,2,FALSE())))</f>
        <v>0</v>
      </c>
      <c r="E74" s="219" t="n">
        <f aca="false">IF(D$28="NYMEX",$AD74,$AC74)</f>
        <v>-7336</v>
      </c>
      <c r="F74" s="4" t="e">
        <f aca="false">($C74+G74)+B$15</f>
        <v>#DIV/0!</v>
      </c>
      <c r="G74" s="4" t="e">
        <f aca="false">IF(B$16=1,xCalcSkew(A74,H74-AL74,b)/100,0)</f>
        <v>#DIV/0!</v>
      </c>
      <c r="H74" s="41" t="n">
        <f aca="false">IF($B$19=4,$AL74,$B$18)</f>
        <v>2.44</v>
      </c>
      <c r="J74" s="40" t="n">
        <f aca="false">IF(J$28="nymex",0,VLOOKUP($A74,curvesettle,HLOOKUP(J$28,curvesettle,2,FALSE())))</f>
        <v>0</v>
      </c>
      <c r="K74" s="219" t="n">
        <f aca="false">IF(J$28="NYMEX",$AD74,$AC74)</f>
        <v>-7336</v>
      </c>
      <c r="L74" s="220" t="e">
        <f aca="false">($C74+M74)+D$15</f>
        <v>#DIV/0!</v>
      </c>
      <c r="M74" s="4" t="e">
        <f aca="false">IF(D$16=1,xCalcSkew($A74,N74-AW74,b)/100,0)</f>
        <v>#DIV/0!</v>
      </c>
      <c r="N74" s="41" t="n">
        <f aca="false">IF($D$19=4,$AW74,$D$18)</f>
        <v>2.44</v>
      </c>
      <c r="P74" s="40" t="n">
        <f aca="false">IF(P$28="nymex",0,VLOOKUP($A74,curvesettle,HLOOKUP(P$28,curvesettle,2,FALSE())))</f>
        <v>0</v>
      </c>
      <c r="Q74" s="219" t="n">
        <f aca="false">IF(P$28="NYMEX",$AD74,$AC74)</f>
        <v>-7336</v>
      </c>
      <c r="R74" s="220" t="e">
        <f aca="false">($C74+S74)+F$15</f>
        <v>#DIV/0!</v>
      </c>
      <c r="S74" s="4" t="e">
        <f aca="false">IF(F$16=1,xCalcSkew($A74,T74-BH74,b)/100,0)</f>
        <v>#DIV/0!</v>
      </c>
      <c r="T74" s="41" t="n">
        <f aca="false">IF($F$19=4,$BH74,$F$18)</f>
        <v>2.44</v>
      </c>
      <c r="V74" s="40" t="n">
        <f aca="false">IF(V$28="nymex",0,VLOOKUP($A74,curvesettle,HLOOKUP(V$28,curvesettle,2,FALSE())))</f>
        <v>0</v>
      </c>
      <c r="W74" s="219" t="n">
        <f aca="false">IF(V$28="NYMEX",$AD74,$AC74)</f>
        <v>-7336</v>
      </c>
      <c r="X74" s="4" t="e">
        <f aca="false">($C74+Y74)+H$15</f>
        <v>#DIV/0!</v>
      </c>
      <c r="Y74" s="4" t="e">
        <f aca="false">IF(H$16=1,xCalcSkew($A74,Z74-BS74,b)/100,0)</f>
        <v>#DIV/0!</v>
      </c>
      <c r="Z74" s="41" t="n">
        <f aca="false">IF($H$19=4,$BS74,$H$18)</f>
        <v>2.44</v>
      </c>
      <c r="AC74" s="219" t="n">
        <f aca="false">VLOOKUP($A74,expiration,2,FALSE())-$B$2</f>
        <v>-7333</v>
      </c>
      <c r="AD74" s="219" t="n">
        <f aca="false">VLOOKUP($A74,expiration,3,FALSE())-$B$2</f>
        <v>-7336</v>
      </c>
      <c r="AE74" s="4" t="n">
        <f aca="false">VLOOKUP($A74,STRADDLE,15,FALSE())</f>
        <v>0.045909969215757</v>
      </c>
      <c r="AF74" s="43" t="n">
        <f aca="false">A75-A74</f>
        <v>30</v>
      </c>
      <c r="AG74" s="44"/>
      <c r="AH74" s="44"/>
      <c r="AI74" s="44"/>
      <c r="AJ74" s="44"/>
      <c r="AK74" s="9" t="n">
        <f aca="false">IF($A74&gt;=AL$25,IF($A74&lt;=AL$26,$AF74,0),0)</f>
        <v>0</v>
      </c>
      <c r="AL74" s="221" t="e">
        <f aca="false">AN74/AK74</f>
        <v>#DIV/0!</v>
      </c>
      <c r="AM74" s="1" t="n">
        <f aca="false">AK74*($B74+B$13)</f>
        <v>0</v>
      </c>
      <c r="AN74" s="33" t="n">
        <f aca="false">IF(ISNUMBER(((AM74/AK74)+B$14+$D74)*AK74),((AM74/AK74)+B$14+$D74)*AK74,0)</f>
        <v>0</v>
      </c>
      <c r="AO74" s="44" t="n">
        <f aca="false">IF(AK74=0,0,bsd(1,AP$27,AL74,$H74,$E74,$F74,$AE74,0.1))</f>
        <v>0</v>
      </c>
      <c r="AP74" s="44" t="n">
        <f aca="false">IF(AK74=0,0,bsd(2,AP$27,AL74,$H74,$E74,$F74,$AE74,0.1))</f>
        <v>0</v>
      </c>
      <c r="AQ74" s="44" t="n">
        <f aca="false">IF(AK74=0,0,bsd(AP$28,AP$27,AL74,$H74,$E74,$F74,$AE74,0.1))</f>
        <v>0</v>
      </c>
      <c r="AR74" s="45" t="n">
        <f aca="false">AK74*AO74</f>
        <v>0</v>
      </c>
      <c r="AS74" s="45" t="n">
        <f aca="false">AK74*AP74</f>
        <v>0</v>
      </c>
      <c r="AT74" s="45" t="n">
        <f aca="false">AK74*AQ74</f>
        <v>0</v>
      </c>
      <c r="AV74" s="9" t="n">
        <f aca="false">IF($A74&gt;=AW$25,IF($A74&lt;=AW$26,$AF74,0),0)</f>
        <v>0</v>
      </c>
      <c r="AW74" s="221" t="e">
        <f aca="false">AY74/AV74</f>
        <v>#DIV/0!</v>
      </c>
      <c r="AX74" s="1" t="n">
        <f aca="false">AV74*($B74+D$13)</f>
        <v>0</v>
      </c>
      <c r="AY74" s="33" t="n">
        <f aca="false">IF(ISNUMBER(((AX74/AV74)+D$14+$J74)*AV74),((AX74/AV74)+D$14+$J74)*AV74,0)</f>
        <v>0</v>
      </c>
      <c r="AZ74" s="44" t="n">
        <f aca="false">IF(AV74=0,0,bsd(1,BA$27,AW74,$N74,$K74,$L74,$AE74,0.1))</f>
        <v>0</v>
      </c>
      <c r="BA74" s="44" t="n">
        <f aca="false">IF(AV74=0,0,bsd(2,BA$27,AW74,$N74,$K74,$L74,$AE74,0.1))</f>
        <v>0</v>
      </c>
      <c r="BB74" s="44" t="n">
        <f aca="false">IF(AV74=0,0,bsd(BA$28,BA$27,AW74,$N74,$K74,$L74,$AE74,0.1))</f>
        <v>0</v>
      </c>
      <c r="BC74" s="45" t="n">
        <f aca="false">AV74*AZ74</f>
        <v>0</v>
      </c>
      <c r="BD74" s="45" t="n">
        <f aca="false">AV74*BA74</f>
        <v>0</v>
      </c>
      <c r="BE74" s="45" t="n">
        <f aca="false">AV74*BB74</f>
        <v>0</v>
      </c>
      <c r="BG74" s="9" t="n">
        <f aca="false">IF($A74&gt;=BH$25,IF($A74&lt;=BH$26,$AF74,0),0)</f>
        <v>0</v>
      </c>
      <c r="BH74" s="221" t="e">
        <f aca="false">BJ74/BG74</f>
        <v>#DIV/0!</v>
      </c>
      <c r="BI74" s="1" t="n">
        <f aca="false">BG74*($B74+F$13)</f>
        <v>0</v>
      </c>
      <c r="BJ74" s="33" t="n">
        <f aca="false">IF(ISNUMBER(((BI74/BG74)+F$14+$P74)*BG74),((BI74/BG74)+F$14+$P74)*BG74,0)</f>
        <v>0</v>
      </c>
      <c r="BK74" s="44" t="n">
        <f aca="false">IF(BG74=0,0,bsd(1,BL$27,BH74,$T74,$Q74,$R74,$AE74,0.1))</f>
        <v>0</v>
      </c>
      <c r="BL74" s="44" t="n">
        <f aca="false">IF(BG74=0,0,bsd(2,BL$27,BH74,$T74,$Q74,$R74,$AE74,0.1))</f>
        <v>0</v>
      </c>
      <c r="BM74" s="44" t="n">
        <f aca="false">IF(BG74=0,0,bsd(BL$28,BL$27,BH74,$T74,$Q74,$R74,$AE74,0.1))</f>
        <v>0</v>
      </c>
      <c r="BN74" s="45" t="n">
        <f aca="false">BG74*BK74</f>
        <v>0</v>
      </c>
      <c r="BO74" s="45" t="n">
        <f aca="false">BG74*BL74</f>
        <v>0</v>
      </c>
      <c r="BP74" s="45" t="n">
        <f aca="false">BG74*BM74</f>
        <v>0</v>
      </c>
      <c r="BR74" s="9" t="n">
        <f aca="false">IF($A74&gt;=BS$25,IF($A74&lt;=BS$26,$AF74,0),0)</f>
        <v>0</v>
      </c>
      <c r="BS74" s="221" t="e">
        <f aca="false">BU74/BR74</f>
        <v>#DIV/0!</v>
      </c>
      <c r="BT74" s="1" t="n">
        <f aca="false">BR74*($B74+H$13)</f>
        <v>0</v>
      </c>
      <c r="BU74" s="33" t="n">
        <f aca="false">IF(ISNUMBER(((BT74/BR74)+H$14+$V74)*BR74),((BT74/BR74)+H$14+$V74)*BR74,0)</f>
        <v>0</v>
      </c>
      <c r="BV74" s="44" t="n">
        <f aca="false">IF(BR74=0,0,bsd(1,BW$27,BS74,$Z74,$W74,$X74,$AE74,0.1))</f>
        <v>0</v>
      </c>
      <c r="BW74" s="44" t="n">
        <f aca="false">IF(BR74=0,0,bsd(2,BW$27,BS74,$Z74,$W74,$X74,$AE74,0.1))</f>
        <v>0</v>
      </c>
      <c r="BX74" s="44" t="n">
        <f aca="false">IF(BR74=0,0,bsd(BW$28,BW$27,BS74,$Z74,$W74,$X74,$AE74,0.1))</f>
        <v>0</v>
      </c>
      <c r="BY74" s="45" t="n">
        <f aca="false">BR74*BV74</f>
        <v>0</v>
      </c>
      <c r="BZ74" s="45" t="n">
        <f aca="false">BR74*BW74</f>
        <v>0</v>
      </c>
      <c r="CA74" s="45" t="n">
        <f aca="false">BR74*BX74</f>
        <v>0</v>
      </c>
    </row>
    <row r="75" customFormat="false" ht="12.75" hidden="false" customHeight="false" outlineLevel="0" collapsed="false">
      <c r="A75" s="48" t="n">
        <f aca="false">DATE(YEAR(A74),MONTH(A74)+1,1)</f>
        <v>38626</v>
      </c>
      <c r="B75" s="40" t="n">
        <f aca="false">VLOOKUP(A75,STRADDLE,5,FALSE())</f>
        <v>3.214</v>
      </c>
      <c r="C75" s="4" t="e">
        <f aca="false">VLOOKUP(A75,STRADDLE,6,FALSE())</f>
        <v>#VALUE!</v>
      </c>
      <c r="D75" s="40" t="n">
        <f aca="false">IF(D$28="nymex",0,VLOOKUP($A75,curvesettle,HLOOKUP(D$28,curvesettle,2,FALSE())))</f>
        <v>0</v>
      </c>
      <c r="E75" s="219" t="n">
        <f aca="false">IF(D$28="NYMEX",$AD75,$AC75)</f>
        <v>-7304</v>
      </c>
      <c r="F75" s="4" t="e">
        <f aca="false">($C75+G75)+B$15</f>
        <v>#DIV/0!</v>
      </c>
      <c r="G75" s="4" t="e">
        <f aca="false">IF(B$16=1,xCalcSkew(A75,H75-AL75,b)/100,0)</f>
        <v>#DIV/0!</v>
      </c>
      <c r="H75" s="41" t="n">
        <f aca="false">IF($B$19=4,$AL75,$B$18)</f>
        <v>2.44</v>
      </c>
      <c r="J75" s="40" t="n">
        <f aca="false">IF(J$28="nymex",0,VLOOKUP($A75,curvesettle,HLOOKUP(J$28,curvesettle,2,FALSE())))</f>
        <v>0</v>
      </c>
      <c r="K75" s="219" t="n">
        <f aca="false">IF(J$28="NYMEX",$AD75,$AC75)</f>
        <v>-7304</v>
      </c>
      <c r="L75" s="220" t="e">
        <f aca="false">($C75+M75)+D$15</f>
        <v>#DIV/0!</v>
      </c>
      <c r="M75" s="4" t="e">
        <f aca="false">IF(D$16=1,xCalcSkew($A75,N75-AW75,b)/100,0)</f>
        <v>#DIV/0!</v>
      </c>
      <c r="N75" s="41" t="n">
        <f aca="false">IF($D$19=4,$AW75,$D$18)</f>
        <v>2.44</v>
      </c>
      <c r="P75" s="40" t="n">
        <f aca="false">IF(P$28="nymex",0,VLOOKUP($A75,curvesettle,HLOOKUP(P$28,curvesettle,2,FALSE())))</f>
        <v>0</v>
      </c>
      <c r="Q75" s="219" t="n">
        <f aca="false">IF(P$28="NYMEX",$AD75,$AC75)</f>
        <v>-7304</v>
      </c>
      <c r="R75" s="220" t="e">
        <f aca="false">($C75+S75)+F$15</f>
        <v>#DIV/0!</v>
      </c>
      <c r="S75" s="4" t="e">
        <f aca="false">IF(F$16=1,xCalcSkew($A75,T75-BH75,b)/100,0)</f>
        <v>#DIV/0!</v>
      </c>
      <c r="T75" s="41" t="n">
        <f aca="false">IF($F$19=4,$BH75,$F$18)</f>
        <v>2.44</v>
      </c>
      <c r="V75" s="40" t="n">
        <f aca="false">IF(V$28="nymex",0,VLOOKUP($A75,curvesettle,HLOOKUP(V$28,curvesettle,2,FALSE())))</f>
        <v>0</v>
      </c>
      <c r="W75" s="219" t="n">
        <f aca="false">IF(V$28="NYMEX",$AD75,$AC75)</f>
        <v>-7304</v>
      </c>
      <c r="X75" s="4" t="e">
        <f aca="false">($C75+Y75)+H$15</f>
        <v>#DIV/0!</v>
      </c>
      <c r="Y75" s="4" t="e">
        <f aca="false">IF(H$16=1,xCalcSkew($A75,Z75-BS75,b)/100,0)</f>
        <v>#DIV/0!</v>
      </c>
      <c r="Z75" s="41" t="n">
        <f aca="false">IF($H$19=4,$BS75,$H$18)</f>
        <v>2.44</v>
      </c>
      <c r="AC75" s="219" t="n">
        <f aca="false">VLOOKUP($A75,expiration,2,FALSE())-$B$2</f>
        <v>-7303</v>
      </c>
      <c r="AD75" s="219" t="n">
        <f aca="false">VLOOKUP($A75,expiration,3,FALSE())-$B$2</f>
        <v>-7304</v>
      </c>
      <c r="AE75" s="4" t="n">
        <f aca="false">VLOOKUP($A75,STRADDLE,15,FALSE())</f>
        <v>0.04632682560558</v>
      </c>
      <c r="AF75" s="43" t="n">
        <f aca="false">A76-A75</f>
        <v>31</v>
      </c>
      <c r="AI75" s="219"/>
      <c r="AJ75" s="9"/>
      <c r="AK75" s="9" t="n">
        <f aca="false">IF($A75&gt;=AL$25,IF($A75&lt;=AL$26,$AF75,0),0)</f>
        <v>0</v>
      </c>
      <c r="AL75" s="221" t="e">
        <f aca="false">AN75/AK75</f>
        <v>#DIV/0!</v>
      </c>
      <c r="AM75" s="1" t="n">
        <f aca="false">AK75*($B75+B$13)</f>
        <v>0</v>
      </c>
      <c r="AN75" s="33" t="n">
        <f aca="false">IF(ISNUMBER(((AM75/AK75)+B$14+$D75)*AK75),((AM75/AK75)+B$14+$D75)*AK75,0)</f>
        <v>0</v>
      </c>
      <c r="AO75" s="44" t="n">
        <f aca="false">IF(AK75=0,0,bsd(1,AP$27,AL75,$H75,$E75,$F75,$AE75,0.1))</f>
        <v>0</v>
      </c>
      <c r="AP75" s="44" t="n">
        <f aca="false">IF(AK75=0,0,bsd(2,AP$27,AL75,$H75,$E75,$F75,$AE75,0.1))</f>
        <v>0</v>
      </c>
      <c r="AQ75" s="44" t="n">
        <f aca="false">IF(AK75=0,0,bsd(AP$28,AP$27,AL75,$H75,$E75,$F75,$AE75,0.1))</f>
        <v>0</v>
      </c>
      <c r="AR75" s="45" t="n">
        <f aca="false">AK75*AO75</f>
        <v>0</v>
      </c>
      <c r="AS75" s="45" t="n">
        <f aca="false">AK75*AP75</f>
        <v>0</v>
      </c>
      <c r="AT75" s="45" t="n">
        <f aca="false">AK75*AQ75</f>
        <v>0</v>
      </c>
      <c r="AV75" s="9" t="n">
        <f aca="false">IF($A75&gt;=AW$25,IF($A75&lt;=AW$26,$AF75,0),0)</f>
        <v>0</v>
      </c>
      <c r="AW75" s="221" t="e">
        <f aca="false">AY75/AV75</f>
        <v>#DIV/0!</v>
      </c>
      <c r="AX75" s="1" t="n">
        <f aca="false">AV75*($B75+D$13)</f>
        <v>0</v>
      </c>
      <c r="AY75" s="33" t="n">
        <f aca="false">IF(ISNUMBER(((AX75/AV75)+D$14+$J75)*AV75),((AX75/AV75)+D$14+$J75)*AV75,0)</f>
        <v>0</v>
      </c>
      <c r="AZ75" s="44" t="n">
        <f aca="false">IF(AV75=0,0,bsd(1,BA$27,AW75,$N75,$K75,$L75,$AE75,0.1))</f>
        <v>0</v>
      </c>
      <c r="BA75" s="44" t="n">
        <f aca="false">IF(AV75=0,0,bsd(2,BA$27,AW75,$N75,$K75,$L75,$AE75,0.1))</f>
        <v>0</v>
      </c>
      <c r="BB75" s="44" t="n">
        <f aca="false">IF(AV75=0,0,bsd(BA$28,BA$27,AW75,$N75,$K75,$L75,$AE75,0.1))</f>
        <v>0</v>
      </c>
      <c r="BC75" s="45" t="n">
        <f aca="false">AV75*AZ75</f>
        <v>0</v>
      </c>
      <c r="BD75" s="45" t="n">
        <f aca="false">AV75*BA75</f>
        <v>0</v>
      </c>
      <c r="BE75" s="45" t="n">
        <f aca="false">AV75*BB75</f>
        <v>0</v>
      </c>
      <c r="BG75" s="9" t="n">
        <f aca="false">IF($A75&gt;=BH$25,IF($A75&lt;=BH$26,$AF75,0),0)</f>
        <v>0</v>
      </c>
      <c r="BH75" s="221" t="e">
        <f aca="false">BJ75/BG75</f>
        <v>#DIV/0!</v>
      </c>
      <c r="BI75" s="1" t="n">
        <f aca="false">BG75*($B75+F$13)</f>
        <v>0</v>
      </c>
      <c r="BJ75" s="33" t="n">
        <f aca="false">IF(ISNUMBER(((BI75/BG75)+F$14+$P75)*BG75),((BI75/BG75)+F$14+$P75)*BG75,0)</f>
        <v>0</v>
      </c>
      <c r="BK75" s="44" t="n">
        <f aca="false">IF(BG75=0,0,bsd(1,BL$27,BH75,$T75,$Q75,$R75,$AE75,0.1))</f>
        <v>0</v>
      </c>
      <c r="BL75" s="44" t="n">
        <f aca="false">IF(BG75=0,0,bsd(2,BL$27,BH75,$T75,$Q75,$R75,$AE75,0.1))</f>
        <v>0</v>
      </c>
      <c r="BM75" s="44" t="n">
        <f aca="false">IF(BG75=0,0,bsd(BL$28,BL$27,BH75,$T75,$Q75,$R75,$AE75,0.1))</f>
        <v>0</v>
      </c>
      <c r="BN75" s="45" t="n">
        <f aca="false">BG75*BK75</f>
        <v>0</v>
      </c>
      <c r="BO75" s="45" t="n">
        <f aca="false">BG75*BL75</f>
        <v>0</v>
      </c>
      <c r="BP75" s="45" t="n">
        <f aca="false">BG75*BM75</f>
        <v>0</v>
      </c>
      <c r="BR75" s="9" t="n">
        <f aca="false">IF($A75&gt;=BS$25,IF($A75&lt;=BS$26,$AF75,0),0)</f>
        <v>0</v>
      </c>
      <c r="BS75" s="221" t="e">
        <f aca="false">BU75/BR75</f>
        <v>#DIV/0!</v>
      </c>
      <c r="BT75" s="1" t="n">
        <f aca="false">BR75*($B75+H$13)</f>
        <v>0</v>
      </c>
      <c r="BU75" s="33" t="n">
        <f aca="false">IF(ISNUMBER(((BT75/BR75)+H$14+$V75)*BR75),((BT75/BR75)+H$14+$V75)*BR75,0)</f>
        <v>0</v>
      </c>
      <c r="BV75" s="44" t="n">
        <f aca="false">IF(BR75=0,0,bsd(1,BW$27,BS75,$Z75,$W75,$X75,$AE75,0.1))</f>
        <v>0</v>
      </c>
      <c r="BW75" s="44" t="n">
        <f aca="false">IF(BR75=0,0,bsd(2,BW$27,BS75,$Z75,$W75,$X75,$AE75,0.1))</f>
        <v>0</v>
      </c>
      <c r="BX75" s="44" t="n">
        <f aca="false">IF(BR75=0,0,bsd(BW$28,BW$27,BS75,$Z75,$W75,$X75,$AE75,0.1))</f>
        <v>0</v>
      </c>
      <c r="BY75" s="45" t="n">
        <f aca="false">BR75*BV75</f>
        <v>0</v>
      </c>
      <c r="BZ75" s="45" t="n">
        <f aca="false">BR75*BW75</f>
        <v>0</v>
      </c>
      <c r="CA75" s="45" t="n">
        <f aca="false">BR75*BX75</f>
        <v>0</v>
      </c>
    </row>
    <row r="76" customFormat="false" ht="12.75" hidden="false" customHeight="false" outlineLevel="0" collapsed="false">
      <c r="A76" s="48" t="n">
        <f aca="false">DATE(YEAR(A75),MONTH(A75)+1,1)</f>
        <v>38657</v>
      </c>
      <c r="B76" s="40" t="n">
        <f aca="false">VLOOKUP(A76,STRADDLE,5,FALSE())</f>
        <v>3.359</v>
      </c>
      <c r="C76" s="4" t="e">
        <f aca="false">VLOOKUP(A76,STRADDLE,6,FALSE())</f>
        <v>#VALUE!</v>
      </c>
      <c r="D76" s="40" t="n">
        <f aca="false">IF(D$28="nymex",0,VLOOKUP($A76,curvesettle,HLOOKUP(D$28,curvesettle,2,FALSE())))</f>
        <v>0</v>
      </c>
      <c r="E76" s="219" t="n">
        <f aca="false">IF(D$28="NYMEX",$AD76,$AC76)</f>
        <v>-7275</v>
      </c>
      <c r="F76" s="4" t="e">
        <f aca="false">($C76+G76)+B$15</f>
        <v>#DIV/0!</v>
      </c>
      <c r="G76" s="4" t="e">
        <f aca="false">IF(B$16=1,xCalcSkew(A76,H76-AL76,b)/100,0)</f>
        <v>#DIV/0!</v>
      </c>
      <c r="H76" s="41" t="n">
        <f aca="false">IF($B$19=4,$AL76,$B$18)</f>
        <v>2.44</v>
      </c>
      <c r="J76" s="40" t="n">
        <f aca="false">IF(J$28="nymex",0,VLOOKUP($A76,curvesettle,HLOOKUP(J$28,curvesettle,2,FALSE())))</f>
        <v>0</v>
      </c>
      <c r="K76" s="219" t="n">
        <f aca="false">IF(J$28="NYMEX",$AD76,$AC76)</f>
        <v>-7275</v>
      </c>
      <c r="L76" s="220" t="e">
        <f aca="false">($C76+M76)+D$15</f>
        <v>#DIV/0!</v>
      </c>
      <c r="M76" s="4" t="e">
        <f aca="false">IF(D$16=1,xCalcSkew($A76,N76-AW76,b)/100,0)</f>
        <v>#DIV/0!</v>
      </c>
      <c r="N76" s="41" t="n">
        <f aca="false">IF($D$19=4,$AW76,$D$18)</f>
        <v>2.44</v>
      </c>
      <c r="P76" s="40" t="n">
        <f aca="false">IF(P$28="nymex",0,VLOOKUP($A76,curvesettle,HLOOKUP(P$28,curvesettle,2,FALSE())))</f>
        <v>0</v>
      </c>
      <c r="Q76" s="219" t="n">
        <f aca="false">IF(P$28="NYMEX",$AD76,$AC76)</f>
        <v>-7275</v>
      </c>
      <c r="R76" s="220" t="e">
        <f aca="false">($C76+S76)+F$15</f>
        <v>#DIV/0!</v>
      </c>
      <c r="S76" s="4" t="e">
        <f aca="false">IF(F$16=1,xCalcSkew($A76,T76-BH76,b)/100,0)</f>
        <v>#DIV/0!</v>
      </c>
      <c r="T76" s="41" t="n">
        <f aca="false">IF($F$19=4,$BH76,$F$18)</f>
        <v>2.44</v>
      </c>
      <c r="V76" s="40" t="n">
        <f aca="false">IF(V$28="nymex",0,VLOOKUP($A76,curvesettle,HLOOKUP(V$28,curvesettle,2,FALSE())))</f>
        <v>0</v>
      </c>
      <c r="W76" s="219" t="n">
        <f aca="false">IF(V$28="NYMEX",$AD76,$AC76)</f>
        <v>-7275</v>
      </c>
      <c r="X76" s="4" t="e">
        <f aca="false">($C76+Y76)+H$15</f>
        <v>#DIV/0!</v>
      </c>
      <c r="Y76" s="4" t="e">
        <f aca="false">IF(H$16=1,xCalcSkew($A76,Z76-BS76,b)/100,0)</f>
        <v>#DIV/0!</v>
      </c>
      <c r="Z76" s="41" t="n">
        <f aca="false">IF($H$19=4,$BS76,$H$18)</f>
        <v>2.44</v>
      </c>
      <c r="AC76" s="219" t="n">
        <f aca="false">VLOOKUP($A76,expiration,2,FALSE())-$B$2</f>
        <v>-7274</v>
      </c>
      <c r="AD76" s="219" t="n">
        <f aca="false">VLOOKUP($A76,expiration,3,FALSE())-$B$2</f>
        <v>-7275</v>
      </c>
      <c r="AE76" s="4" t="n">
        <f aca="false">VLOOKUP($A76,STRADDLE,15,FALSE())</f>
        <v>0.0467165492653465</v>
      </c>
      <c r="AF76" s="43" t="n">
        <f aca="false">A77-A76</f>
        <v>30</v>
      </c>
      <c r="AI76" s="219"/>
      <c r="AJ76" s="9"/>
      <c r="AK76" s="9" t="n">
        <f aca="false">IF($A76&gt;=AL$25,IF($A76&lt;=AL$26,$AF76,0),0)</f>
        <v>0</v>
      </c>
      <c r="AL76" s="221" t="e">
        <f aca="false">AN76/AK76</f>
        <v>#DIV/0!</v>
      </c>
      <c r="AM76" s="1" t="n">
        <f aca="false">AK76*($B76+B$13)</f>
        <v>0</v>
      </c>
      <c r="AN76" s="33" t="n">
        <f aca="false">IF(ISNUMBER(((AM76/AK76)+B$14+$D76)*AK76),((AM76/AK76)+B$14+$D76)*AK76,0)</f>
        <v>0</v>
      </c>
      <c r="AO76" s="44" t="n">
        <f aca="false">IF(AK76=0,0,bsd(1,AP$27,AL76,$H76,$E76,$F76,$AE76,0.1))</f>
        <v>0</v>
      </c>
      <c r="AP76" s="44" t="n">
        <f aca="false">IF(AK76=0,0,bsd(2,AP$27,AL76,$H76,$E76,$F76,$AE76,0.1))</f>
        <v>0</v>
      </c>
      <c r="AQ76" s="44" t="n">
        <f aca="false">IF(AK76=0,0,bsd(AP$28,AP$27,AL76,$H76,$E76,$F76,$AE76,0.1))</f>
        <v>0</v>
      </c>
      <c r="AR76" s="45" t="n">
        <f aca="false">AK76*AO76</f>
        <v>0</v>
      </c>
      <c r="AS76" s="45" t="n">
        <f aca="false">AK76*AP76</f>
        <v>0</v>
      </c>
      <c r="AT76" s="45" t="n">
        <f aca="false">AK76*AQ76</f>
        <v>0</v>
      </c>
      <c r="AV76" s="9" t="n">
        <f aca="false">IF($A76&gt;=AW$25,IF($A76&lt;=AW$26,$AF76,0),0)</f>
        <v>0</v>
      </c>
      <c r="AW76" s="221" t="e">
        <f aca="false">AY76/AV76</f>
        <v>#DIV/0!</v>
      </c>
      <c r="AX76" s="1" t="n">
        <f aca="false">AV76*($B76+D$13)</f>
        <v>0</v>
      </c>
      <c r="AY76" s="33" t="n">
        <f aca="false">IF(ISNUMBER(((AX76/AV76)+D$14+$J76)*AV76),((AX76/AV76)+D$14+$J76)*AV76,0)</f>
        <v>0</v>
      </c>
      <c r="AZ76" s="44" t="n">
        <f aca="false">IF(AV76=0,0,bsd(1,BA$27,AW76,$N76,$K76,$L76,$AE76,0.1))</f>
        <v>0</v>
      </c>
      <c r="BA76" s="44" t="n">
        <f aca="false">IF(AV76=0,0,bsd(2,BA$27,AW76,$N76,$K76,$L76,$AE76,0.1))</f>
        <v>0</v>
      </c>
      <c r="BB76" s="44" t="n">
        <f aca="false">IF(AV76=0,0,bsd(BA$28,BA$27,AW76,$N76,$K76,$L76,$AE76,0.1))</f>
        <v>0</v>
      </c>
      <c r="BC76" s="45" t="n">
        <f aca="false">AV76*AZ76</f>
        <v>0</v>
      </c>
      <c r="BD76" s="45" t="n">
        <f aca="false">AV76*BA76</f>
        <v>0</v>
      </c>
      <c r="BE76" s="45" t="n">
        <f aca="false">AV76*BB76</f>
        <v>0</v>
      </c>
      <c r="BG76" s="9" t="n">
        <f aca="false">IF($A76&gt;=BH$25,IF($A76&lt;=BH$26,$AF76,0),0)</f>
        <v>0</v>
      </c>
      <c r="BH76" s="221" t="e">
        <f aca="false">BJ76/BG76</f>
        <v>#DIV/0!</v>
      </c>
      <c r="BI76" s="1" t="n">
        <f aca="false">BG76*($B76+F$13)</f>
        <v>0</v>
      </c>
      <c r="BJ76" s="33" t="n">
        <f aca="false">IF(ISNUMBER(((BI76/BG76)+F$14+$P76)*BG76),((BI76/BG76)+F$14+$P76)*BG76,0)</f>
        <v>0</v>
      </c>
      <c r="BK76" s="44" t="n">
        <f aca="false">IF(BG76=0,0,bsd(1,BL$27,BH76,$T76,$Q76,$R76,$AE76,0.1))</f>
        <v>0</v>
      </c>
      <c r="BL76" s="44" t="n">
        <f aca="false">IF(BG76=0,0,bsd(2,BL$27,BH76,$T76,$Q76,$R76,$AE76,0.1))</f>
        <v>0</v>
      </c>
      <c r="BM76" s="44" t="n">
        <f aca="false">IF(BG76=0,0,bsd(BL$28,BL$27,BH76,$T76,$Q76,$R76,$AE76,0.1))</f>
        <v>0</v>
      </c>
      <c r="BN76" s="45" t="n">
        <f aca="false">BG76*BK76</f>
        <v>0</v>
      </c>
      <c r="BO76" s="45" t="n">
        <f aca="false">BG76*BL76</f>
        <v>0</v>
      </c>
      <c r="BP76" s="45" t="n">
        <f aca="false">BG76*BM76</f>
        <v>0</v>
      </c>
      <c r="BR76" s="9" t="n">
        <f aca="false">IF($A76&gt;=BS$25,IF($A76&lt;=BS$26,$AF76,0),0)</f>
        <v>0</v>
      </c>
      <c r="BS76" s="221" t="e">
        <f aca="false">BU76/BR76</f>
        <v>#DIV/0!</v>
      </c>
      <c r="BT76" s="1" t="n">
        <f aca="false">BR76*($B76+H$13)</f>
        <v>0</v>
      </c>
      <c r="BU76" s="33" t="n">
        <f aca="false">IF(ISNUMBER(((BT76/BR76)+H$14+$V76)*BR76),((BT76/BR76)+H$14+$V76)*BR76,0)</f>
        <v>0</v>
      </c>
      <c r="BV76" s="44" t="n">
        <f aca="false">IF(BR76=0,0,bsd(1,BW$27,BS76,$Z76,$W76,$X76,$AE76,0.1))</f>
        <v>0</v>
      </c>
      <c r="BW76" s="44" t="n">
        <f aca="false">IF(BR76=0,0,bsd(2,BW$27,BS76,$Z76,$W76,$X76,$AE76,0.1))</f>
        <v>0</v>
      </c>
      <c r="BX76" s="44" t="n">
        <f aca="false">IF(BR76=0,0,bsd(BW$28,BW$27,BS76,$Z76,$W76,$X76,$AE76,0.1))</f>
        <v>0</v>
      </c>
      <c r="BY76" s="45" t="n">
        <f aca="false">BR76*BV76</f>
        <v>0</v>
      </c>
      <c r="BZ76" s="45" t="n">
        <f aca="false">BR76*BW76</f>
        <v>0</v>
      </c>
      <c r="CA76" s="45" t="n">
        <f aca="false">BR76*BX76</f>
        <v>0</v>
      </c>
    </row>
    <row r="77" customFormat="false" ht="12.75" hidden="false" customHeight="false" outlineLevel="0" collapsed="false">
      <c r="A77" s="48" t="n">
        <f aca="false">DATE(YEAR(A76),MONTH(A76)+1,1)</f>
        <v>38687</v>
      </c>
      <c r="B77" s="40" t="n">
        <f aca="false">VLOOKUP(A77,STRADDLE,5,FALSE())</f>
        <v>3.494</v>
      </c>
      <c r="C77" s="4" t="e">
        <f aca="false">VLOOKUP(A77,STRADDLE,6,FALSE())</f>
        <v>#VALUE!</v>
      </c>
      <c r="D77" s="40" t="n">
        <f aca="false">IF(D$28="nymex",0,VLOOKUP($A77,curvesettle,HLOOKUP(D$28,curvesettle,2,FALSE())))</f>
        <v>0</v>
      </c>
      <c r="E77" s="219" t="n">
        <f aca="false">IF(D$28="NYMEX",$AD77,$AC77)</f>
        <v>-7245</v>
      </c>
      <c r="F77" s="4" t="e">
        <f aca="false">($C77+G77)+B$15</f>
        <v>#DIV/0!</v>
      </c>
      <c r="G77" s="4" t="e">
        <f aca="false">IF(B$16=1,xCalcSkew(A77,H77-AL77,b)/100,0)</f>
        <v>#DIV/0!</v>
      </c>
      <c r="H77" s="41" t="n">
        <f aca="false">IF($B$19=4,$AL77,$B$18)</f>
        <v>2.44</v>
      </c>
      <c r="J77" s="40" t="n">
        <f aca="false">IF(J$28="nymex",0,VLOOKUP($A77,curvesettle,HLOOKUP(J$28,curvesettle,2,FALSE())))</f>
        <v>0</v>
      </c>
      <c r="K77" s="219" t="n">
        <f aca="false">IF(J$28="NYMEX",$AD77,$AC77)</f>
        <v>-7245</v>
      </c>
      <c r="L77" s="220" t="e">
        <f aca="false">($C77+M77)+D$15</f>
        <v>#DIV/0!</v>
      </c>
      <c r="M77" s="4" t="e">
        <f aca="false">IF(D$16=1,xCalcSkew($A77,N77-AW77,b)/100,0)</f>
        <v>#DIV/0!</v>
      </c>
      <c r="N77" s="41" t="n">
        <f aca="false">IF($D$19=4,$AW77,$D$18)</f>
        <v>2.44</v>
      </c>
      <c r="P77" s="40" t="n">
        <f aca="false">IF(P$28="nymex",0,VLOOKUP($A77,curvesettle,HLOOKUP(P$28,curvesettle,2,FALSE())))</f>
        <v>0</v>
      </c>
      <c r="Q77" s="219" t="n">
        <f aca="false">IF(P$28="NYMEX",$AD77,$AC77)</f>
        <v>-7245</v>
      </c>
      <c r="R77" s="220" t="e">
        <f aca="false">($C77+S77)+F$15</f>
        <v>#DIV/0!</v>
      </c>
      <c r="S77" s="4" t="e">
        <f aca="false">IF(F$16=1,xCalcSkew($A77,T77-BH77,b)/100,0)</f>
        <v>#DIV/0!</v>
      </c>
      <c r="T77" s="41" t="n">
        <f aca="false">IF($F$19=4,$BH77,$F$18)</f>
        <v>2.44</v>
      </c>
      <c r="V77" s="40" t="n">
        <f aca="false">IF(V$28="nymex",0,VLOOKUP($A77,curvesettle,HLOOKUP(V$28,curvesettle,2,FALSE())))</f>
        <v>0</v>
      </c>
      <c r="W77" s="219" t="n">
        <f aca="false">IF(V$28="NYMEX",$AD77,$AC77)</f>
        <v>-7245</v>
      </c>
      <c r="X77" s="4" t="e">
        <f aca="false">($C77+Y77)+H$15</f>
        <v>#DIV/0!</v>
      </c>
      <c r="Y77" s="4" t="e">
        <f aca="false">IF(H$16=1,xCalcSkew($A77,Z77-BS77,b)/100,0)</f>
        <v>#DIV/0!</v>
      </c>
      <c r="Z77" s="41" t="n">
        <f aca="false">IF($H$19=4,$BS77,$H$18)</f>
        <v>2.44</v>
      </c>
      <c r="AC77" s="219" t="n">
        <f aca="false">VLOOKUP($A77,expiration,2,FALSE())-$B$2</f>
        <v>-7242</v>
      </c>
      <c r="AD77" s="219" t="n">
        <f aca="false">VLOOKUP($A77,expiration,3,FALSE())-$B$2</f>
        <v>-7245</v>
      </c>
      <c r="AE77" s="4" t="n">
        <f aca="false">VLOOKUP($A77,STRADDLE,15,FALSE())</f>
        <v>0.0470928800068173</v>
      </c>
      <c r="AF77" s="43" t="n">
        <f aca="false">A78-A77</f>
        <v>31</v>
      </c>
      <c r="AI77" s="219"/>
      <c r="AJ77" s="9"/>
      <c r="AK77" s="9" t="n">
        <f aca="false">IF($A77&gt;=AL$25,IF($A77&lt;=AL$26,$AF77,0),0)</f>
        <v>0</v>
      </c>
      <c r="AL77" s="221" t="e">
        <f aca="false">AN77/AK77</f>
        <v>#DIV/0!</v>
      </c>
      <c r="AM77" s="1" t="n">
        <f aca="false">AK77*($B77+B$13)</f>
        <v>0</v>
      </c>
      <c r="AN77" s="33" t="n">
        <f aca="false">IF(ISNUMBER(((AM77/AK77)+B$14+$D77)*AK77),((AM77/AK77)+B$14+$D77)*AK77,0)</f>
        <v>0</v>
      </c>
      <c r="AO77" s="44" t="n">
        <f aca="false">IF(AK77=0,0,bsd(1,AP$27,AL77,$H77,$E77,$F77,$AE77,0.1))</f>
        <v>0</v>
      </c>
      <c r="AP77" s="44" t="n">
        <f aca="false">IF(AK77=0,0,bsd(2,AP$27,AL77,$H77,$E77,$F77,$AE77,0.1))</f>
        <v>0</v>
      </c>
      <c r="AQ77" s="44" t="n">
        <f aca="false">IF(AK77=0,0,bsd(AP$28,AP$27,AL77,$H77,$E77,$F77,$AE77,0.1))</f>
        <v>0</v>
      </c>
      <c r="AR77" s="45" t="n">
        <f aca="false">AK77*AO77</f>
        <v>0</v>
      </c>
      <c r="AS77" s="45" t="n">
        <f aca="false">AK77*AP77</f>
        <v>0</v>
      </c>
      <c r="AT77" s="45" t="n">
        <f aca="false">AK77*AQ77</f>
        <v>0</v>
      </c>
      <c r="AV77" s="9" t="n">
        <f aca="false">IF($A77&gt;=AW$25,IF($A77&lt;=AW$26,$AF77,0),0)</f>
        <v>0</v>
      </c>
      <c r="AW77" s="221" t="e">
        <f aca="false">AY77/AV77</f>
        <v>#DIV/0!</v>
      </c>
      <c r="AX77" s="1" t="n">
        <f aca="false">AV77*($B77+D$13)</f>
        <v>0</v>
      </c>
      <c r="AY77" s="33" t="n">
        <f aca="false">IF(ISNUMBER(((AX77/AV77)+D$14+$J77)*AV77),((AX77/AV77)+D$14+$J77)*AV77,0)</f>
        <v>0</v>
      </c>
      <c r="AZ77" s="44" t="n">
        <f aca="false">IF(AV77=0,0,bsd(1,BA$27,AW77,$N77,$K77,$L77,$AE77,0.1))</f>
        <v>0</v>
      </c>
      <c r="BA77" s="44" t="n">
        <f aca="false">IF(AV77=0,0,bsd(2,BA$27,AW77,$N77,$K77,$L77,$AE77,0.1))</f>
        <v>0</v>
      </c>
      <c r="BB77" s="44" t="n">
        <f aca="false">IF(AV77=0,0,bsd(BA$28,BA$27,AW77,$N77,$K77,$L77,$AE77,0.1))</f>
        <v>0</v>
      </c>
      <c r="BC77" s="45" t="n">
        <f aca="false">AV77*AZ77</f>
        <v>0</v>
      </c>
      <c r="BD77" s="45" t="n">
        <f aca="false">AV77*BA77</f>
        <v>0</v>
      </c>
      <c r="BE77" s="45" t="n">
        <f aca="false">AV77*BB77</f>
        <v>0</v>
      </c>
      <c r="BG77" s="9" t="n">
        <f aca="false">IF($A77&gt;=BH$25,IF($A77&lt;=BH$26,$AF77,0),0)</f>
        <v>0</v>
      </c>
      <c r="BH77" s="221" t="e">
        <f aca="false">BJ77/BG77</f>
        <v>#DIV/0!</v>
      </c>
      <c r="BI77" s="1" t="n">
        <f aca="false">BG77*($B77+F$13)</f>
        <v>0</v>
      </c>
      <c r="BJ77" s="33" t="n">
        <f aca="false">IF(ISNUMBER(((BI77/BG77)+F$14+$P77)*BG77),((BI77/BG77)+F$14+$P77)*BG77,0)</f>
        <v>0</v>
      </c>
      <c r="BK77" s="44" t="n">
        <f aca="false">IF(BG77=0,0,bsd(1,BL$27,BH77,$T77,$Q77,$R77,$AE77,0.1))</f>
        <v>0</v>
      </c>
      <c r="BL77" s="44" t="n">
        <f aca="false">IF(BG77=0,0,bsd(2,BL$27,BH77,$T77,$Q77,$R77,$AE77,0.1))</f>
        <v>0</v>
      </c>
      <c r="BM77" s="44" t="n">
        <f aca="false">IF(BG77=0,0,bsd(BL$28,BL$27,BH77,$T77,$Q77,$R77,$AE77,0.1))</f>
        <v>0</v>
      </c>
      <c r="BN77" s="45" t="n">
        <f aca="false">BG77*BK77</f>
        <v>0</v>
      </c>
      <c r="BO77" s="45" t="n">
        <f aca="false">BG77*BL77</f>
        <v>0</v>
      </c>
      <c r="BP77" s="45" t="n">
        <f aca="false">BG77*BM77</f>
        <v>0</v>
      </c>
      <c r="BR77" s="9" t="n">
        <f aca="false">IF($A77&gt;=BS$25,IF($A77&lt;=BS$26,$AF77,0),0)</f>
        <v>0</v>
      </c>
      <c r="BS77" s="221" t="e">
        <f aca="false">BU77/BR77</f>
        <v>#DIV/0!</v>
      </c>
      <c r="BT77" s="1" t="n">
        <f aca="false">BR77*($B77+H$13)</f>
        <v>0</v>
      </c>
      <c r="BU77" s="33" t="n">
        <f aca="false">IF(ISNUMBER(((BT77/BR77)+H$14+$V77)*BR77),((BT77/BR77)+H$14+$V77)*BR77,0)</f>
        <v>0</v>
      </c>
      <c r="BV77" s="44" t="n">
        <f aca="false">IF(BR77=0,0,bsd(1,BW$27,BS77,$Z77,$W77,$X77,$AE77,0.1))</f>
        <v>0</v>
      </c>
      <c r="BW77" s="44" t="n">
        <f aca="false">IF(BR77=0,0,bsd(2,BW$27,BS77,$Z77,$W77,$X77,$AE77,0.1))</f>
        <v>0</v>
      </c>
      <c r="BX77" s="44" t="n">
        <f aca="false">IF(BR77=0,0,bsd(BW$28,BW$27,BS77,$Z77,$W77,$X77,$AE77,0.1))</f>
        <v>0</v>
      </c>
      <c r="BY77" s="45" t="n">
        <f aca="false">BR77*BV77</f>
        <v>0</v>
      </c>
      <c r="BZ77" s="45" t="n">
        <f aca="false">BR77*BW77</f>
        <v>0</v>
      </c>
      <c r="CA77" s="45" t="n">
        <f aca="false">BR77*BX77</f>
        <v>0</v>
      </c>
    </row>
    <row r="78" customFormat="false" ht="12.75" hidden="false" customHeight="false" outlineLevel="0" collapsed="false">
      <c r="A78" s="48" t="n">
        <f aca="false">DATE(YEAR(A77),MONTH(A77)+1,1)</f>
        <v>38718</v>
      </c>
      <c r="B78" s="40" t="n">
        <f aca="false">VLOOKUP(A78,STRADDLE,5,FALSE())</f>
        <v>3.549</v>
      </c>
      <c r="C78" s="4" t="e">
        <f aca="false">VLOOKUP(A78,STRADDLE,6,FALSE())</f>
        <v>#VALUE!</v>
      </c>
      <c r="D78" s="40" t="n">
        <f aca="false">IF(D$28="nymex",0,VLOOKUP($A78,curvesettle,HLOOKUP(D$28,curvesettle,2,FALSE())))</f>
        <v>0</v>
      </c>
      <c r="E78" s="219" t="n">
        <f aca="false">IF(D$28="NYMEX",$AD78,$AC78)</f>
        <v>-7213</v>
      </c>
      <c r="F78" s="4" t="e">
        <f aca="false">($C78+G78)+B$15</f>
        <v>#DIV/0!</v>
      </c>
      <c r="G78" s="4" t="e">
        <f aca="false">IF(B$16=1,xCalcSkew(A78,H78-AL78,b)/100,0)</f>
        <v>#DIV/0!</v>
      </c>
      <c r="H78" s="41" t="n">
        <f aca="false">IF($B$19=4,$AL78,$B$18)</f>
        <v>2.44</v>
      </c>
      <c r="J78" s="40" t="n">
        <f aca="false">IF(J$28="nymex",0,VLOOKUP($A78,curvesettle,HLOOKUP(J$28,curvesettle,2,FALSE())))</f>
        <v>0</v>
      </c>
      <c r="K78" s="219" t="n">
        <f aca="false">IF(J$28="NYMEX",$AD78,$AC78)</f>
        <v>-7213</v>
      </c>
      <c r="L78" s="220" t="e">
        <f aca="false">($C78+M78)+D$15</f>
        <v>#DIV/0!</v>
      </c>
      <c r="M78" s="4" t="e">
        <f aca="false">IF(D$16=1,xCalcSkew($A78,N78-AW78,b)/100,0)</f>
        <v>#DIV/0!</v>
      </c>
      <c r="N78" s="41" t="n">
        <f aca="false">IF($D$19=4,$AW78,$D$18)</f>
        <v>2.44</v>
      </c>
      <c r="P78" s="40" t="n">
        <f aca="false">IF(P$28="nymex",0,VLOOKUP($A78,curvesettle,HLOOKUP(P$28,curvesettle,2,FALSE())))</f>
        <v>0</v>
      </c>
      <c r="Q78" s="219" t="n">
        <f aca="false">IF(P$28="NYMEX",$AD78,$AC78)</f>
        <v>-7213</v>
      </c>
      <c r="R78" s="220" t="e">
        <f aca="false">($C78+S78)+F$15</f>
        <v>#DIV/0!</v>
      </c>
      <c r="S78" s="4" t="e">
        <f aca="false">IF(F$16=1,xCalcSkew($A78,T78-BH78,b)/100,0)</f>
        <v>#DIV/0!</v>
      </c>
      <c r="T78" s="41" t="n">
        <f aca="false">IF($F$19=4,$BH78,$F$18)</f>
        <v>2.44</v>
      </c>
      <c r="V78" s="40" t="n">
        <f aca="false">IF(V$28="nymex",0,VLOOKUP($A78,curvesettle,HLOOKUP(V$28,curvesettle,2,FALSE())))</f>
        <v>0</v>
      </c>
      <c r="W78" s="219" t="n">
        <f aca="false">IF(V$28="NYMEX",$AD78,$AC78)</f>
        <v>-7213</v>
      </c>
      <c r="X78" s="4" t="e">
        <f aca="false">($C78+Y78)+H$15</f>
        <v>#DIV/0!</v>
      </c>
      <c r="Y78" s="4" t="e">
        <f aca="false">IF(H$16=1,xCalcSkew($A78,Z78-BS78,b)/100,0)</f>
        <v>#DIV/0!</v>
      </c>
      <c r="Z78" s="41" t="n">
        <f aca="false">IF($H$19=4,$BS78,$H$18)</f>
        <v>2.44</v>
      </c>
      <c r="AC78" s="219" t="n">
        <f aca="false">VLOOKUP($A78,expiration,2,FALSE())-$B$2</f>
        <v>-7212</v>
      </c>
      <c r="AD78" s="219" t="n">
        <f aca="false">VLOOKUP($A78,expiration,3,FALSE())-$B$2</f>
        <v>-7213</v>
      </c>
      <c r="AE78" s="4" t="n">
        <f aca="false">VLOOKUP($A78,STRADDLE,15,FALSE())</f>
        <v>0.0474570710920372</v>
      </c>
      <c r="AF78" s="43" t="n">
        <f aca="false">A79-A78</f>
        <v>31</v>
      </c>
      <c r="AI78" s="219"/>
      <c r="AJ78" s="9"/>
      <c r="AK78" s="9" t="n">
        <f aca="false">IF($A78&gt;=AL$25,IF($A78&lt;=AL$26,$AF78,0),0)</f>
        <v>0</v>
      </c>
      <c r="AL78" s="221" t="e">
        <f aca="false">AN78/AK78</f>
        <v>#DIV/0!</v>
      </c>
      <c r="AM78" s="1" t="n">
        <f aca="false">AK78*($B78+B$13)</f>
        <v>0</v>
      </c>
      <c r="AN78" s="33" t="n">
        <f aca="false">IF(ISNUMBER(((AM78/AK78)+B$14+$D78)*AK78),((AM78/AK78)+B$14+$D78)*AK78,0)</f>
        <v>0</v>
      </c>
      <c r="AO78" s="44" t="n">
        <f aca="false">IF(AK78=0,0,bsd(1,AP$27,AL78,$H78,$E78,$F78,$AE78,0.1))</f>
        <v>0</v>
      </c>
      <c r="AP78" s="44" t="n">
        <f aca="false">IF(AK78=0,0,bsd(2,AP$27,AL78,$H78,$E78,$F78,$AE78,0.1))</f>
        <v>0</v>
      </c>
      <c r="AQ78" s="44" t="n">
        <f aca="false">IF(AK78=0,0,bsd(AP$28,AP$27,AL78,$H78,$E78,$F78,$AE78,0.1))</f>
        <v>0</v>
      </c>
      <c r="AR78" s="45" t="n">
        <f aca="false">AK78*AO78</f>
        <v>0</v>
      </c>
      <c r="AS78" s="45" t="n">
        <f aca="false">AK78*AP78</f>
        <v>0</v>
      </c>
      <c r="AT78" s="45" t="n">
        <f aca="false">AK78*AQ78</f>
        <v>0</v>
      </c>
      <c r="AV78" s="9" t="n">
        <f aca="false">IF($A78&gt;=AW$25,IF($A78&lt;=AW$26,$AF78,0),0)</f>
        <v>0</v>
      </c>
      <c r="AW78" s="221" t="e">
        <f aca="false">AY78/AV78</f>
        <v>#DIV/0!</v>
      </c>
      <c r="AX78" s="1" t="n">
        <f aca="false">AV78*($B78+D$13)</f>
        <v>0</v>
      </c>
      <c r="AY78" s="33" t="n">
        <f aca="false">IF(ISNUMBER(((AX78/AV78)+D$14+$J78)*AV78),((AX78/AV78)+D$14+$J78)*AV78,0)</f>
        <v>0</v>
      </c>
      <c r="AZ78" s="44" t="n">
        <f aca="false">IF(AV78=0,0,bsd(1,BA$27,AW78,$N78,$K78,$L78,$AE78,0.1))</f>
        <v>0</v>
      </c>
      <c r="BA78" s="44" t="n">
        <f aca="false">IF(AV78=0,0,bsd(2,BA$27,AW78,$N78,$K78,$L78,$AE78,0.1))</f>
        <v>0</v>
      </c>
      <c r="BB78" s="44" t="n">
        <f aca="false">IF(AV78=0,0,bsd(BA$28,BA$27,AW78,$N78,$K78,$L78,$AE78,0.1))</f>
        <v>0</v>
      </c>
      <c r="BC78" s="45" t="n">
        <f aca="false">AV78*AZ78</f>
        <v>0</v>
      </c>
      <c r="BD78" s="45" t="n">
        <f aca="false">AV78*BA78</f>
        <v>0</v>
      </c>
      <c r="BE78" s="45" t="n">
        <f aca="false">AV78*BB78</f>
        <v>0</v>
      </c>
      <c r="BG78" s="9" t="n">
        <f aca="false">IF($A78&gt;=BH$25,IF($A78&lt;=BH$26,$AF78,0),0)</f>
        <v>0</v>
      </c>
      <c r="BH78" s="221" t="e">
        <f aca="false">BJ78/BG78</f>
        <v>#DIV/0!</v>
      </c>
      <c r="BI78" s="1" t="n">
        <f aca="false">BG78*($B78+F$13)</f>
        <v>0</v>
      </c>
      <c r="BJ78" s="33" t="n">
        <f aca="false">IF(ISNUMBER(((BI78/BG78)+F$14+$P78)*BG78),((BI78/BG78)+F$14+$P78)*BG78,0)</f>
        <v>0</v>
      </c>
      <c r="BK78" s="44" t="n">
        <f aca="false">IF(BG78=0,0,bsd(1,BL$27,BH78,$T78,$Q78,$R78,$AE78,0.1))</f>
        <v>0</v>
      </c>
      <c r="BL78" s="44" t="n">
        <f aca="false">IF(BG78=0,0,bsd(2,BL$27,BH78,$T78,$Q78,$R78,$AE78,0.1))</f>
        <v>0</v>
      </c>
      <c r="BM78" s="44" t="n">
        <f aca="false">IF(BG78=0,0,bsd(BL$28,BL$27,BH78,$T78,$Q78,$R78,$AE78,0.1))</f>
        <v>0</v>
      </c>
      <c r="BN78" s="45" t="n">
        <f aca="false">BG78*BK78</f>
        <v>0</v>
      </c>
      <c r="BO78" s="45" t="n">
        <f aca="false">BG78*BL78</f>
        <v>0</v>
      </c>
      <c r="BP78" s="45" t="n">
        <f aca="false">BG78*BM78</f>
        <v>0</v>
      </c>
      <c r="BR78" s="9" t="n">
        <f aca="false">IF($A78&gt;=BS$25,IF($A78&lt;=BS$26,$AF78,0),0)</f>
        <v>0</v>
      </c>
      <c r="BS78" s="221" t="e">
        <f aca="false">BU78/BR78</f>
        <v>#DIV/0!</v>
      </c>
      <c r="BT78" s="1" t="n">
        <f aca="false">BR78*($B78+H$13)</f>
        <v>0</v>
      </c>
      <c r="BU78" s="33" t="n">
        <f aca="false">IF(ISNUMBER(((BT78/BR78)+H$14+$V78)*BR78),((BT78/BR78)+H$14+$V78)*BR78,0)</f>
        <v>0</v>
      </c>
      <c r="BV78" s="44" t="n">
        <f aca="false">IF(BR78=0,0,bsd(1,BW$27,BS78,$Z78,$W78,$X78,$AE78,0.1))</f>
        <v>0</v>
      </c>
      <c r="BW78" s="44" t="n">
        <f aca="false">IF(BR78=0,0,bsd(2,BW$27,BS78,$Z78,$W78,$X78,$AE78,0.1))</f>
        <v>0</v>
      </c>
      <c r="BX78" s="44" t="n">
        <f aca="false">IF(BR78=0,0,bsd(BW$28,BW$27,BS78,$Z78,$W78,$X78,$AE78,0.1))</f>
        <v>0</v>
      </c>
      <c r="BY78" s="45" t="n">
        <f aca="false">BR78*BV78</f>
        <v>0</v>
      </c>
      <c r="BZ78" s="45" t="n">
        <f aca="false">BR78*BW78</f>
        <v>0</v>
      </c>
      <c r="CA78" s="45" t="n">
        <f aca="false">BR78*BX78</f>
        <v>0</v>
      </c>
    </row>
    <row r="79" customFormat="false" ht="12.75" hidden="false" customHeight="false" outlineLevel="0" collapsed="false">
      <c r="A79" s="48" t="n">
        <f aca="false">DATE(YEAR(A78),MONTH(A78)+1,1)</f>
        <v>38749</v>
      </c>
      <c r="B79" s="40" t="n">
        <f aca="false">VLOOKUP(A79,STRADDLE,5,FALSE())</f>
        <v>3.401</v>
      </c>
      <c r="C79" s="4" t="e">
        <f aca="false">VLOOKUP(A79,STRADDLE,6,FALSE())</f>
        <v>#VALUE!</v>
      </c>
      <c r="D79" s="40" t="n">
        <f aca="false">IF(D$28="nymex",0,VLOOKUP($A79,curvesettle,HLOOKUP(D$28,curvesettle,2,FALSE())))</f>
        <v>0</v>
      </c>
      <c r="E79" s="219" t="n">
        <f aca="false">IF(D$28="NYMEX",$AD79,$AC79)</f>
        <v>-7183</v>
      </c>
      <c r="F79" s="4" t="e">
        <f aca="false">($C79+G79)+B$15</f>
        <v>#DIV/0!</v>
      </c>
      <c r="G79" s="4" t="e">
        <f aca="false">IF(B$16=1,xCalcSkew(A79,H79-AL79,b)/100,0)</f>
        <v>#DIV/0!</v>
      </c>
      <c r="H79" s="41" t="n">
        <f aca="false">IF($B$19=4,$AL79,$B$18)</f>
        <v>2.44</v>
      </c>
      <c r="J79" s="40" t="n">
        <f aca="false">IF(J$28="nymex",0,VLOOKUP($A79,curvesettle,HLOOKUP(J$28,curvesettle,2,FALSE())))</f>
        <v>0</v>
      </c>
      <c r="K79" s="219" t="n">
        <f aca="false">IF(J$28="NYMEX",$AD79,$AC79)</f>
        <v>-7183</v>
      </c>
      <c r="L79" s="220" t="e">
        <f aca="false">($C79+M79)+D$15</f>
        <v>#DIV/0!</v>
      </c>
      <c r="M79" s="4" t="e">
        <f aca="false">IF(D$16=1,xCalcSkew($A79,N79-AW79,b)/100,0)</f>
        <v>#DIV/0!</v>
      </c>
      <c r="N79" s="41" t="n">
        <f aca="false">IF($D$19=4,$AW79,$D$18)</f>
        <v>2.44</v>
      </c>
      <c r="P79" s="40" t="n">
        <f aca="false">IF(P$28="nymex",0,VLOOKUP($A79,curvesettle,HLOOKUP(P$28,curvesettle,2,FALSE())))</f>
        <v>0</v>
      </c>
      <c r="Q79" s="219" t="n">
        <f aca="false">IF(P$28="NYMEX",$AD79,$AC79)</f>
        <v>-7183</v>
      </c>
      <c r="R79" s="220" t="e">
        <f aca="false">($C79+S79)+F$15</f>
        <v>#DIV/0!</v>
      </c>
      <c r="S79" s="4" t="e">
        <f aca="false">IF(F$16=1,xCalcSkew($A79,T79-BH79,b)/100,0)</f>
        <v>#DIV/0!</v>
      </c>
      <c r="T79" s="41" t="n">
        <f aca="false">IF($F$19=4,$BH79,$F$18)</f>
        <v>2.44</v>
      </c>
      <c r="V79" s="40" t="n">
        <f aca="false">IF(V$28="nymex",0,VLOOKUP($A79,curvesettle,HLOOKUP(V$28,curvesettle,2,FALSE())))</f>
        <v>0</v>
      </c>
      <c r="W79" s="219" t="n">
        <f aca="false">IF(V$28="NYMEX",$AD79,$AC79)</f>
        <v>-7183</v>
      </c>
      <c r="X79" s="4" t="e">
        <f aca="false">($C79+Y79)+H$15</f>
        <v>#DIV/0!</v>
      </c>
      <c r="Y79" s="4" t="e">
        <f aca="false">IF(H$16=1,xCalcSkew($A79,Z79-BS79,b)/100,0)</f>
        <v>#DIV/0!</v>
      </c>
      <c r="Z79" s="41" t="n">
        <f aca="false">IF($H$19=4,$BS79,$H$18)</f>
        <v>2.44</v>
      </c>
      <c r="AC79" s="219" t="n">
        <f aca="false">VLOOKUP($A79,expiration,2,FALSE())-$B$2</f>
        <v>-7182</v>
      </c>
      <c r="AD79" s="219" t="n">
        <f aca="false">VLOOKUP($A79,expiration,3,FALSE())-$B$2</f>
        <v>-7183</v>
      </c>
      <c r="AE79" s="4" t="n">
        <f aca="false">VLOOKUP($A79,STRADDLE,15,FALSE())</f>
        <v>0.0478100678250022</v>
      </c>
      <c r="AF79" s="43" t="n">
        <f aca="false">A80-A79</f>
        <v>28</v>
      </c>
      <c r="AI79" s="219"/>
      <c r="AJ79" s="9"/>
      <c r="AK79" s="9" t="n">
        <f aca="false">IF($A79&gt;=AL$25,IF($A79&lt;=AL$26,$AF79,0),0)</f>
        <v>0</v>
      </c>
      <c r="AL79" s="221" t="e">
        <f aca="false">AN79/AK79</f>
        <v>#DIV/0!</v>
      </c>
      <c r="AM79" s="1" t="n">
        <f aca="false">AK79*($B79+B$13)</f>
        <v>0</v>
      </c>
      <c r="AN79" s="33" t="n">
        <f aca="false">IF(ISNUMBER(((AM79/AK79)+B$14+$D79)*AK79),((AM79/AK79)+B$14+$D79)*AK79,0)</f>
        <v>0</v>
      </c>
      <c r="AO79" s="44" t="n">
        <f aca="false">IF(AK79=0,0,bsd(1,AP$27,AL79,$H79,$E79,$F79,$AE79,0.1))</f>
        <v>0</v>
      </c>
      <c r="AP79" s="44" t="n">
        <f aca="false">IF(AK79=0,0,bsd(2,AP$27,AL79,$H79,$E79,$F79,$AE79,0.1))</f>
        <v>0</v>
      </c>
      <c r="AQ79" s="44" t="n">
        <f aca="false">IF(AK79=0,0,bsd(AP$28,AP$27,AL79,$H79,$E79,$F79,$AE79,0.1))</f>
        <v>0</v>
      </c>
      <c r="AR79" s="45" t="n">
        <f aca="false">AK79*AO79</f>
        <v>0</v>
      </c>
      <c r="AS79" s="45" t="n">
        <f aca="false">AK79*AP79</f>
        <v>0</v>
      </c>
      <c r="AT79" s="45" t="n">
        <f aca="false">AK79*AQ79</f>
        <v>0</v>
      </c>
      <c r="AV79" s="9" t="n">
        <f aca="false">IF($A79&gt;=AW$25,IF($A79&lt;=AW$26,$AF79,0),0)</f>
        <v>0</v>
      </c>
      <c r="AW79" s="221" t="e">
        <f aca="false">AY79/AV79</f>
        <v>#DIV/0!</v>
      </c>
      <c r="AX79" s="1" t="n">
        <f aca="false">AV79*($B79+D$13)</f>
        <v>0</v>
      </c>
      <c r="AY79" s="33" t="n">
        <f aca="false">IF(ISNUMBER(((AX79/AV79)+D$14+$J79)*AV79),((AX79/AV79)+D$14+$J79)*AV79,0)</f>
        <v>0</v>
      </c>
      <c r="AZ79" s="44" t="n">
        <f aca="false">IF(AV79=0,0,bsd(1,BA$27,AW79,$N79,$K79,$L79,$AE79,0.1))</f>
        <v>0</v>
      </c>
      <c r="BA79" s="44" t="n">
        <f aca="false">IF(AV79=0,0,bsd(2,BA$27,AW79,$N79,$K79,$L79,$AE79,0.1))</f>
        <v>0</v>
      </c>
      <c r="BB79" s="44" t="n">
        <f aca="false">IF(AV79=0,0,bsd(BA$28,BA$27,AW79,$N79,$K79,$L79,$AE79,0.1))</f>
        <v>0</v>
      </c>
      <c r="BC79" s="45" t="n">
        <f aca="false">AV79*AZ79</f>
        <v>0</v>
      </c>
      <c r="BD79" s="45" t="n">
        <f aca="false">AV79*BA79</f>
        <v>0</v>
      </c>
      <c r="BE79" s="45" t="n">
        <f aca="false">AV79*BB79</f>
        <v>0</v>
      </c>
      <c r="BG79" s="9" t="n">
        <f aca="false">IF($A79&gt;=BH$25,IF($A79&lt;=BH$26,$AF79,0),0)</f>
        <v>0</v>
      </c>
      <c r="BH79" s="221" t="e">
        <f aca="false">BJ79/BG79</f>
        <v>#DIV/0!</v>
      </c>
      <c r="BI79" s="1" t="n">
        <f aca="false">BG79*($B79+F$13)</f>
        <v>0</v>
      </c>
      <c r="BJ79" s="33" t="n">
        <f aca="false">IF(ISNUMBER(((BI79/BG79)+F$14+$P79)*BG79),((BI79/BG79)+F$14+$P79)*BG79,0)</f>
        <v>0</v>
      </c>
      <c r="BK79" s="44" t="n">
        <f aca="false">IF(BG79=0,0,bsd(1,BL$27,BH79,$T79,$Q79,$R79,$AE79,0.1))</f>
        <v>0</v>
      </c>
      <c r="BL79" s="44" t="n">
        <f aca="false">IF(BG79=0,0,bsd(2,BL$27,BH79,$T79,$Q79,$R79,$AE79,0.1))</f>
        <v>0</v>
      </c>
      <c r="BM79" s="44" t="n">
        <f aca="false">IF(BG79=0,0,bsd(BL$28,BL$27,BH79,$T79,$Q79,$R79,$AE79,0.1))</f>
        <v>0</v>
      </c>
      <c r="BN79" s="45" t="n">
        <f aca="false">BG79*BK79</f>
        <v>0</v>
      </c>
      <c r="BO79" s="45" t="n">
        <f aca="false">BG79*BL79</f>
        <v>0</v>
      </c>
      <c r="BP79" s="45" t="n">
        <f aca="false">BG79*BM79</f>
        <v>0</v>
      </c>
      <c r="BR79" s="9" t="n">
        <f aca="false">IF($A79&gt;=BS$25,IF($A79&lt;=BS$26,$AF79,0),0)</f>
        <v>0</v>
      </c>
      <c r="BS79" s="221" t="e">
        <f aca="false">BU79/BR79</f>
        <v>#DIV/0!</v>
      </c>
      <c r="BT79" s="1" t="n">
        <f aca="false">BR79*($B79+H$13)</f>
        <v>0</v>
      </c>
      <c r="BU79" s="33" t="n">
        <f aca="false">IF(ISNUMBER(((BT79/BR79)+H$14+$V79)*BR79),((BT79/BR79)+H$14+$V79)*BR79,0)</f>
        <v>0</v>
      </c>
      <c r="BV79" s="44" t="n">
        <f aca="false">IF(BR79=0,0,bsd(1,BW$27,BS79,$Z79,$W79,$X79,$AE79,0.1))</f>
        <v>0</v>
      </c>
      <c r="BW79" s="44" t="n">
        <f aca="false">IF(BR79=0,0,bsd(2,BW$27,BS79,$Z79,$W79,$X79,$AE79,0.1))</f>
        <v>0</v>
      </c>
      <c r="BX79" s="44" t="n">
        <f aca="false">IF(BR79=0,0,bsd(BW$28,BW$27,BS79,$Z79,$W79,$X79,$AE79,0.1))</f>
        <v>0</v>
      </c>
      <c r="BY79" s="45" t="n">
        <f aca="false">BR79*BV79</f>
        <v>0</v>
      </c>
      <c r="BZ79" s="45" t="n">
        <f aca="false">BR79*BW79</f>
        <v>0</v>
      </c>
      <c r="CA79" s="45" t="n">
        <f aca="false">BR79*BX79</f>
        <v>0</v>
      </c>
    </row>
    <row r="80" customFormat="false" ht="12.75" hidden="false" customHeight="false" outlineLevel="0" collapsed="false">
      <c r="A80" s="48" t="n">
        <f aca="false">DATE(YEAR(A79),MONTH(A79)+1,1)</f>
        <v>38777</v>
      </c>
      <c r="B80" s="40" t="n">
        <f aca="false">VLOOKUP(A80,STRADDLE,5,FALSE())</f>
        <v>3.35</v>
      </c>
      <c r="C80" s="4" t="e">
        <f aca="false">VLOOKUP(A80,STRADDLE,6,FALSE())</f>
        <v>#VALUE!</v>
      </c>
      <c r="D80" s="40" t="n">
        <f aca="false">IF(D$28="nymex",0,VLOOKUP($A80,curvesettle,HLOOKUP(D$28,curvesettle,2,FALSE())))</f>
        <v>0</v>
      </c>
      <c r="E80" s="219" t="n">
        <f aca="false">IF(D$28="NYMEX",$AD80,$AC80)</f>
        <v>-7155</v>
      </c>
      <c r="F80" s="4" t="e">
        <f aca="false">($C80+G80)+B$15</f>
        <v>#DIV/0!</v>
      </c>
      <c r="G80" s="4" t="e">
        <f aca="false">IF(B$16=1,xCalcSkew(A80,H80-AL80,b)/100,0)</f>
        <v>#DIV/0!</v>
      </c>
      <c r="H80" s="41" t="n">
        <f aca="false">IF($B$19=4,$AL80,$B$18)</f>
        <v>2.44</v>
      </c>
      <c r="J80" s="40" t="n">
        <f aca="false">IF(J$28="nymex",0,VLOOKUP($A80,curvesettle,HLOOKUP(J$28,curvesettle,2,FALSE())))</f>
        <v>0</v>
      </c>
      <c r="K80" s="219" t="n">
        <f aca="false">IF(J$28="NYMEX",$AD80,$AC80)</f>
        <v>-7155</v>
      </c>
      <c r="L80" s="220" t="e">
        <f aca="false">($C80+M80)+D$15</f>
        <v>#DIV/0!</v>
      </c>
      <c r="M80" s="4" t="e">
        <f aca="false">IF(D$16=1,xCalcSkew($A80,N80-AW80,b)/100,0)</f>
        <v>#DIV/0!</v>
      </c>
      <c r="N80" s="41" t="n">
        <f aca="false">IF($D$19=4,$AW80,$D$18)</f>
        <v>2.44</v>
      </c>
      <c r="P80" s="40" t="n">
        <f aca="false">IF(P$28="nymex",0,VLOOKUP($A80,curvesettle,HLOOKUP(P$28,curvesettle,2,FALSE())))</f>
        <v>0</v>
      </c>
      <c r="Q80" s="219" t="n">
        <f aca="false">IF(P$28="NYMEX",$AD80,$AC80)</f>
        <v>-7155</v>
      </c>
      <c r="R80" s="220" t="e">
        <f aca="false">($C80+S80)+F$15</f>
        <v>#DIV/0!</v>
      </c>
      <c r="S80" s="4" t="e">
        <f aca="false">IF(F$16=1,xCalcSkew($A80,T80-BH80,b)/100,0)</f>
        <v>#DIV/0!</v>
      </c>
      <c r="T80" s="41" t="n">
        <f aca="false">IF($F$19=4,$BH80,$F$18)</f>
        <v>2.44</v>
      </c>
      <c r="V80" s="40" t="n">
        <f aca="false">IF(V$28="nymex",0,VLOOKUP($A80,curvesettle,HLOOKUP(V$28,curvesettle,2,FALSE())))</f>
        <v>0</v>
      </c>
      <c r="W80" s="219" t="n">
        <f aca="false">IF(V$28="NYMEX",$AD80,$AC80)</f>
        <v>-7155</v>
      </c>
      <c r="X80" s="4" t="e">
        <f aca="false">($C80+Y80)+H$15</f>
        <v>#DIV/0!</v>
      </c>
      <c r="Y80" s="4" t="e">
        <f aca="false">IF(H$16=1,xCalcSkew($A80,Z80-BS80,b)/100,0)</f>
        <v>#DIV/0!</v>
      </c>
      <c r="Z80" s="41" t="n">
        <f aca="false">IF($H$19=4,$BS80,$H$18)</f>
        <v>2.44</v>
      </c>
      <c r="AC80" s="219" t="n">
        <f aca="false">VLOOKUP($A80,expiration,2,FALSE())-$B$2</f>
        <v>-7154</v>
      </c>
      <c r="AD80" s="219" t="n">
        <f aca="false">VLOOKUP($A80,expiration,3,FALSE())-$B$2</f>
        <v>-7155</v>
      </c>
      <c r="AE80" s="4" t="n">
        <f aca="false">VLOOKUP($A80,STRADDLE,15,FALSE())</f>
        <v>0.0481206389556634</v>
      </c>
      <c r="AF80" s="43" t="n">
        <f aca="false">A81-A80</f>
        <v>31</v>
      </c>
      <c r="AI80" s="219"/>
      <c r="AJ80" s="9"/>
      <c r="AK80" s="9" t="n">
        <f aca="false">IF($A80&gt;=AL$25,IF($A80&lt;=AL$26,$AF80,0),0)</f>
        <v>0</v>
      </c>
      <c r="AL80" s="221" t="e">
        <f aca="false">AN80/AK80</f>
        <v>#DIV/0!</v>
      </c>
      <c r="AM80" s="1" t="n">
        <f aca="false">AK80*($B80+B$13)</f>
        <v>0</v>
      </c>
      <c r="AN80" s="33" t="n">
        <f aca="false">IF(ISNUMBER(((AM80/AK80)+B$14+$D80)*AK80),((AM80/AK80)+B$14+$D80)*AK80,0)</f>
        <v>0</v>
      </c>
      <c r="AO80" s="44" t="n">
        <f aca="false">IF(AK80=0,0,bsd(1,AP$27,AL80,$H80,$E80,$F80,$AE80,0.1))</f>
        <v>0</v>
      </c>
      <c r="AP80" s="44" t="n">
        <f aca="false">IF(AK80=0,0,bsd(2,AP$27,AL80,$H80,$E80,$F80,$AE80,0.1))</f>
        <v>0</v>
      </c>
      <c r="AQ80" s="44" t="n">
        <f aca="false">IF(AK80=0,0,bsd(AP$28,AP$27,AL80,$H80,$E80,$F80,$AE80,0.1))</f>
        <v>0</v>
      </c>
      <c r="AR80" s="45" t="n">
        <f aca="false">AK80*AO80</f>
        <v>0</v>
      </c>
      <c r="AS80" s="45" t="n">
        <f aca="false">AK80*AP80</f>
        <v>0</v>
      </c>
      <c r="AT80" s="45" t="n">
        <f aca="false">AK80*AQ80</f>
        <v>0</v>
      </c>
      <c r="AV80" s="9" t="n">
        <f aca="false">IF($A80&gt;=AW$25,IF($A80&lt;=AW$26,$AF80,0),0)</f>
        <v>0</v>
      </c>
      <c r="AW80" s="221" t="e">
        <f aca="false">AY80/AV80</f>
        <v>#DIV/0!</v>
      </c>
      <c r="AX80" s="1" t="n">
        <f aca="false">AV80*($B80+D$13)</f>
        <v>0</v>
      </c>
      <c r="AY80" s="33" t="n">
        <f aca="false">IF(ISNUMBER(((AX80/AV80)+D$14+$J80)*AV80),((AX80/AV80)+D$14+$J80)*AV80,0)</f>
        <v>0</v>
      </c>
      <c r="AZ80" s="44" t="n">
        <f aca="false">IF(AV80=0,0,bsd(1,BA$27,AW80,$N80,$K80,$L80,$AE80,0.1))</f>
        <v>0</v>
      </c>
      <c r="BA80" s="44" t="n">
        <f aca="false">IF(AV80=0,0,bsd(2,BA$27,AW80,$N80,$K80,$L80,$AE80,0.1))</f>
        <v>0</v>
      </c>
      <c r="BB80" s="44" t="n">
        <f aca="false">IF(AV80=0,0,bsd(BA$28,BA$27,AW80,$N80,$K80,$L80,$AE80,0.1))</f>
        <v>0</v>
      </c>
      <c r="BC80" s="45" t="n">
        <f aca="false">AV80*AZ80</f>
        <v>0</v>
      </c>
      <c r="BD80" s="45" t="n">
        <f aca="false">AV80*BA80</f>
        <v>0</v>
      </c>
      <c r="BE80" s="45" t="n">
        <f aca="false">AV80*BB80</f>
        <v>0</v>
      </c>
      <c r="BG80" s="9" t="n">
        <f aca="false">IF($A80&gt;=BH$25,IF($A80&lt;=BH$26,$AF80,0),0)</f>
        <v>0</v>
      </c>
      <c r="BH80" s="221" t="e">
        <f aca="false">BJ80/BG80</f>
        <v>#DIV/0!</v>
      </c>
      <c r="BI80" s="1" t="n">
        <f aca="false">BG80*($B80+F$13)</f>
        <v>0</v>
      </c>
      <c r="BJ80" s="33" t="n">
        <f aca="false">IF(ISNUMBER(((BI80/BG80)+F$14+$P80)*BG80),((BI80/BG80)+F$14+$P80)*BG80,0)</f>
        <v>0</v>
      </c>
      <c r="BK80" s="44" t="n">
        <f aca="false">IF(BG80=0,0,bsd(1,BL$27,BH80,$T80,$Q80,$R80,$AE80,0.1))</f>
        <v>0</v>
      </c>
      <c r="BL80" s="44" t="n">
        <f aca="false">IF(BG80=0,0,bsd(2,BL$27,BH80,$T80,$Q80,$R80,$AE80,0.1))</f>
        <v>0</v>
      </c>
      <c r="BM80" s="44" t="n">
        <f aca="false">IF(BG80=0,0,bsd(BL$28,BL$27,BH80,$T80,$Q80,$R80,$AE80,0.1))</f>
        <v>0</v>
      </c>
      <c r="BN80" s="45" t="n">
        <f aca="false">BG80*BK80</f>
        <v>0</v>
      </c>
      <c r="BO80" s="45" t="n">
        <f aca="false">BG80*BL80</f>
        <v>0</v>
      </c>
      <c r="BP80" s="45" t="n">
        <f aca="false">BG80*BM80</f>
        <v>0</v>
      </c>
      <c r="BR80" s="9" t="n">
        <f aca="false">IF($A80&gt;=BS$25,IF($A80&lt;=BS$26,$AF80,0),0)</f>
        <v>0</v>
      </c>
      <c r="BS80" s="221" t="e">
        <f aca="false">BU80/BR80</f>
        <v>#DIV/0!</v>
      </c>
      <c r="BT80" s="1" t="n">
        <f aca="false">BR80*($B80+H$13)</f>
        <v>0</v>
      </c>
      <c r="BU80" s="33" t="n">
        <f aca="false">IF(ISNUMBER(((BT80/BR80)+H$14+$V80)*BR80),((BT80/BR80)+H$14+$V80)*BR80,0)</f>
        <v>0</v>
      </c>
      <c r="BV80" s="44" t="n">
        <f aca="false">IF(BR80=0,0,bsd(1,BW$27,BS80,$Z80,$W80,$X80,$AE80,0.1))</f>
        <v>0</v>
      </c>
      <c r="BW80" s="44" t="n">
        <f aca="false">IF(BR80=0,0,bsd(2,BW$27,BS80,$Z80,$W80,$X80,$AE80,0.1))</f>
        <v>0</v>
      </c>
      <c r="BX80" s="44" t="n">
        <f aca="false">IF(BR80=0,0,bsd(BW$28,BW$27,BS80,$Z80,$W80,$X80,$AE80,0.1))</f>
        <v>0</v>
      </c>
      <c r="BY80" s="45" t="n">
        <f aca="false">BR80*BV80</f>
        <v>0</v>
      </c>
      <c r="BZ80" s="45" t="n">
        <f aca="false">BR80*BW80</f>
        <v>0</v>
      </c>
      <c r="CA80" s="45" t="n">
        <f aca="false">BR80*BX80</f>
        <v>0</v>
      </c>
    </row>
    <row r="81" customFormat="false" ht="12.75" hidden="false" customHeight="false" outlineLevel="0" collapsed="false">
      <c r="A81" s="48" t="n">
        <f aca="false">DATE(YEAR(A80),MONTH(A80)+1,1)</f>
        <v>38808</v>
      </c>
      <c r="B81" s="40" t="n">
        <f aca="false">VLOOKUP(A81,STRADDLE,5,FALSE())</f>
        <v>3.131</v>
      </c>
      <c r="C81" s="4" t="e">
        <f aca="false">VLOOKUP(A81,STRADDLE,6,FALSE())</f>
        <v>#VALUE!</v>
      </c>
      <c r="D81" s="40" t="n">
        <f aca="false">IF(D$28="nymex",0,VLOOKUP($A81,curvesettle,HLOOKUP(D$28,curvesettle,2,FALSE())))</f>
        <v>0</v>
      </c>
      <c r="E81" s="219" t="n">
        <f aca="false">IF(D$28="NYMEX",$AD81,$AC81)</f>
        <v>-7122</v>
      </c>
      <c r="F81" s="4" t="e">
        <f aca="false">($C81+G81)+B$15</f>
        <v>#DIV/0!</v>
      </c>
      <c r="G81" s="4" t="e">
        <f aca="false">IF(B$16=1,xCalcSkew(A81,H81-AL81,b)/100,0)</f>
        <v>#DIV/0!</v>
      </c>
      <c r="H81" s="41" t="n">
        <f aca="false">IF($B$19=4,$AL81,$B$18)</f>
        <v>2.44</v>
      </c>
      <c r="J81" s="40" t="n">
        <f aca="false">IF(J$28="nymex",0,VLOOKUP($A81,curvesettle,HLOOKUP(J$28,curvesettle,2,FALSE())))</f>
        <v>0</v>
      </c>
      <c r="K81" s="219" t="n">
        <f aca="false">IF(J$28="NYMEX",$AD81,$AC81)</f>
        <v>-7122</v>
      </c>
      <c r="L81" s="220" t="e">
        <f aca="false">($C81+M81)+D$15</f>
        <v>#DIV/0!</v>
      </c>
      <c r="M81" s="4" t="e">
        <f aca="false">IF(D$16=1,xCalcSkew($A81,N81-AW81,b)/100,0)</f>
        <v>#DIV/0!</v>
      </c>
      <c r="N81" s="41" t="n">
        <f aca="false">IF($D$19=4,$AW81,$D$18)</f>
        <v>2.44</v>
      </c>
      <c r="P81" s="40" t="n">
        <f aca="false">IF(P$28="nymex",0,VLOOKUP($A81,curvesettle,HLOOKUP(P$28,curvesettle,2,FALSE())))</f>
        <v>0</v>
      </c>
      <c r="Q81" s="219" t="n">
        <f aca="false">IF(P$28="NYMEX",$AD81,$AC81)</f>
        <v>-7122</v>
      </c>
      <c r="R81" s="220" t="e">
        <f aca="false">($C81+S81)+F$15</f>
        <v>#DIV/0!</v>
      </c>
      <c r="S81" s="4" t="e">
        <f aca="false">IF(F$16=1,xCalcSkew($A81,T81-BH81,b)/100,0)</f>
        <v>#DIV/0!</v>
      </c>
      <c r="T81" s="41" t="n">
        <f aca="false">IF($F$19=4,$BH81,$F$18)</f>
        <v>2.44</v>
      </c>
      <c r="V81" s="40" t="n">
        <f aca="false">IF(V$28="nymex",0,VLOOKUP($A81,curvesettle,HLOOKUP(V$28,curvesettle,2,FALSE())))</f>
        <v>0</v>
      </c>
      <c r="W81" s="219" t="n">
        <f aca="false">IF(V$28="NYMEX",$AD81,$AC81)</f>
        <v>-7122</v>
      </c>
      <c r="X81" s="4" t="e">
        <f aca="false">($C81+Y81)+H$15</f>
        <v>#DIV/0!</v>
      </c>
      <c r="Y81" s="4" t="e">
        <f aca="false">IF(H$16=1,xCalcSkew($A81,Z81-BS81,b)/100,0)</f>
        <v>#DIV/0!</v>
      </c>
      <c r="Z81" s="41" t="n">
        <f aca="false">IF($H$19=4,$BS81,$H$18)</f>
        <v>2.44</v>
      </c>
      <c r="AC81" s="219" t="n">
        <f aca="false">VLOOKUP($A81,expiration,2,FALSE())-$B$2</f>
        <v>-7121</v>
      </c>
      <c r="AD81" s="219" t="n">
        <f aca="false">VLOOKUP($A81,expiration,3,FALSE())-$B$2</f>
        <v>-7122</v>
      </c>
      <c r="AE81" s="4" t="n">
        <f aca="false">VLOOKUP($A81,STRADDLE,15,FALSE())</f>
        <v>0.0484011548433219</v>
      </c>
      <c r="AF81" s="43" t="n">
        <f aca="false">A82-A81</f>
        <v>30</v>
      </c>
      <c r="AI81" s="219"/>
      <c r="AJ81" s="9"/>
      <c r="AK81" s="9" t="n">
        <f aca="false">IF($A81&gt;=AL$25,IF($A81&lt;=AL$26,$AF81,0),0)</f>
        <v>0</v>
      </c>
      <c r="AL81" s="221" t="e">
        <f aca="false">AN81/AK81</f>
        <v>#DIV/0!</v>
      </c>
      <c r="AM81" s="1" t="n">
        <f aca="false">AK81*($B81+B$13)</f>
        <v>0</v>
      </c>
      <c r="AN81" s="33" t="n">
        <f aca="false">IF(ISNUMBER(((AM81/AK81)+B$14+$D81)*AK81),((AM81/AK81)+B$14+$D81)*AK81,0)</f>
        <v>0</v>
      </c>
      <c r="AO81" s="44" t="n">
        <f aca="false">IF(AK81=0,0,bsd(1,AP$27,AL81,$H81,$E81,$F81,$AE81,0.1))</f>
        <v>0</v>
      </c>
      <c r="AP81" s="44" t="n">
        <f aca="false">IF(AK81=0,0,bsd(2,AP$27,AL81,$H81,$E81,$F81,$AE81,0.1))</f>
        <v>0</v>
      </c>
      <c r="AQ81" s="44" t="n">
        <f aca="false">IF(AK81=0,0,bsd(AP$28,AP$27,AL81,$H81,$E81,$F81,$AE81,0.1))</f>
        <v>0</v>
      </c>
      <c r="AR81" s="45" t="n">
        <f aca="false">AK81*AO81</f>
        <v>0</v>
      </c>
      <c r="AS81" s="45" t="n">
        <f aca="false">AK81*AP81</f>
        <v>0</v>
      </c>
      <c r="AT81" s="45" t="n">
        <f aca="false">AK81*AQ81</f>
        <v>0</v>
      </c>
      <c r="AV81" s="9" t="n">
        <f aca="false">IF($A81&gt;=AW$25,IF($A81&lt;=AW$26,$AF81,0),0)</f>
        <v>0</v>
      </c>
      <c r="AW81" s="221" t="e">
        <f aca="false">AY81/AV81</f>
        <v>#DIV/0!</v>
      </c>
      <c r="AX81" s="1" t="n">
        <f aca="false">AV81*($B81+D$13)</f>
        <v>0</v>
      </c>
      <c r="AY81" s="33" t="n">
        <f aca="false">IF(ISNUMBER(((AX81/AV81)+D$14+$J81)*AV81),((AX81/AV81)+D$14+$J81)*AV81,0)</f>
        <v>0</v>
      </c>
      <c r="AZ81" s="44" t="n">
        <f aca="false">IF(AV81=0,0,bsd(1,BA$27,AW81,$N81,$K81,$L81,$AE81,0.1))</f>
        <v>0</v>
      </c>
      <c r="BA81" s="44" t="n">
        <f aca="false">IF(AV81=0,0,bsd(2,BA$27,AW81,$N81,$K81,$L81,$AE81,0.1))</f>
        <v>0</v>
      </c>
      <c r="BB81" s="44" t="n">
        <f aca="false">IF(AV81=0,0,bsd(BA$28,BA$27,AW81,$N81,$K81,$L81,$AE81,0.1))</f>
        <v>0</v>
      </c>
      <c r="BC81" s="45" t="n">
        <f aca="false">AV81*AZ81</f>
        <v>0</v>
      </c>
      <c r="BD81" s="45" t="n">
        <f aca="false">AV81*BA81</f>
        <v>0</v>
      </c>
      <c r="BE81" s="45" t="n">
        <f aca="false">AV81*BB81</f>
        <v>0</v>
      </c>
      <c r="BG81" s="9" t="n">
        <f aca="false">IF($A81&gt;=BH$25,IF($A81&lt;=BH$26,$AF81,0),0)</f>
        <v>0</v>
      </c>
      <c r="BH81" s="221" t="e">
        <f aca="false">BJ81/BG81</f>
        <v>#DIV/0!</v>
      </c>
      <c r="BI81" s="1" t="n">
        <f aca="false">BG81*($B81+F$13)</f>
        <v>0</v>
      </c>
      <c r="BJ81" s="33" t="n">
        <f aca="false">IF(ISNUMBER(((BI81/BG81)+F$14+$P81)*BG81),((BI81/BG81)+F$14+$P81)*BG81,0)</f>
        <v>0</v>
      </c>
      <c r="BK81" s="44" t="n">
        <f aca="false">IF(BG81=0,0,bsd(1,BL$27,BH81,$T81,$Q81,$R81,$AE81,0.1))</f>
        <v>0</v>
      </c>
      <c r="BL81" s="44" t="n">
        <f aca="false">IF(BG81=0,0,bsd(2,BL$27,BH81,$T81,$Q81,$R81,$AE81,0.1))</f>
        <v>0</v>
      </c>
      <c r="BM81" s="44" t="n">
        <f aca="false">IF(BG81=0,0,bsd(BL$28,BL$27,BH81,$T81,$Q81,$R81,$AE81,0.1))</f>
        <v>0</v>
      </c>
      <c r="BN81" s="45" t="n">
        <f aca="false">BG81*BK81</f>
        <v>0</v>
      </c>
      <c r="BO81" s="45" t="n">
        <f aca="false">BG81*BL81</f>
        <v>0</v>
      </c>
      <c r="BP81" s="45" t="n">
        <f aca="false">BG81*BM81</f>
        <v>0</v>
      </c>
      <c r="BR81" s="9" t="n">
        <f aca="false">IF($A81&gt;=BS$25,IF($A81&lt;=BS$26,$AF81,0),0)</f>
        <v>0</v>
      </c>
      <c r="BS81" s="221" t="e">
        <f aca="false">BU81/BR81</f>
        <v>#DIV/0!</v>
      </c>
      <c r="BT81" s="1" t="n">
        <f aca="false">BR81*($B81+H$13)</f>
        <v>0</v>
      </c>
      <c r="BU81" s="33" t="n">
        <f aca="false">IF(ISNUMBER(((BT81/BR81)+H$14+$V81)*BR81),((BT81/BR81)+H$14+$V81)*BR81,0)</f>
        <v>0</v>
      </c>
      <c r="BV81" s="44" t="n">
        <f aca="false">IF(BR81=0,0,bsd(1,BW$27,BS81,$Z81,$W81,$X81,$AE81,0.1))</f>
        <v>0</v>
      </c>
      <c r="BW81" s="44" t="n">
        <f aca="false">IF(BR81=0,0,bsd(2,BW$27,BS81,$Z81,$W81,$X81,$AE81,0.1))</f>
        <v>0</v>
      </c>
      <c r="BX81" s="44" t="n">
        <f aca="false">IF(BR81=0,0,bsd(BW$28,BW$27,BS81,$Z81,$W81,$X81,$AE81,0.1))</f>
        <v>0</v>
      </c>
      <c r="BY81" s="45" t="n">
        <f aca="false">BR81*BV81</f>
        <v>0</v>
      </c>
      <c r="BZ81" s="45" t="n">
        <f aca="false">BR81*BW81</f>
        <v>0</v>
      </c>
      <c r="CA81" s="45" t="n">
        <f aca="false">BR81*BX81</f>
        <v>0</v>
      </c>
    </row>
    <row r="82" customFormat="false" ht="12.75" hidden="false" customHeight="false" outlineLevel="0" collapsed="false">
      <c r="A82" s="48" t="n">
        <f aca="false">DATE(YEAR(A81),MONTH(A81)+1,1)</f>
        <v>38838</v>
      </c>
      <c r="B82" s="40" t="n">
        <f aca="false">VLOOKUP(A82,STRADDLE,5,FALSE())</f>
        <v>3.134</v>
      </c>
      <c r="C82" s="4" t="e">
        <f aca="false">VLOOKUP(A82,STRADDLE,6,FALSE())</f>
        <v>#VALUE!</v>
      </c>
      <c r="D82" s="40" t="n">
        <f aca="false">IF(D$28="nymex",0,VLOOKUP($A82,curvesettle,HLOOKUP(D$28,curvesettle,2,FALSE())))</f>
        <v>0</v>
      </c>
      <c r="E82" s="219" t="n">
        <f aca="false">IF(D$28="NYMEX",$AD82,$AC82)</f>
        <v>-7094</v>
      </c>
      <c r="F82" s="4" t="e">
        <f aca="false">($C82+G82)+B$15</f>
        <v>#DIV/0!</v>
      </c>
      <c r="G82" s="4" t="e">
        <f aca="false">IF(B$16=1,xCalcSkew(A82,H82-AL82,b)/100,0)</f>
        <v>#DIV/0!</v>
      </c>
      <c r="H82" s="41" t="n">
        <f aca="false">IF($B$19=4,$AL82,$B$18)</f>
        <v>2.44</v>
      </c>
      <c r="J82" s="40" t="n">
        <f aca="false">IF(J$28="nymex",0,VLOOKUP($A82,curvesettle,HLOOKUP(J$28,curvesettle,2,FALSE())))</f>
        <v>0</v>
      </c>
      <c r="K82" s="219" t="n">
        <f aca="false">IF(J$28="NYMEX",$AD82,$AC82)</f>
        <v>-7094</v>
      </c>
      <c r="L82" s="220" t="e">
        <f aca="false">($C82+M82)+D$15</f>
        <v>#DIV/0!</v>
      </c>
      <c r="M82" s="4" t="e">
        <f aca="false">IF(D$16=1,xCalcSkew($A82,N82-AW82,b)/100,0)</f>
        <v>#DIV/0!</v>
      </c>
      <c r="N82" s="41" t="n">
        <f aca="false">IF($D$19=4,$AW82,$D$18)</f>
        <v>2.44</v>
      </c>
      <c r="P82" s="40" t="n">
        <f aca="false">IF(P$28="nymex",0,VLOOKUP($A82,curvesettle,HLOOKUP(P$28,curvesettle,2,FALSE())))</f>
        <v>0</v>
      </c>
      <c r="Q82" s="219" t="n">
        <f aca="false">IF(P$28="NYMEX",$AD82,$AC82)</f>
        <v>-7094</v>
      </c>
      <c r="R82" s="220" t="e">
        <f aca="false">($C82+S82)+F$15</f>
        <v>#DIV/0!</v>
      </c>
      <c r="S82" s="4" t="e">
        <f aca="false">IF(F$16=1,xCalcSkew($A82,T82-BH82,b)/100,0)</f>
        <v>#DIV/0!</v>
      </c>
      <c r="T82" s="41" t="n">
        <f aca="false">IF($F$19=4,$BH82,$F$18)</f>
        <v>2.44</v>
      </c>
      <c r="V82" s="40" t="n">
        <f aca="false">IF(V$28="nymex",0,VLOOKUP($A82,curvesettle,HLOOKUP(V$28,curvesettle,2,FALSE())))</f>
        <v>0</v>
      </c>
      <c r="W82" s="219" t="n">
        <f aca="false">IF(V$28="NYMEX",$AD82,$AC82)</f>
        <v>-7094</v>
      </c>
      <c r="X82" s="4" t="e">
        <f aca="false">($C82+Y82)+H$15</f>
        <v>#DIV/0!</v>
      </c>
      <c r="Y82" s="4" t="e">
        <f aca="false">IF(H$16=1,xCalcSkew($A82,Z82-BS82,b)/100,0)</f>
        <v>#DIV/0!</v>
      </c>
      <c r="Z82" s="41" t="n">
        <f aca="false">IF($H$19=4,$BS82,$H$18)</f>
        <v>2.44</v>
      </c>
      <c r="AC82" s="219" t="n">
        <f aca="false">VLOOKUP($A82,expiration,2,FALSE())-$B$2</f>
        <v>-7093</v>
      </c>
      <c r="AD82" s="219" t="n">
        <f aca="false">VLOOKUP($A82,expiration,3,FALSE())-$B$2</f>
        <v>-7094</v>
      </c>
      <c r="AE82" s="4" t="n">
        <f aca="false">VLOOKUP($A82,STRADDLE,15,FALSE())</f>
        <v>0.0487117260353274</v>
      </c>
      <c r="AF82" s="43" t="n">
        <f aca="false">A83-A82</f>
        <v>31</v>
      </c>
      <c r="AI82" s="219"/>
      <c r="AJ82" s="9"/>
      <c r="AK82" s="9" t="n">
        <f aca="false">IF($A82&gt;=AL$25,IF($A82&lt;=AL$26,$AF82,0),0)</f>
        <v>0</v>
      </c>
      <c r="AL82" s="221" t="e">
        <f aca="false">AN82/AK82</f>
        <v>#DIV/0!</v>
      </c>
      <c r="AM82" s="1" t="n">
        <f aca="false">AK82*($B82+B$13)</f>
        <v>0</v>
      </c>
      <c r="AN82" s="33" t="n">
        <f aca="false">IF(ISNUMBER(((AM82/AK82)+B$14+$D82)*AK82),((AM82/AK82)+B$14+$D82)*AK82,0)</f>
        <v>0</v>
      </c>
      <c r="AO82" s="44" t="n">
        <f aca="false">IF(AK82=0,0,bsd(1,AP$27,AL82,$H82,$E82,$F82,$AE82,0.1))</f>
        <v>0</v>
      </c>
      <c r="AP82" s="44" t="n">
        <f aca="false">IF(AK82=0,0,bsd(2,AP$27,AL82,$H82,$E82,$F82,$AE82,0.1))</f>
        <v>0</v>
      </c>
      <c r="AQ82" s="44" t="n">
        <f aca="false">IF(AK82=0,0,bsd(AP$28,AP$27,AL82,$H82,$E82,$F82,$AE82,0.1))</f>
        <v>0</v>
      </c>
      <c r="AR82" s="45" t="n">
        <f aca="false">AK82*AO82</f>
        <v>0</v>
      </c>
      <c r="AS82" s="45" t="n">
        <f aca="false">AK82*AP82</f>
        <v>0</v>
      </c>
      <c r="AT82" s="45" t="n">
        <f aca="false">AK82*AQ82</f>
        <v>0</v>
      </c>
      <c r="AV82" s="9" t="n">
        <f aca="false">IF($A82&gt;=AW$25,IF($A82&lt;=AW$26,$AF82,0),0)</f>
        <v>0</v>
      </c>
      <c r="AW82" s="221" t="e">
        <f aca="false">AY82/AV82</f>
        <v>#DIV/0!</v>
      </c>
      <c r="AX82" s="1" t="n">
        <f aca="false">AV82*($B82+D$13)</f>
        <v>0</v>
      </c>
      <c r="AY82" s="33" t="n">
        <f aca="false">IF(ISNUMBER(((AX82/AV82)+D$14+$J82)*AV82),((AX82/AV82)+D$14+$J82)*AV82,0)</f>
        <v>0</v>
      </c>
      <c r="AZ82" s="44" t="n">
        <f aca="false">IF(AV82=0,0,bsd(1,BA$27,AW82,$N82,$K82,$L82,$AE82,0.1))</f>
        <v>0</v>
      </c>
      <c r="BA82" s="44" t="n">
        <f aca="false">IF(AV82=0,0,bsd(2,BA$27,AW82,$N82,$K82,$L82,$AE82,0.1))</f>
        <v>0</v>
      </c>
      <c r="BB82" s="44" t="n">
        <f aca="false">IF(AV82=0,0,bsd(BA$28,BA$27,AW82,$N82,$K82,$L82,$AE82,0.1))</f>
        <v>0</v>
      </c>
      <c r="BC82" s="45" t="n">
        <f aca="false">AV82*AZ82</f>
        <v>0</v>
      </c>
      <c r="BD82" s="45" t="n">
        <f aca="false">AV82*BA82</f>
        <v>0</v>
      </c>
      <c r="BE82" s="45" t="n">
        <f aca="false">AV82*BB82</f>
        <v>0</v>
      </c>
      <c r="BG82" s="9" t="n">
        <f aca="false">IF($A82&gt;=BH$25,IF($A82&lt;=BH$26,$AF82,0),0)</f>
        <v>0</v>
      </c>
      <c r="BH82" s="221" t="e">
        <f aca="false">BJ82/BG82</f>
        <v>#DIV/0!</v>
      </c>
      <c r="BI82" s="1" t="n">
        <f aca="false">BG82*($B82+F$13)</f>
        <v>0</v>
      </c>
      <c r="BJ82" s="33" t="n">
        <f aca="false">IF(ISNUMBER(((BI82/BG82)+F$14+$P82)*BG82),((BI82/BG82)+F$14+$P82)*BG82,0)</f>
        <v>0</v>
      </c>
      <c r="BK82" s="44" t="n">
        <f aca="false">IF(BG82=0,0,bsd(1,BL$27,BH82,$T82,$Q82,$R82,$AE82,0.1))</f>
        <v>0</v>
      </c>
      <c r="BL82" s="44" t="n">
        <f aca="false">IF(BG82=0,0,bsd(2,BL$27,BH82,$T82,$Q82,$R82,$AE82,0.1))</f>
        <v>0</v>
      </c>
      <c r="BM82" s="44" t="n">
        <f aca="false">IF(BG82=0,0,bsd(BL$28,BL$27,BH82,$T82,$Q82,$R82,$AE82,0.1))</f>
        <v>0</v>
      </c>
      <c r="BN82" s="45" t="n">
        <f aca="false">BG82*BK82</f>
        <v>0</v>
      </c>
      <c r="BO82" s="45" t="n">
        <f aca="false">BG82*BL82</f>
        <v>0</v>
      </c>
      <c r="BP82" s="45" t="n">
        <f aca="false">BG82*BM82</f>
        <v>0</v>
      </c>
      <c r="BR82" s="9" t="n">
        <f aca="false">IF($A82&gt;=BS$25,IF($A82&lt;=BS$26,$AF82,0),0)</f>
        <v>0</v>
      </c>
      <c r="BS82" s="221" t="e">
        <f aca="false">BU82/BR82</f>
        <v>#DIV/0!</v>
      </c>
      <c r="BT82" s="1" t="n">
        <f aca="false">BR82*($B82+H$13)</f>
        <v>0</v>
      </c>
      <c r="BU82" s="33" t="n">
        <f aca="false">IF(ISNUMBER(((BT82/BR82)+H$14+$V82)*BR82),((BT82/BR82)+H$14+$V82)*BR82,0)</f>
        <v>0</v>
      </c>
      <c r="BV82" s="44" t="n">
        <f aca="false">IF(BR82=0,0,bsd(1,BW$27,BS82,$Z82,$W82,$X82,$AE82,0.1))</f>
        <v>0</v>
      </c>
      <c r="BW82" s="44" t="n">
        <f aca="false">IF(BR82=0,0,bsd(2,BW$27,BS82,$Z82,$W82,$X82,$AE82,0.1))</f>
        <v>0</v>
      </c>
      <c r="BX82" s="44" t="n">
        <f aca="false">IF(BR82=0,0,bsd(BW$28,BW$27,BS82,$Z82,$W82,$X82,$AE82,0.1))</f>
        <v>0</v>
      </c>
      <c r="BY82" s="45" t="n">
        <f aca="false">BR82*BV82</f>
        <v>0</v>
      </c>
      <c r="BZ82" s="45" t="n">
        <f aca="false">BR82*BW82</f>
        <v>0</v>
      </c>
      <c r="CA82" s="45" t="n">
        <f aca="false">BR82*BX82</f>
        <v>0</v>
      </c>
    </row>
    <row r="83" customFormat="false" ht="12.75" hidden="false" customHeight="false" outlineLevel="0" collapsed="false">
      <c r="A83" s="48" t="n">
        <f aca="false">DATE(YEAR(A82),MONTH(A82)+1,1)</f>
        <v>38869</v>
      </c>
      <c r="B83" s="40" t="n">
        <f aca="false">VLOOKUP(A83,STRADDLE,5,FALSE())</f>
        <v>3.174</v>
      </c>
      <c r="C83" s="4" t="e">
        <f aca="false">VLOOKUP(A83,STRADDLE,6,FALSE())</f>
        <v>#VALUE!</v>
      </c>
      <c r="D83" s="40" t="n">
        <f aca="false">IF(D$28="nymex",0,VLOOKUP($A83,curvesettle,HLOOKUP(D$28,curvesettle,2,FALSE())))</f>
        <v>0</v>
      </c>
      <c r="E83" s="219" t="n">
        <f aca="false">IF(D$28="NYMEX",$AD83,$AC83)</f>
        <v>-7064</v>
      </c>
      <c r="F83" s="4" t="e">
        <f aca="false">($C83+G83)+B$15</f>
        <v>#DIV/0!</v>
      </c>
      <c r="G83" s="4" t="e">
        <f aca="false">IF(B$16=1,xCalcSkew(A83,H83-AL83,b)/100,0)</f>
        <v>#DIV/0!</v>
      </c>
      <c r="H83" s="41" t="n">
        <f aca="false">IF($B$19=4,$AL83,$B$18)</f>
        <v>2.44</v>
      </c>
      <c r="J83" s="40" t="n">
        <f aca="false">IF(J$28="nymex",0,VLOOKUP($A83,curvesettle,HLOOKUP(J$28,curvesettle,2,FALSE())))</f>
        <v>0</v>
      </c>
      <c r="K83" s="219" t="n">
        <f aca="false">IF(J$28="NYMEX",$AD83,$AC83)</f>
        <v>-7064</v>
      </c>
      <c r="L83" s="220" t="e">
        <f aca="false">($C83+M83)+D$15</f>
        <v>#DIV/0!</v>
      </c>
      <c r="M83" s="4" t="e">
        <f aca="false">IF(D$16=1,xCalcSkew($A83,N83-AW83,b)/100,0)</f>
        <v>#DIV/0!</v>
      </c>
      <c r="N83" s="41" t="n">
        <f aca="false">IF($D$19=4,$AW83,$D$18)</f>
        <v>2.44</v>
      </c>
      <c r="P83" s="40" t="n">
        <f aca="false">IF(P$28="nymex",0,VLOOKUP($A83,curvesettle,HLOOKUP(P$28,curvesettle,2,FALSE())))</f>
        <v>0</v>
      </c>
      <c r="Q83" s="219" t="n">
        <f aca="false">IF(P$28="NYMEX",$AD83,$AC83)</f>
        <v>-7064</v>
      </c>
      <c r="R83" s="220" t="e">
        <f aca="false">($C83+S83)+F$15</f>
        <v>#DIV/0!</v>
      </c>
      <c r="S83" s="4" t="e">
        <f aca="false">IF(F$16=1,xCalcSkew($A83,T83-BH83,b)/100,0)</f>
        <v>#DIV/0!</v>
      </c>
      <c r="T83" s="41" t="n">
        <f aca="false">IF($F$19=4,$BH83,$F$18)</f>
        <v>2.44</v>
      </c>
      <c r="V83" s="40" t="n">
        <f aca="false">IF(V$28="nymex",0,VLOOKUP($A83,curvesettle,HLOOKUP(V$28,curvesettle,2,FALSE())))</f>
        <v>0</v>
      </c>
      <c r="W83" s="219" t="n">
        <f aca="false">IF(V$28="NYMEX",$AD83,$AC83)</f>
        <v>-7064</v>
      </c>
      <c r="X83" s="4" t="e">
        <f aca="false">($C83+Y83)+H$15</f>
        <v>#DIV/0!</v>
      </c>
      <c r="Y83" s="4" t="e">
        <f aca="false">IF(H$16=1,xCalcSkew($A83,Z83-BS83,b)/100,0)</f>
        <v>#DIV/0!</v>
      </c>
      <c r="Z83" s="41" t="n">
        <f aca="false">IF($H$19=4,$BS83,$H$18)</f>
        <v>2.44</v>
      </c>
      <c r="AC83" s="219" t="n">
        <f aca="false">VLOOKUP($A83,expiration,2,FALSE())-$B$2</f>
        <v>-7063</v>
      </c>
      <c r="AD83" s="219" t="n">
        <f aca="false">VLOOKUP($A83,expiration,3,FALSE())-$B$2</f>
        <v>-7064</v>
      </c>
      <c r="AE83" s="4" t="n">
        <f aca="false">VLOOKUP($A83,STRADDLE,15,FALSE())</f>
        <v>0.0490122788324676</v>
      </c>
      <c r="AF83" s="43" t="n">
        <f aca="false">A84-A83</f>
        <v>30</v>
      </c>
      <c r="AI83" s="219"/>
      <c r="AJ83" s="9"/>
      <c r="AK83" s="9" t="n">
        <f aca="false">IF($A83&gt;=AL$25,IF($A83&lt;=AL$26,$AF83,0),0)</f>
        <v>0</v>
      </c>
      <c r="AL83" s="221" t="e">
        <f aca="false">AN83/AK83</f>
        <v>#DIV/0!</v>
      </c>
      <c r="AM83" s="1" t="n">
        <f aca="false">AK83*($B83+B$13)</f>
        <v>0</v>
      </c>
      <c r="AN83" s="33" t="n">
        <f aca="false">IF(ISNUMBER(((AM83/AK83)+B$14+$D83)*AK83),((AM83/AK83)+B$14+$D83)*AK83,0)</f>
        <v>0</v>
      </c>
      <c r="AO83" s="44" t="n">
        <f aca="false">IF(AK83=0,0,bsd(1,AP$27,AL83,$H83,$E83,$F83,$AE83,0.1))</f>
        <v>0</v>
      </c>
      <c r="AP83" s="44" t="n">
        <f aca="false">IF(AK83=0,0,bsd(2,AP$27,AL83,$H83,$E83,$F83,$AE83,0.1))</f>
        <v>0</v>
      </c>
      <c r="AQ83" s="44" t="n">
        <f aca="false">IF(AK83=0,0,bsd(AP$28,AP$27,AL83,$H83,$E83,$F83,$AE83,0.1))</f>
        <v>0</v>
      </c>
      <c r="AR83" s="45" t="n">
        <f aca="false">AK83*AO83</f>
        <v>0</v>
      </c>
      <c r="AS83" s="45" t="n">
        <f aca="false">AK83*AP83</f>
        <v>0</v>
      </c>
      <c r="AT83" s="45" t="n">
        <f aca="false">AK83*AQ83</f>
        <v>0</v>
      </c>
      <c r="AV83" s="9" t="n">
        <f aca="false">IF($A83&gt;=AW$25,IF($A83&lt;=AW$26,$AF83,0),0)</f>
        <v>0</v>
      </c>
      <c r="AW83" s="221" t="e">
        <f aca="false">AY83/AV83</f>
        <v>#DIV/0!</v>
      </c>
      <c r="AX83" s="1" t="n">
        <f aca="false">AV83*($B83+D$13)</f>
        <v>0</v>
      </c>
      <c r="AY83" s="33" t="n">
        <f aca="false">IF(ISNUMBER(((AX83/AV83)+D$14+$J83)*AV83),((AX83/AV83)+D$14+$J83)*AV83,0)</f>
        <v>0</v>
      </c>
      <c r="AZ83" s="44" t="n">
        <f aca="false">IF(AV83=0,0,bsd(1,BA$27,AW83,$N83,$K83,$L83,$AE83,0.1))</f>
        <v>0</v>
      </c>
      <c r="BA83" s="44" t="n">
        <f aca="false">IF(AV83=0,0,bsd(2,BA$27,AW83,$N83,$K83,$L83,$AE83,0.1))</f>
        <v>0</v>
      </c>
      <c r="BB83" s="44" t="n">
        <f aca="false">IF(AV83=0,0,bsd(BA$28,BA$27,AW83,$N83,$K83,$L83,$AE83,0.1))</f>
        <v>0</v>
      </c>
      <c r="BC83" s="45" t="n">
        <f aca="false">AV83*AZ83</f>
        <v>0</v>
      </c>
      <c r="BD83" s="45" t="n">
        <f aca="false">AV83*BA83</f>
        <v>0</v>
      </c>
      <c r="BE83" s="45" t="n">
        <f aca="false">AV83*BB83</f>
        <v>0</v>
      </c>
      <c r="BG83" s="9" t="n">
        <f aca="false">IF($A83&gt;=BH$25,IF($A83&lt;=BH$26,$AF83,0),0)</f>
        <v>0</v>
      </c>
      <c r="BH83" s="221" t="e">
        <f aca="false">BJ83/BG83</f>
        <v>#DIV/0!</v>
      </c>
      <c r="BI83" s="1" t="n">
        <f aca="false">BG83*($B83+F$13)</f>
        <v>0</v>
      </c>
      <c r="BJ83" s="33" t="n">
        <f aca="false">IF(ISNUMBER(((BI83/BG83)+F$14+$P83)*BG83),((BI83/BG83)+F$14+$P83)*BG83,0)</f>
        <v>0</v>
      </c>
      <c r="BK83" s="44" t="n">
        <f aca="false">IF(BG83=0,0,bsd(1,BL$27,BH83,$T83,$Q83,$R83,$AE83,0.1))</f>
        <v>0</v>
      </c>
      <c r="BL83" s="44" t="n">
        <f aca="false">IF(BG83=0,0,bsd(2,BL$27,BH83,$T83,$Q83,$R83,$AE83,0.1))</f>
        <v>0</v>
      </c>
      <c r="BM83" s="44" t="n">
        <f aca="false">IF(BG83=0,0,bsd(BL$28,BL$27,BH83,$T83,$Q83,$R83,$AE83,0.1))</f>
        <v>0</v>
      </c>
      <c r="BN83" s="45" t="n">
        <f aca="false">BG83*BK83</f>
        <v>0</v>
      </c>
      <c r="BO83" s="45" t="n">
        <f aca="false">BG83*BL83</f>
        <v>0</v>
      </c>
      <c r="BP83" s="45" t="n">
        <f aca="false">BG83*BM83</f>
        <v>0</v>
      </c>
      <c r="BR83" s="9" t="n">
        <f aca="false">IF($A83&gt;=BS$25,IF($A83&lt;=BS$26,$AF83,0),0)</f>
        <v>0</v>
      </c>
      <c r="BS83" s="221" t="e">
        <f aca="false">BU83/BR83</f>
        <v>#DIV/0!</v>
      </c>
      <c r="BT83" s="1" t="n">
        <f aca="false">BR83*($B83+H$13)</f>
        <v>0</v>
      </c>
      <c r="BU83" s="33" t="n">
        <f aca="false">IF(ISNUMBER(((BT83/BR83)+H$14+$V83)*BR83),((BT83/BR83)+H$14+$V83)*BR83,0)</f>
        <v>0</v>
      </c>
      <c r="BV83" s="44" t="n">
        <f aca="false">IF(BR83=0,0,bsd(1,BW$27,BS83,$Z83,$W83,$X83,$AE83,0.1))</f>
        <v>0</v>
      </c>
      <c r="BW83" s="44" t="n">
        <f aca="false">IF(BR83=0,0,bsd(2,BW$27,BS83,$Z83,$W83,$X83,$AE83,0.1))</f>
        <v>0</v>
      </c>
      <c r="BX83" s="44" t="n">
        <f aca="false">IF(BR83=0,0,bsd(BW$28,BW$27,BS83,$Z83,$W83,$X83,$AE83,0.1))</f>
        <v>0</v>
      </c>
      <c r="BY83" s="45" t="n">
        <f aca="false">BR83*BV83</f>
        <v>0</v>
      </c>
      <c r="BZ83" s="45" t="n">
        <f aca="false">BR83*BW83</f>
        <v>0</v>
      </c>
      <c r="CA83" s="45" t="n">
        <f aca="false">BR83*BX83</f>
        <v>0</v>
      </c>
    </row>
    <row r="84" customFormat="false" ht="12.75" hidden="false" customHeight="false" outlineLevel="0" collapsed="false">
      <c r="A84" s="48" t="n">
        <f aca="false">DATE(YEAR(A83),MONTH(A83)+1,1)</f>
        <v>38899</v>
      </c>
      <c r="B84" s="40" t="n">
        <f aca="false">VLOOKUP(A84,STRADDLE,5,FALSE())</f>
        <v>3.214</v>
      </c>
      <c r="C84" s="4" t="e">
        <f aca="false">VLOOKUP(A84,STRADDLE,6,FALSE())</f>
        <v>#VALUE!</v>
      </c>
      <c r="D84" s="40" t="n">
        <f aca="false">IF(D$28="nymex",0,VLOOKUP($A84,curvesettle,HLOOKUP(D$28,curvesettle,2,FALSE())))</f>
        <v>0</v>
      </c>
      <c r="E84" s="219" t="n">
        <f aca="false">IF(D$28="NYMEX",$AD84,$AC84)</f>
        <v>-7031</v>
      </c>
      <c r="F84" s="4" t="e">
        <f aca="false">($C84+G84)+B$15</f>
        <v>#DIV/0!</v>
      </c>
      <c r="G84" s="4" t="e">
        <f aca="false">IF(B$16=1,xCalcSkew(A84,H84-AL84,b)/100,0)</f>
        <v>#DIV/0!</v>
      </c>
      <c r="H84" s="41" t="n">
        <f aca="false">IF($B$19=4,$AL84,$B$18)</f>
        <v>2.44</v>
      </c>
      <c r="J84" s="40" t="n">
        <f aca="false">IF(J$28="nymex",0,VLOOKUP($A84,curvesettle,HLOOKUP(J$28,curvesettle,2,FALSE())))</f>
        <v>0</v>
      </c>
      <c r="K84" s="219" t="n">
        <f aca="false">IF(J$28="NYMEX",$AD84,$AC84)</f>
        <v>-7031</v>
      </c>
      <c r="L84" s="220" t="e">
        <f aca="false">($C84+M84)+D$15</f>
        <v>#DIV/0!</v>
      </c>
      <c r="M84" s="4" t="e">
        <f aca="false">IF(D$16=1,xCalcSkew($A84,N84-AW84,b)/100,0)</f>
        <v>#DIV/0!</v>
      </c>
      <c r="N84" s="41" t="n">
        <f aca="false">IF($D$19=4,$AW84,$D$18)</f>
        <v>2.44</v>
      </c>
      <c r="P84" s="40" t="n">
        <f aca="false">IF(P$28="nymex",0,VLOOKUP($A84,curvesettle,HLOOKUP(P$28,curvesettle,2,FALSE())))</f>
        <v>0</v>
      </c>
      <c r="Q84" s="219" t="n">
        <f aca="false">IF(P$28="NYMEX",$AD84,$AC84)</f>
        <v>-7031</v>
      </c>
      <c r="R84" s="220" t="e">
        <f aca="false">($C84+S84)+F$15</f>
        <v>#DIV/0!</v>
      </c>
      <c r="S84" s="4" t="e">
        <f aca="false">IF(F$16=1,xCalcSkew($A84,T84-BH84,b)/100,0)</f>
        <v>#DIV/0!</v>
      </c>
      <c r="T84" s="41" t="n">
        <f aca="false">IF($F$19=4,$BH84,$F$18)</f>
        <v>2.44</v>
      </c>
      <c r="V84" s="40" t="n">
        <f aca="false">IF(V$28="nymex",0,VLOOKUP($A84,curvesettle,HLOOKUP(V$28,curvesettle,2,FALSE())))</f>
        <v>0</v>
      </c>
      <c r="W84" s="219" t="n">
        <f aca="false">IF(V$28="NYMEX",$AD84,$AC84)</f>
        <v>-7031</v>
      </c>
      <c r="X84" s="4" t="e">
        <f aca="false">($C84+Y84)+H$15</f>
        <v>#DIV/0!</v>
      </c>
      <c r="Y84" s="4" t="e">
        <f aca="false">IF(H$16=1,xCalcSkew($A84,Z84-BS84,b)/100,0)</f>
        <v>#DIV/0!</v>
      </c>
      <c r="Z84" s="41" t="n">
        <f aca="false">IF($H$19=4,$BS84,$H$18)</f>
        <v>2.44</v>
      </c>
      <c r="AC84" s="219" t="n">
        <f aca="false">VLOOKUP($A84,expiration,2,FALSE())-$B$2</f>
        <v>-7030</v>
      </c>
      <c r="AD84" s="219" t="n">
        <f aca="false">VLOOKUP($A84,expiration,3,FALSE())-$B$2</f>
        <v>-7031</v>
      </c>
      <c r="AE84" s="4" t="n">
        <f aca="false">VLOOKUP($A84,STRADDLE,15,FALSE())</f>
        <v>0.0493228500878793</v>
      </c>
      <c r="AF84" s="43" t="n">
        <f aca="false">A85-A84</f>
        <v>31</v>
      </c>
      <c r="AI84" s="219"/>
      <c r="AJ84" s="9"/>
      <c r="AK84" s="9" t="n">
        <f aca="false">IF($A84&gt;=AL$25,IF($A84&lt;=AL$26,$AF84,0),0)</f>
        <v>0</v>
      </c>
      <c r="AL84" s="221" t="e">
        <f aca="false">AN84/AK84</f>
        <v>#DIV/0!</v>
      </c>
      <c r="AM84" s="1" t="n">
        <f aca="false">AK84*($B84+B$13)</f>
        <v>0</v>
      </c>
      <c r="AN84" s="33" t="n">
        <f aca="false">IF(ISNUMBER(((AM84/AK84)+B$14+$D84)*AK84),((AM84/AK84)+B$14+$D84)*AK84,0)</f>
        <v>0</v>
      </c>
      <c r="AO84" s="44" t="n">
        <f aca="false">IF(AK84=0,0,bsd(1,AP$27,AL84,$H84,$E84,$F84,$AE84,0.1))</f>
        <v>0</v>
      </c>
      <c r="AP84" s="44" t="n">
        <f aca="false">IF(AK84=0,0,bsd(2,AP$27,AL84,$H84,$E84,$F84,$AE84,0.1))</f>
        <v>0</v>
      </c>
      <c r="AQ84" s="44" t="n">
        <f aca="false">IF(AK84=0,0,bsd(AP$28,AP$27,AL84,$H84,$E84,$F84,$AE84,0.1))</f>
        <v>0</v>
      </c>
      <c r="AR84" s="45" t="n">
        <f aca="false">AK84*AO84</f>
        <v>0</v>
      </c>
      <c r="AS84" s="45" t="n">
        <f aca="false">AK84*AP84</f>
        <v>0</v>
      </c>
      <c r="AT84" s="45" t="n">
        <f aca="false">AK84*AQ84</f>
        <v>0</v>
      </c>
      <c r="AV84" s="9" t="n">
        <f aca="false">IF($A84&gt;=AW$25,IF($A84&lt;=AW$26,$AF84,0),0)</f>
        <v>0</v>
      </c>
      <c r="AW84" s="221" t="e">
        <f aca="false">AY84/AV84</f>
        <v>#DIV/0!</v>
      </c>
      <c r="AX84" s="1" t="n">
        <f aca="false">AV84*($B84+D$13)</f>
        <v>0</v>
      </c>
      <c r="AY84" s="33" t="n">
        <f aca="false">IF(ISNUMBER(((AX84/AV84)+D$14+$J84)*AV84),((AX84/AV84)+D$14+$J84)*AV84,0)</f>
        <v>0</v>
      </c>
      <c r="AZ84" s="44" t="n">
        <f aca="false">IF(AV84=0,0,bsd(1,BA$27,AW84,$N84,$K84,$L84,$AE84,0.1))</f>
        <v>0</v>
      </c>
      <c r="BA84" s="44" t="n">
        <f aca="false">IF(AV84=0,0,bsd(2,BA$27,AW84,$N84,$K84,$L84,$AE84,0.1))</f>
        <v>0</v>
      </c>
      <c r="BB84" s="44" t="n">
        <f aca="false">IF(AV84=0,0,bsd(BA$28,BA$27,AW84,$N84,$K84,$L84,$AE84,0.1))</f>
        <v>0</v>
      </c>
      <c r="BC84" s="45" t="n">
        <f aca="false">AV84*AZ84</f>
        <v>0</v>
      </c>
      <c r="BD84" s="45" t="n">
        <f aca="false">AV84*BA84</f>
        <v>0</v>
      </c>
      <c r="BE84" s="45" t="n">
        <f aca="false">AV84*BB84</f>
        <v>0</v>
      </c>
      <c r="BG84" s="9" t="n">
        <f aca="false">IF($A84&gt;=BH$25,IF($A84&lt;=BH$26,$AF84,0),0)</f>
        <v>0</v>
      </c>
      <c r="BH84" s="221" t="e">
        <f aca="false">BJ84/BG84</f>
        <v>#DIV/0!</v>
      </c>
      <c r="BI84" s="1" t="n">
        <f aca="false">BG84*($B84+F$13)</f>
        <v>0</v>
      </c>
      <c r="BJ84" s="33" t="n">
        <f aca="false">IF(ISNUMBER(((BI84/BG84)+F$14+$P84)*BG84),((BI84/BG84)+F$14+$P84)*BG84,0)</f>
        <v>0</v>
      </c>
      <c r="BK84" s="44" t="n">
        <f aca="false">IF(BG84=0,0,bsd(1,BL$27,BH84,$T84,$Q84,$R84,$AE84,0.1))</f>
        <v>0</v>
      </c>
      <c r="BL84" s="44" t="n">
        <f aca="false">IF(BG84=0,0,bsd(2,BL$27,BH84,$T84,$Q84,$R84,$AE84,0.1))</f>
        <v>0</v>
      </c>
      <c r="BM84" s="44" t="n">
        <f aca="false">IF(BG84=0,0,bsd(BL$28,BL$27,BH84,$T84,$Q84,$R84,$AE84,0.1))</f>
        <v>0</v>
      </c>
      <c r="BN84" s="45" t="n">
        <f aca="false">BG84*BK84</f>
        <v>0</v>
      </c>
      <c r="BO84" s="45" t="n">
        <f aca="false">BG84*BL84</f>
        <v>0</v>
      </c>
      <c r="BP84" s="45" t="n">
        <f aca="false">BG84*BM84</f>
        <v>0</v>
      </c>
      <c r="BR84" s="9" t="n">
        <f aca="false">IF($A84&gt;=BS$25,IF($A84&lt;=BS$26,$AF84,0),0)</f>
        <v>0</v>
      </c>
      <c r="BS84" s="221" t="e">
        <f aca="false">BU84/BR84</f>
        <v>#DIV/0!</v>
      </c>
      <c r="BT84" s="1" t="n">
        <f aca="false">BR84*($B84+H$13)</f>
        <v>0</v>
      </c>
      <c r="BU84" s="33" t="n">
        <f aca="false">IF(ISNUMBER(((BT84/BR84)+H$14+$V84)*BR84),((BT84/BR84)+H$14+$V84)*BR84,0)</f>
        <v>0</v>
      </c>
      <c r="BV84" s="44" t="n">
        <f aca="false">IF(BR84=0,0,bsd(1,BW$27,BS84,$Z84,$W84,$X84,$AE84,0.1))</f>
        <v>0</v>
      </c>
      <c r="BW84" s="44" t="n">
        <f aca="false">IF(BR84=0,0,bsd(2,BW$27,BS84,$Z84,$W84,$X84,$AE84,0.1))</f>
        <v>0</v>
      </c>
      <c r="BX84" s="44" t="n">
        <f aca="false">IF(BR84=0,0,bsd(BW$28,BW$27,BS84,$Z84,$W84,$X84,$AE84,0.1))</f>
        <v>0</v>
      </c>
      <c r="BY84" s="45" t="n">
        <f aca="false">BR84*BV84</f>
        <v>0</v>
      </c>
      <c r="BZ84" s="45" t="n">
        <f aca="false">BR84*BW84</f>
        <v>0</v>
      </c>
      <c r="CA84" s="45" t="n">
        <f aca="false">BR84*BX84</f>
        <v>0</v>
      </c>
    </row>
    <row r="85" customFormat="false" ht="12.75" hidden="false" customHeight="false" outlineLevel="0" collapsed="false">
      <c r="A85" s="48" t="n">
        <f aca="false">DATE(YEAR(A84),MONTH(A84)+1,1)</f>
        <v>38930</v>
      </c>
      <c r="B85" s="40" t="n">
        <f aca="false">VLOOKUP(A85,STRADDLE,5,FALSE())</f>
        <v>3.264</v>
      </c>
      <c r="C85" s="4" t="e">
        <f aca="false">VLOOKUP(A85,STRADDLE,6,FALSE())</f>
        <v>#VALUE!</v>
      </c>
      <c r="D85" s="40" t="n">
        <f aca="false">IF(D$28="nymex",0,VLOOKUP($A85,curvesettle,HLOOKUP(D$28,curvesettle,2,FALSE())))</f>
        <v>0</v>
      </c>
      <c r="E85" s="219" t="n">
        <f aca="false">IF(D$28="NYMEX",$AD85,$AC85)</f>
        <v>-7002</v>
      </c>
      <c r="F85" s="4" t="e">
        <f aca="false">($C85+G85)+B$15</f>
        <v>#DIV/0!</v>
      </c>
      <c r="G85" s="4" t="e">
        <f aca="false">IF(B$16=1,xCalcSkew(A85,H85-AL85,b)/100,0)</f>
        <v>#DIV/0!</v>
      </c>
      <c r="H85" s="41" t="n">
        <f aca="false">IF($B$19=4,$AL85,$B$18)</f>
        <v>2.44</v>
      </c>
      <c r="J85" s="40" t="n">
        <f aca="false">IF(J$28="nymex",0,VLOOKUP($A85,curvesettle,HLOOKUP(J$28,curvesettle,2,FALSE())))</f>
        <v>0</v>
      </c>
      <c r="K85" s="219" t="n">
        <f aca="false">IF(J$28="NYMEX",$AD85,$AC85)</f>
        <v>-7002</v>
      </c>
      <c r="L85" s="220" t="e">
        <f aca="false">($C85+M85)+D$15</f>
        <v>#DIV/0!</v>
      </c>
      <c r="M85" s="4" t="e">
        <f aca="false">IF(D$16=1,xCalcSkew($A85,N85-AW85,b)/100,0)</f>
        <v>#DIV/0!</v>
      </c>
      <c r="N85" s="41" t="n">
        <f aca="false">IF($D$19=4,$AW85,$D$18)</f>
        <v>2.44</v>
      </c>
      <c r="P85" s="40" t="n">
        <f aca="false">IF(P$28="nymex",0,VLOOKUP($A85,curvesettle,HLOOKUP(P$28,curvesettle,2,FALSE())))</f>
        <v>0</v>
      </c>
      <c r="Q85" s="219" t="n">
        <f aca="false">IF(P$28="NYMEX",$AD85,$AC85)</f>
        <v>-7002</v>
      </c>
      <c r="R85" s="220" t="e">
        <f aca="false">($C85+S85)+F$15</f>
        <v>#DIV/0!</v>
      </c>
      <c r="S85" s="4" t="e">
        <f aca="false">IF(F$16=1,xCalcSkew($A85,T85-BH85,b)/100,0)</f>
        <v>#DIV/0!</v>
      </c>
      <c r="T85" s="41" t="n">
        <f aca="false">IF($F$19=4,$BH85,$F$18)</f>
        <v>2.44</v>
      </c>
      <c r="V85" s="40" t="n">
        <f aca="false">IF(V$28="nymex",0,VLOOKUP($A85,curvesettle,HLOOKUP(V$28,curvesettle,2,FALSE())))</f>
        <v>0</v>
      </c>
      <c r="W85" s="219" t="n">
        <f aca="false">IF(V$28="NYMEX",$AD85,$AC85)</f>
        <v>-7002</v>
      </c>
      <c r="X85" s="4" t="e">
        <f aca="false">($C85+Y85)+H$15</f>
        <v>#DIV/0!</v>
      </c>
      <c r="Y85" s="4" t="e">
        <f aca="false">IF(H$16=1,xCalcSkew($A85,Z85-BS85,b)/100,0)</f>
        <v>#DIV/0!</v>
      </c>
      <c r="Z85" s="41" t="n">
        <f aca="false">IF($H$19=4,$BS85,$H$18)</f>
        <v>2.44</v>
      </c>
      <c r="AC85" s="219" t="n">
        <f aca="false">VLOOKUP($A85,expiration,2,FALSE())-$B$2</f>
        <v>-7001</v>
      </c>
      <c r="AD85" s="219" t="n">
        <f aca="false">VLOOKUP($A85,expiration,3,FALSE())-$B$2</f>
        <v>-7002</v>
      </c>
      <c r="AE85" s="4" t="n">
        <f aca="false">VLOOKUP($A85,STRADDLE,15,FALSE())</f>
        <v>0.04962340294637</v>
      </c>
      <c r="AF85" s="43" t="n">
        <f aca="false">A86-A85</f>
        <v>31</v>
      </c>
      <c r="AI85" s="219"/>
      <c r="AJ85" s="9"/>
      <c r="AK85" s="9" t="n">
        <f aca="false">IF($A85&gt;=AL$25,IF($A85&lt;=AL$26,$AF85,0),0)</f>
        <v>0</v>
      </c>
      <c r="AL85" s="221" t="e">
        <f aca="false">AN85/AK85</f>
        <v>#DIV/0!</v>
      </c>
      <c r="AM85" s="1" t="n">
        <f aca="false">AK85*($B85+B$13)</f>
        <v>0</v>
      </c>
      <c r="AN85" s="33" t="n">
        <f aca="false">IF(ISNUMBER(((AM85/AK85)+B$14+$D85)*AK85),((AM85/AK85)+B$14+$D85)*AK85,0)</f>
        <v>0</v>
      </c>
      <c r="AO85" s="44" t="n">
        <f aca="false">IF(AK85=0,0,bsd(1,AP$27,AL85,$H85,$E85,$F85,$AE85,0.1))</f>
        <v>0</v>
      </c>
      <c r="AP85" s="44" t="n">
        <f aca="false">IF(AK85=0,0,bsd(2,AP$27,AL85,$H85,$E85,$F85,$AE85,0.1))</f>
        <v>0</v>
      </c>
      <c r="AQ85" s="44" t="n">
        <f aca="false">IF(AK85=0,0,bsd(AP$28,AP$27,AL85,$H85,$E85,$F85,$AE85,0.1))</f>
        <v>0</v>
      </c>
      <c r="AR85" s="45" t="n">
        <f aca="false">AK85*AO85</f>
        <v>0</v>
      </c>
      <c r="AS85" s="45" t="n">
        <f aca="false">AK85*AP85</f>
        <v>0</v>
      </c>
      <c r="AT85" s="45" t="n">
        <f aca="false">AK85*AQ85</f>
        <v>0</v>
      </c>
      <c r="AV85" s="9" t="n">
        <f aca="false">IF($A85&gt;=AW$25,IF($A85&lt;=AW$26,$AF85,0),0)</f>
        <v>0</v>
      </c>
      <c r="AW85" s="221" t="e">
        <f aca="false">AY85/AV85</f>
        <v>#DIV/0!</v>
      </c>
      <c r="AX85" s="1" t="n">
        <f aca="false">AV85*($B85+D$13)</f>
        <v>0</v>
      </c>
      <c r="AY85" s="33" t="n">
        <f aca="false">IF(ISNUMBER(((AX85/AV85)+D$14+$J85)*AV85),((AX85/AV85)+D$14+$J85)*AV85,0)</f>
        <v>0</v>
      </c>
      <c r="AZ85" s="44" t="n">
        <f aca="false">IF(AV85=0,0,bsd(1,BA$27,AW85,$N85,$K85,$L85,$AE85,0.1))</f>
        <v>0</v>
      </c>
      <c r="BA85" s="44" t="n">
        <f aca="false">IF(AV85=0,0,bsd(2,BA$27,AW85,$N85,$K85,$L85,$AE85,0.1))</f>
        <v>0</v>
      </c>
      <c r="BB85" s="44" t="n">
        <f aca="false">IF(AV85=0,0,bsd(BA$28,BA$27,AW85,$N85,$K85,$L85,$AE85,0.1))</f>
        <v>0</v>
      </c>
      <c r="BC85" s="45" t="n">
        <f aca="false">AV85*AZ85</f>
        <v>0</v>
      </c>
      <c r="BD85" s="45" t="n">
        <f aca="false">AV85*BA85</f>
        <v>0</v>
      </c>
      <c r="BE85" s="45" t="n">
        <f aca="false">AV85*BB85</f>
        <v>0</v>
      </c>
      <c r="BG85" s="9" t="n">
        <f aca="false">IF($A85&gt;=BH$25,IF($A85&lt;=BH$26,$AF85,0),0)</f>
        <v>0</v>
      </c>
      <c r="BH85" s="221" t="e">
        <f aca="false">BJ85/BG85</f>
        <v>#DIV/0!</v>
      </c>
      <c r="BI85" s="1" t="n">
        <f aca="false">BG85*($B85+F$13)</f>
        <v>0</v>
      </c>
      <c r="BJ85" s="33" t="n">
        <f aca="false">IF(ISNUMBER(((BI85/BG85)+F$14+$P85)*BG85),((BI85/BG85)+F$14+$P85)*BG85,0)</f>
        <v>0</v>
      </c>
      <c r="BK85" s="44" t="n">
        <f aca="false">IF(BG85=0,0,bsd(1,BL$27,BH85,$T85,$Q85,$R85,$AE85,0.1))</f>
        <v>0</v>
      </c>
      <c r="BL85" s="44" t="n">
        <f aca="false">IF(BG85=0,0,bsd(2,BL$27,BH85,$T85,$Q85,$R85,$AE85,0.1))</f>
        <v>0</v>
      </c>
      <c r="BM85" s="44" t="n">
        <f aca="false">IF(BG85=0,0,bsd(BL$28,BL$27,BH85,$T85,$Q85,$R85,$AE85,0.1))</f>
        <v>0</v>
      </c>
      <c r="BN85" s="45" t="n">
        <f aca="false">BG85*BK85</f>
        <v>0</v>
      </c>
      <c r="BO85" s="45" t="n">
        <f aca="false">BG85*BL85</f>
        <v>0</v>
      </c>
      <c r="BP85" s="45" t="n">
        <f aca="false">BG85*BM85</f>
        <v>0</v>
      </c>
      <c r="BR85" s="9" t="n">
        <f aca="false">IF($A85&gt;=BS$25,IF($A85&lt;=BS$26,$AF85,0),0)</f>
        <v>0</v>
      </c>
      <c r="BS85" s="221" t="e">
        <f aca="false">BU85/BR85</f>
        <v>#DIV/0!</v>
      </c>
      <c r="BT85" s="1" t="n">
        <f aca="false">BR85*($B85+H$13)</f>
        <v>0</v>
      </c>
      <c r="BU85" s="33" t="n">
        <f aca="false">IF(ISNUMBER(((BT85/BR85)+H$14+$V85)*BR85),((BT85/BR85)+H$14+$V85)*BR85,0)</f>
        <v>0</v>
      </c>
      <c r="BV85" s="44" t="n">
        <f aca="false">IF(BR85=0,0,bsd(1,BW$27,BS85,$Z85,$W85,$X85,$AE85,0.1))</f>
        <v>0</v>
      </c>
      <c r="BW85" s="44" t="n">
        <f aca="false">IF(BR85=0,0,bsd(2,BW$27,BS85,$Z85,$W85,$X85,$AE85,0.1))</f>
        <v>0</v>
      </c>
      <c r="BX85" s="44" t="n">
        <f aca="false">IF(BR85=0,0,bsd(BW$28,BW$27,BS85,$Z85,$W85,$X85,$AE85,0.1))</f>
        <v>0</v>
      </c>
      <c r="BY85" s="45" t="n">
        <f aca="false">BR85*BV85</f>
        <v>0</v>
      </c>
      <c r="BZ85" s="45" t="n">
        <f aca="false">BR85*BW85</f>
        <v>0</v>
      </c>
      <c r="CA85" s="45" t="n">
        <f aca="false">BR85*BX85</f>
        <v>0</v>
      </c>
    </row>
    <row r="86" customFormat="false" ht="12.75" hidden="false" customHeight="false" outlineLevel="0" collapsed="false">
      <c r="A86" s="48" t="n">
        <f aca="false">DATE(YEAR(A85),MONTH(A85)+1,1)</f>
        <v>38961</v>
      </c>
      <c r="B86" s="40" t="n">
        <f aca="false">VLOOKUP(A86,STRADDLE,5,FALSE())</f>
        <v>3.249</v>
      </c>
      <c r="C86" s="4" t="e">
        <f aca="false">VLOOKUP(A86,STRADDLE,6,FALSE())</f>
        <v>#VALUE!</v>
      </c>
      <c r="D86" s="40" t="n">
        <f aca="false">IF(D$28="nymex",0,VLOOKUP($A86,curvesettle,HLOOKUP(D$28,curvesettle,2,FALSE())))</f>
        <v>0</v>
      </c>
      <c r="E86" s="219" t="n">
        <f aca="false">IF(D$28="NYMEX",$AD86,$AC86)</f>
        <v>-6969</v>
      </c>
      <c r="F86" s="4" t="e">
        <f aca="false">($C86+G86)+B$15</f>
        <v>#DIV/0!</v>
      </c>
      <c r="G86" s="4" t="e">
        <f aca="false">IF(B$16=1,xCalcSkew(A86,H86-AL86,b)/100,0)</f>
        <v>#DIV/0!</v>
      </c>
      <c r="H86" s="41" t="n">
        <f aca="false">IF($B$19=4,$AL86,$B$18)</f>
        <v>2.44</v>
      </c>
      <c r="J86" s="40" t="n">
        <f aca="false">IF(J$28="nymex",0,VLOOKUP($A86,curvesettle,HLOOKUP(J$28,curvesettle,2,FALSE())))</f>
        <v>0</v>
      </c>
      <c r="K86" s="219" t="n">
        <f aca="false">IF(J$28="NYMEX",$AD86,$AC86)</f>
        <v>-6969</v>
      </c>
      <c r="L86" s="220" t="e">
        <f aca="false">($C86+M86)+D$15</f>
        <v>#DIV/0!</v>
      </c>
      <c r="M86" s="4" t="e">
        <f aca="false">IF(D$16=1,xCalcSkew($A86,N86-AW86,b)/100,0)</f>
        <v>#DIV/0!</v>
      </c>
      <c r="N86" s="41" t="n">
        <f aca="false">IF($D$19=4,$AW86,$D$18)</f>
        <v>2.44</v>
      </c>
      <c r="P86" s="40" t="n">
        <f aca="false">IF(P$28="nymex",0,VLOOKUP($A86,curvesettle,HLOOKUP(P$28,curvesettle,2,FALSE())))</f>
        <v>0</v>
      </c>
      <c r="Q86" s="219" t="n">
        <f aca="false">IF(P$28="NYMEX",$AD86,$AC86)</f>
        <v>-6969</v>
      </c>
      <c r="R86" s="220" t="e">
        <f aca="false">($C86+S86)+F$15</f>
        <v>#DIV/0!</v>
      </c>
      <c r="S86" s="4" t="e">
        <f aca="false">IF(F$16=1,xCalcSkew($A86,T86-BH86,b)/100,0)</f>
        <v>#DIV/0!</v>
      </c>
      <c r="T86" s="41" t="n">
        <f aca="false">IF($F$19=4,$BH86,$F$18)</f>
        <v>2.44</v>
      </c>
      <c r="V86" s="40" t="n">
        <f aca="false">IF(V$28="nymex",0,VLOOKUP($A86,curvesettle,HLOOKUP(V$28,curvesettle,2,FALSE())))</f>
        <v>0</v>
      </c>
      <c r="W86" s="219" t="n">
        <f aca="false">IF(V$28="NYMEX",$AD86,$AC86)</f>
        <v>-6969</v>
      </c>
      <c r="X86" s="4" t="e">
        <f aca="false">($C86+Y86)+H$15</f>
        <v>#DIV/0!</v>
      </c>
      <c r="Y86" s="4" t="e">
        <f aca="false">IF(H$16=1,xCalcSkew($A86,Z86-BS86,b)/100,0)</f>
        <v>#DIV/0!</v>
      </c>
      <c r="Z86" s="41" t="n">
        <f aca="false">IF($H$19=4,$BS86,$H$18)</f>
        <v>2.44</v>
      </c>
      <c r="AC86" s="219" t="n">
        <f aca="false">VLOOKUP($A86,expiration,2,FALSE())-$B$2</f>
        <v>-6968</v>
      </c>
      <c r="AD86" s="219" t="n">
        <f aca="false">VLOOKUP($A86,expiration,3,FALSE())-$B$2</f>
        <v>-6969</v>
      </c>
      <c r="AE86" s="4" t="n">
        <f aca="false">VLOOKUP($A86,STRADDLE,15,FALSE())</f>
        <v>0.0499339742651683</v>
      </c>
      <c r="AF86" s="43" t="n">
        <f aca="false">A87-A86</f>
        <v>30</v>
      </c>
      <c r="AI86" s="219"/>
      <c r="AJ86" s="9"/>
      <c r="AK86" s="9" t="n">
        <f aca="false">IF($A86&gt;=AL$25,IF($A86&lt;=AL$26,$AF86,0),0)</f>
        <v>0</v>
      </c>
      <c r="AL86" s="221" t="e">
        <f aca="false">AN86/AK86</f>
        <v>#DIV/0!</v>
      </c>
      <c r="AM86" s="1" t="n">
        <f aca="false">AK86*($B86+B$13)</f>
        <v>0</v>
      </c>
      <c r="AN86" s="33" t="n">
        <f aca="false">IF(ISNUMBER(((AM86/AK86)+B$14+$D86)*AK86),((AM86/AK86)+B$14+$D86)*AK86,0)</f>
        <v>0</v>
      </c>
      <c r="AO86" s="44" t="n">
        <f aca="false">IF(AK86=0,0,bsd(1,AP$27,AL86,$H86,$E86,$F86,$AE86,0.1))</f>
        <v>0</v>
      </c>
      <c r="AP86" s="44" t="n">
        <f aca="false">IF(AK86=0,0,bsd(2,AP$27,AL86,$H86,$E86,$F86,$AE86,0.1))</f>
        <v>0</v>
      </c>
      <c r="AQ86" s="44" t="n">
        <f aca="false">IF(AK86=0,0,bsd(AP$28,AP$27,AL86,$H86,$E86,$F86,$AE86,0.1))</f>
        <v>0</v>
      </c>
      <c r="AR86" s="45" t="n">
        <f aca="false">AK86*AO86</f>
        <v>0</v>
      </c>
      <c r="AS86" s="45" t="n">
        <f aca="false">AK86*AP86</f>
        <v>0</v>
      </c>
      <c r="AT86" s="45" t="n">
        <f aca="false">AK86*AQ86</f>
        <v>0</v>
      </c>
      <c r="AV86" s="9" t="n">
        <f aca="false">IF($A86&gt;=AW$25,IF($A86&lt;=AW$26,$AF86,0),0)</f>
        <v>0</v>
      </c>
      <c r="AW86" s="221" t="e">
        <f aca="false">AY86/AV86</f>
        <v>#DIV/0!</v>
      </c>
      <c r="AX86" s="1" t="n">
        <f aca="false">AV86*($B86+D$13)</f>
        <v>0</v>
      </c>
      <c r="AY86" s="33" t="n">
        <f aca="false">IF(ISNUMBER(((AX86/AV86)+D$14+$J86)*AV86),((AX86/AV86)+D$14+$J86)*AV86,0)</f>
        <v>0</v>
      </c>
      <c r="AZ86" s="44" t="n">
        <f aca="false">IF(AV86=0,0,bsd(1,BA$27,AW86,$N86,$K86,$L86,$AE86,0.1))</f>
        <v>0</v>
      </c>
      <c r="BA86" s="44" t="n">
        <f aca="false">IF(AV86=0,0,bsd(2,BA$27,AW86,$N86,$K86,$L86,$AE86,0.1))</f>
        <v>0</v>
      </c>
      <c r="BB86" s="44" t="n">
        <f aca="false">IF(AV86=0,0,bsd(BA$28,BA$27,AW86,$N86,$K86,$L86,$AE86,0.1))</f>
        <v>0</v>
      </c>
      <c r="BC86" s="45" t="n">
        <f aca="false">AV86*AZ86</f>
        <v>0</v>
      </c>
      <c r="BD86" s="45" t="n">
        <f aca="false">AV86*BA86</f>
        <v>0</v>
      </c>
      <c r="BE86" s="45" t="n">
        <f aca="false">AV86*BB86</f>
        <v>0</v>
      </c>
      <c r="BG86" s="9" t="n">
        <f aca="false">IF($A86&gt;=BH$25,IF($A86&lt;=BH$26,$AF86,0),0)</f>
        <v>0</v>
      </c>
      <c r="BH86" s="221" t="e">
        <f aca="false">BJ86/BG86</f>
        <v>#DIV/0!</v>
      </c>
      <c r="BI86" s="1" t="n">
        <f aca="false">BG86*($B86+F$13)</f>
        <v>0</v>
      </c>
      <c r="BJ86" s="33" t="n">
        <f aca="false">IF(ISNUMBER(((BI86/BG86)+F$14+$P86)*BG86),((BI86/BG86)+F$14+$P86)*BG86,0)</f>
        <v>0</v>
      </c>
      <c r="BK86" s="44" t="n">
        <f aca="false">IF(BG86=0,0,bsd(1,BL$27,BH86,$T86,$Q86,$R86,$AE86,0.1))</f>
        <v>0</v>
      </c>
      <c r="BL86" s="44" t="n">
        <f aca="false">IF(BG86=0,0,bsd(2,BL$27,BH86,$T86,$Q86,$R86,$AE86,0.1))</f>
        <v>0</v>
      </c>
      <c r="BM86" s="44" t="n">
        <f aca="false">IF(BG86=0,0,bsd(BL$28,BL$27,BH86,$T86,$Q86,$R86,$AE86,0.1))</f>
        <v>0</v>
      </c>
      <c r="BN86" s="45" t="n">
        <f aca="false">BG86*BK86</f>
        <v>0</v>
      </c>
      <c r="BO86" s="45" t="n">
        <f aca="false">BG86*BL86</f>
        <v>0</v>
      </c>
      <c r="BP86" s="45" t="n">
        <f aca="false">BG86*BM86</f>
        <v>0</v>
      </c>
      <c r="BR86" s="9" t="n">
        <f aca="false">IF($A86&gt;=BS$25,IF($A86&lt;=BS$26,$AF86,0),0)</f>
        <v>0</v>
      </c>
      <c r="BS86" s="221" t="e">
        <f aca="false">BU86/BR86</f>
        <v>#DIV/0!</v>
      </c>
      <c r="BT86" s="1" t="n">
        <f aca="false">BR86*($B86+H$13)</f>
        <v>0</v>
      </c>
      <c r="BU86" s="33" t="n">
        <f aca="false">IF(ISNUMBER(((BT86/BR86)+H$14+$V86)*BR86),((BT86/BR86)+H$14+$V86)*BR86,0)</f>
        <v>0</v>
      </c>
      <c r="BV86" s="44" t="n">
        <f aca="false">IF(BR86=0,0,bsd(1,BW$27,BS86,$Z86,$W86,$X86,$AE86,0.1))</f>
        <v>0</v>
      </c>
      <c r="BW86" s="44" t="n">
        <f aca="false">IF(BR86=0,0,bsd(2,BW$27,BS86,$Z86,$W86,$X86,$AE86,0.1))</f>
        <v>0</v>
      </c>
      <c r="BX86" s="44" t="n">
        <f aca="false">IF(BR86=0,0,bsd(BW$28,BW$27,BS86,$Z86,$W86,$X86,$AE86,0.1))</f>
        <v>0</v>
      </c>
      <c r="BY86" s="45" t="n">
        <f aca="false">BR86*BV86</f>
        <v>0</v>
      </c>
      <c r="BZ86" s="45" t="n">
        <f aca="false">BR86*BW86</f>
        <v>0</v>
      </c>
      <c r="CA86" s="45" t="n">
        <f aca="false">BR86*BX86</f>
        <v>0</v>
      </c>
    </row>
    <row r="87" customFormat="false" ht="12.75" hidden="false" customHeight="false" outlineLevel="0" collapsed="false">
      <c r="A87" s="48" t="n">
        <f aca="false">DATE(YEAR(A86),MONTH(A86)+1,1)</f>
        <v>38991</v>
      </c>
      <c r="B87" s="40" t="n">
        <f aca="false">VLOOKUP(A87,STRADDLE,5,FALSE())</f>
        <v>3.264</v>
      </c>
      <c r="C87" s="4" t="e">
        <f aca="false">VLOOKUP(A87,STRADDLE,6,FALSE())</f>
        <v>#VALUE!</v>
      </c>
      <c r="D87" s="40" t="n">
        <f aca="false">IF(D$28="nymex",0,VLOOKUP($A87,curvesettle,HLOOKUP(D$28,curvesettle,2,FALSE())))</f>
        <v>0</v>
      </c>
      <c r="E87" s="219" t="n">
        <f aca="false">IF(D$28="NYMEX",$AD87,$AC87)</f>
        <v>-6940</v>
      </c>
      <c r="F87" s="4" t="e">
        <f aca="false">($C87+G87)+B$15</f>
        <v>#DIV/0!</v>
      </c>
      <c r="G87" s="4" t="e">
        <f aca="false">IF(B$16=1,xCalcSkew(A87,H87-AL87,b)/100,0)</f>
        <v>#DIV/0!</v>
      </c>
      <c r="H87" s="41" t="n">
        <f aca="false">IF($B$19=4,$AL87,$B$18)</f>
        <v>2.44</v>
      </c>
      <c r="J87" s="40" t="n">
        <f aca="false">IF(J$28="nymex",0,VLOOKUP($A87,curvesettle,HLOOKUP(J$28,curvesettle,2,FALSE())))</f>
        <v>0</v>
      </c>
      <c r="K87" s="219" t="n">
        <f aca="false">IF(J$28="NYMEX",$AD87,$AC87)</f>
        <v>-6940</v>
      </c>
      <c r="L87" s="220" t="e">
        <f aca="false">($C87+M87)+D$15</f>
        <v>#DIV/0!</v>
      </c>
      <c r="M87" s="4" t="e">
        <f aca="false">IF(D$16=1,xCalcSkew($A87,N87-AW87,b)/100,0)</f>
        <v>#DIV/0!</v>
      </c>
      <c r="N87" s="41" t="n">
        <f aca="false">IF($D$19=4,$AW87,$D$18)</f>
        <v>2.44</v>
      </c>
      <c r="P87" s="40" t="n">
        <f aca="false">IF(P$28="nymex",0,VLOOKUP($A87,curvesettle,HLOOKUP(P$28,curvesettle,2,FALSE())))</f>
        <v>0</v>
      </c>
      <c r="Q87" s="219" t="n">
        <f aca="false">IF(P$28="NYMEX",$AD87,$AC87)</f>
        <v>-6940</v>
      </c>
      <c r="R87" s="220" t="e">
        <f aca="false">($C87+S87)+F$15</f>
        <v>#DIV/0!</v>
      </c>
      <c r="S87" s="4" t="e">
        <f aca="false">IF(F$16=1,xCalcSkew($A87,T87-BH87,b)/100,0)</f>
        <v>#DIV/0!</v>
      </c>
      <c r="T87" s="41" t="n">
        <f aca="false">IF($F$19=4,$BH87,$F$18)</f>
        <v>2.44</v>
      </c>
      <c r="V87" s="40" t="n">
        <f aca="false">IF(V$28="nymex",0,VLOOKUP($A87,curvesettle,HLOOKUP(V$28,curvesettle,2,FALSE())))</f>
        <v>0</v>
      </c>
      <c r="W87" s="219" t="n">
        <f aca="false">IF(V$28="NYMEX",$AD87,$AC87)</f>
        <v>-6940</v>
      </c>
      <c r="X87" s="4" t="e">
        <f aca="false">($C87+Y87)+H$15</f>
        <v>#DIV/0!</v>
      </c>
      <c r="Y87" s="4" t="e">
        <f aca="false">IF(H$16=1,xCalcSkew($A87,Z87-BS87,b)/100,0)</f>
        <v>#DIV/0!</v>
      </c>
      <c r="Z87" s="41" t="n">
        <f aca="false">IF($H$19=4,$BS87,$H$18)</f>
        <v>2.44</v>
      </c>
      <c r="AC87" s="219" t="n">
        <f aca="false">VLOOKUP($A87,expiration,2,FALSE())-$B$2</f>
        <v>-6939</v>
      </c>
      <c r="AD87" s="219" t="n">
        <f aca="false">VLOOKUP($A87,expiration,3,FALSE())-$B$2</f>
        <v>-6940</v>
      </c>
      <c r="AE87" s="4" t="n">
        <f aca="false">VLOOKUP($A87,STRADDLE,15,FALSE())</f>
        <v>0.0502445456161724</v>
      </c>
      <c r="AF87" s="43" t="n">
        <f aca="false">A88-A87</f>
        <v>31</v>
      </c>
      <c r="AI87" s="219"/>
      <c r="AJ87" s="9"/>
      <c r="AK87" s="9" t="n">
        <f aca="false">IF($A87&gt;=AL$25,IF($A87&lt;=AL$26,$AF87,0),0)</f>
        <v>0</v>
      </c>
      <c r="AL87" s="221" t="e">
        <f aca="false">AN87/AK87</f>
        <v>#DIV/0!</v>
      </c>
      <c r="AM87" s="1" t="n">
        <f aca="false">AK87*($B87+B$13)</f>
        <v>0</v>
      </c>
      <c r="AN87" s="33" t="n">
        <f aca="false">IF(ISNUMBER(((AM87/AK87)+B$14+$D87)*AK87),((AM87/AK87)+B$14+$D87)*AK87,0)</f>
        <v>0</v>
      </c>
      <c r="AO87" s="44" t="n">
        <f aca="false">IF(AK87=0,0,bsd(1,AP$27,AL87,$H87,$E87,$F87,$AE87,0.1))</f>
        <v>0</v>
      </c>
      <c r="AP87" s="44" t="n">
        <f aca="false">IF(AK87=0,0,bsd(2,AP$27,AL87,$H87,$E87,$F87,$AE87,0.1))</f>
        <v>0</v>
      </c>
      <c r="AQ87" s="44" t="n">
        <f aca="false">IF(AK87=0,0,bsd(AP$28,AP$27,AL87,$H87,$E87,$F87,$AE87,0.1))</f>
        <v>0</v>
      </c>
      <c r="AR87" s="45" t="n">
        <f aca="false">AK87*AO87</f>
        <v>0</v>
      </c>
      <c r="AS87" s="45" t="n">
        <f aca="false">AK87*AP87</f>
        <v>0</v>
      </c>
      <c r="AT87" s="45" t="n">
        <f aca="false">AK87*AQ87</f>
        <v>0</v>
      </c>
      <c r="AV87" s="9" t="n">
        <f aca="false">IF($A87&gt;=AW$25,IF($A87&lt;=AW$26,$AF87,0),0)</f>
        <v>0</v>
      </c>
      <c r="AW87" s="221" t="e">
        <f aca="false">AY87/AV87</f>
        <v>#DIV/0!</v>
      </c>
      <c r="AX87" s="1" t="n">
        <f aca="false">AV87*($B87+D$13)</f>
        <v>0</v>
      </c>
      <c r="AY87" s="33" t="n">
        <f aca="false">IF(ISNUMBER(((AX87/AV87)+D$14+$J87)*AV87),((AX87/AV87)+D$14+$J87)*AV87,0)</f>
        <v>0</v>
      </c>
      <c r="AZ87" s="44" t="n">
        <f aca="false">IF(AV87=0,0,bsd(1,BA$27,AW87,$N87,$K87,$L87,$AE87,0.1))</f>
        <v>0</v>
      </c>
      <c r="BA87" s="44" t="n">
        <f aca="false">IF(AV87=0,0,bsd(2,BA$27,AW87,$N87,$K87,$L87,$AE87,0.1))</f>
        <v>0</v>
      </c>
      <c r="BB87" s="44" t="n">
        <f aca="false">IF(AV87=0,0,bsd(BA$28,BA$27,AW87,$N87,$K87,$L87,$AE87,0.1))</f>
        <v>0</v>
      </c>
      <c r="BC87" s="45" t="n">
        <f aca="false">AV87*AZ87</f>
        <v>0</v>
      </c>
      <c r="BD87" s="45" t="n">
        <f aca="false">AV87*BA87</f>
        <v>0</v>
      </c>
      <c r="BE87" s="45" t="n">
        <f aca="false">AV87*BB87</f>
        <v>0</v>
      </c>
      <c r="BG87" s="9" t="n">
        <f aca="false">IF($A87&gt;=BH$25,IF($A87&lt;=BH$26,$AF87,0),0)</f>
        <v>0</v>
      </c>
      <c r="BH87" s="221" t="e">
        <f aca="false">BJ87/BG87</f>
        <v>#DIV/0!</v>
      </c>
      <c r="BI87" s="1" t="n">
        <f aca="false">BG87*($B87+F$13)</f>
        <v>0</v>
      </c>
      <c r="BJ87" s="33" t="n">
        <f aca="false">IF(ISNUMBER(((BI87/BG87)+F$14+$P87)*BG87),((BI87/BG87)+F$14+$P87)*BG87,0)</f>
        <v>0</v>
      </c>
      <c r="BK87" s="44" t="n">
        <f aca="false">IF(BG87=0,0,bsd(1,BL$27,BH87,$T87,$Q87,$R87,$AE87,0.1))</f>
        <v>0</v>
      </c>
      <c r="BL87" s="44" t="n">
        <f aca="false">IF(BG87=0,0,bsd(2,BL$27,BH87,$T87,$Q87,$R87,$AE87,0.1))</f>
        <v>0</v>
      </c>
      <c r="BM87" s="44" t="n">
        <f aca="false">IF(BG87=0,0,bsd(BL$28,BL$27,BH87,$T87,$Q87,$R87,$AE87,0.1))</f>
        <v>0</v>
      </c>
      <c r="BN87" s="45" t="n">
        <f aca="false">BG87*BK87</f>
        <v>0</v>
      </c>
      <c r="BO87" s="45" t="n">
        <f aca="false">BG87*BL87</f>
        <v>0</v>
      </c>
      <c r="BP87" s="45" t="n">
        <f aca="false">BG87*BM87</f>
        <v>0</v>
      </c>
      <c r="BR87" s="9" t="n">
        <f aca="false">IF($A87&gt;=BS$25,IF($A87&lt;=BS$26,$AF87,0),0)</f>
        <v>0</v>
      </c>
      <c r="BS87" s="221" t="e">
        <f aca="false">BU87/BR87</f>
        <v>#DIV/0!</v>
      </c>
      <c r="BT87" s="1" t="n">
        <f aca="false">BR87*($B87+H$13)</f>
        <v>0</v>
      </c>
      <c r="BU87" s="33" t="n">
        <f aca="false">IF(ISNUMBER(((BT87/BR87)+H$14+$V87)*BR87),((BT87/BR87)+H$14+$V87)*BR87,0)</f>
        <v>0</v>
      </c>
      <c r="BV87" s="44" t="n">
        <f aca="false">IF(BR87=0,0,bsd(1,BW$27,BS87,$Z87,$W87,$X87,$AE87,0.1))</f>
        <v>0</v>
      </c>
      <c r="BW87" s="44" t="n">
        <f aca="false">IF(BR87=0,0,bsd(2,BW$27,BS87,$Z87,$W87,$X87,$AE87,0.1))</f>
        <v>0</v>
      </c>
      <c r="BX87" s="44" t="n">
        <f aca="false">IF(BR87=0,0,bsd(BW$28,BW$27,BS87,$Z87,$W87,$X87,$AE87,0.1))</f>
        <v>0</v>
      </c>
      <c r="BY87" s="45" t="n">
        <f aca="false">BR87*BV87</f>
        <v>0</v>
      </c>
      <c r="BZ87" s="45" t="n">
        <f aca="false">BR87*BW87</f>
        <v>0</v>
      </c>
      <c r="CA87" s="45" t="n">
        <f aca="false">BR87*BX87</f>
        <v>0</v>
      </c>
    </row>
    <row r="88" customFormat="false" ht="12.75" hidden="false" customHeight="false" outlineLevel="0" collapsed="false">
      <c r="A88" s="48" t="n">
        <f aca="false">DATE(YEAR(A87),MONTH(A87)+1,1)</f>
        <v>39022</v>
      </c>
      <c r="B88" s="40" t="n">
        <f aca="false">VLOOKUP(A88,STRADDLE,5,FALSE())</f>
        <v>3.409</v>
      </c>
      <c r="C88" s="4" t="e">
        <f aca="false">VLOOKUP(A88,STRADDLE,6,FALSE())</f>
        <v>#VALUE!</v>
      </c>
      <c r="D88" s="40" t="n">
        <f aca="false">IF(D$28="nymex",0,VLOOKUP($A88,curvesettle,HLOOKUP(D$28,curvesettle,2,FALSE())))</f>
        <v>0</v>
      </c>
      <c r="E88" s="219" t="n">
        <f aca="false">IF(D$28="NYMEX",$AD88,$AC88)</f>
        <v>-6910</v>
      </c>
      <c r="F88" s="4" t="e">
        <f aca="false">($C88+G88)+B$15</f>
        <v>#DIV/0!</v>
      </c>
      <c r="G88" s="4" t="e">
        <f aca="false">IF(B$16=1,xCalcSkew(A88,H88-AL88,b)/100,0)</f>
        <v>#DIV/0!</v>
      </c>
      <c r="H88" s="41" t="n">
        <f aca="false">IF($B$19=4,$AL88,$B$18)</f>
        <v>2.44</v>
      </c>
      <c r="J88" s="40" t="n">
        <f aca="false">IF(J$28="nymex",0,VLOOKUP($A88,curvesettle,HLOOKUP(J$28,curvesettle,2,FALSE())))</f>
        <v>0</v>
      </c>
      <c r="K88" s="219" t="n">
        <f aca="false">IF(J$28="NYMEX",$AD88,$AC88)</f>
        <v>-6910</v>
      </c>
      <c r="L88" s="220" t="e">
        <f aca="false">($C88+M88)+D$15</f>
        <v>#DIV/0!</v>
      </c>
      <c r="M88" s="4" t="e">
        <f aca="false">IF(D$16=1,xCalcSkew($A88,N88-AW88,b)/100,0)</f>
        <v>#DIV/0!</v>
      </c>
      <c r="N88" s="41" t="n">
        <f aca="false">IF($D$19=4,$AW88,$D$18)</f>
        <v>2.44</v>
      </c>
      <c r="P88" s="40" t="n">
        <f aca="false">IF(P$28="nymex",0,VLOOKUP($A88,curvesettle,HLOOKUP(P$28,curvesettle,2,FALSE())))</f>
        <v>0</v>
      </c>
      <c r="Q88" s="219" t="n">
        <f aca="false">IF(P$28="NYMEX",$AD88,$AC88)</f>
        <v>-6910</v>
      </c>
      <c r="R88" s="220" t="e">
        <f aca="false">($C88+S88)+F$15</f>
        <v>#DIV/0!</v>
      </c>
      <c r="S88" s="4" t="e">
        <f aca="false">IF(F$16=1,xCalcSkew($A88,T88-BH88,b)/100,0)</f>
        <v>#DIV/0!</v>
      </c>
      <c r="T88" s="41" t="n">
        <f aca="false">IF($F$19=4,$BH88,$F$18)</f>
        <v>2.44</v>
      </c>
      <c r="V88" s="40" t="n">
        <f aca="false">IF(V$28="nymex",0,VLOOKUP($A88,curvesettle,HLOOKUP(V$28,curvesettle,2,FALSE())))</f>
        <v>0</v>
      </c>
      <c r="W88" s="219" t="n">
        <f aca="false">IF(V$28="NYMEX",$AD88,$AC88)</f>
        <v>-6910</v>
      </c>
      <c r="X88" s="4" t="e">
        <f aca="false">($C88+Y88)+H$15</f>
        <v>#DIV/0!</v>
      </c>
      <c r="Y88" s="4" t="e">
        <f aca="false">IF(H$16=1,xCalcSkew($A88,Z88-BS88,b)/100,0)</f>
        <v>#DIV/0!</v>
      </c>
      <c r="Z88" s="41" t="n">
        <f aca="false">IF($H$19=4,$BS88,$H$18)</f>
        <v>2.44</v>
      </c>
      <c r="AC88" s="219" t="n">
        <f aca="false">VLOOKUP($A88,expiration,2,FALSE())-$B$2</f>
        <v>-6909</v>
      </c>
      <c r="AD88" s="219" t="n">
        <f aca="false">VLOOKUP($A88,expiration,3,FALSE())-$B$2</f>
        <v>-6910</v>
      </c>
      <c r="AE88" s="4" t="n">
        <f aca="false">VLOOKUP($A88,STRADDLE,15,FALSE())</f>
        <v>0.0505450985671585</v>
      </c>
      <c r="AF88" s="43" t="n">
        <f aca="false">A89-A88</f>
        <v>30</v>
      </c>
      <c r="AI88" s="219"/>
      <c r="AJ88" s="9"/>
      <c r="AK88" s="9" t="n">
        <f aca="false">IF($A88&gt;=AL$25,IF($A88&lt;=AL$26,$AF88,0),0)</f>
        <v>0</v>
      </c>
      <c r="AL88" s="221" t="e">
        <f aca="false">AN88/AK88</f>
        <v>#DIV/0!</v>
      </c>
      <c r="AM88" s="1" t="n">
        <f aca="false">AK88*($B88+B$13)</f>
        <v>0</v>
      </c>
      <c r="AN88" s="33" t="n">
        <f aca="false">IF(ISNUMBER(((AM88/AK88)+B$14+$D88)*AK88),((AM88/AK88)+B$14+$D88)*AK88,0)</f>
        <v>0</v>
      </c>
      <c r="AO88" s="44" t="n">
        <f aca="false">IF(AK88=0,0,bsd(1,AP$27,AL88,$H88,$E88,$F88,$AE88,0.1))</f>
        <v>0</v>
      </c>
      <c r="AP88" s="44" t="n">
        <f aca="false">IF(AK88=0,0,bsd(2,AP$27,AL88,$H88,$E88,$F88,$AE88,0.1))</f>
        <v>0</v>
      </c>
      <c r="AQ88" s="44" t="n">
        <f aca="false">IF(AK88=0,0,bsd(AP$28,AP$27,AL88,$H88,$E88,$F88,$AE88,0.1))</f>
        <v>0</v>
      </c>
      <c r="AR88" s="45" t="n">
        <f aca="false">AK88*AO88</f>
        <v>0</v>
      </c>
      <c r="AS88" s="45" t="n">
        <f aca="false">AK88*AP88</f>
        <v>0</v>
      </c>
      <c r="AT88" s="45" t="n">
        <f aca="false">AK88*AQ88</f>
        <v>0</v>
      </c>
      <c r="AV88" s="9" t="n">
        <f aca="false">IF($A88&gt;=AW$25,IF($A88&lt;=AW$26,$AF88,0),0)</f>
        <v>0</v>
      </c>
      <c r="AW88" s="221" t="e">
        <f aca="false">AY88/AV88</f>
        <v>#DIV/0!</v>
      </c>
      <c r="AX88" s="1" t="n">
        <f aca="false">AV88*($B88+D$13)</f>
        <v>0</v>
      </c>
      <c r="AY88" s="33" t="n">
        <f aca="false">IF(ISNUMBER(((AX88/AV88)+D$14+$J88)*AV88),((AX88/AV88)+D$14+$J88)*AV88,0)</f>
        <v>0</v>
      </c>
      <c r="AZ88" s="44" t="n">
        <f aca="false">IF(AV88=0,0,bsd(1,BA$27,AW88,$N88,$K88,$L88,$AE88,0.1))</f>
        <v>0</v>
      </c>
      <c r="BA88" s="44" t="n">
        <f aca="false">IF(AV88=0,0,bsd(2,BA$27,AW88,$N88,$K88,$L88,$AE88,0.1))</f>
        <v>0</v>
      </c>
      <c r="BB88" s="44" t="n">
        <f aca="false">IF(AV88=0,0,bsd(BA$28,BA$27,AW88,$N88,$K88,$L88,$AE88,0.1))</f>
        <v>0</v>
      </c>
      <c r="BC88" s="45" t="n">
        <f aca="false">AV88*AZ88</f>
        <v>0</v>
      </c>
      <c r="BD88" s="45" t="n">
        <f aca="false">AV88*BA88</f>
        <v>0</v>
      </c>
      <c r="BE88" s="45" t="n">
        <f aca="false">AV88*BB88</f>
        <v>0</v>
      </c>
      <c r="BG88" s="9" t="n">
        <f aca="false">IF($A88&gt;=BH$25,IF($A88&lt;=BH$26,$AF88,0),0)</f>
        <v>0</v>
      </c>
      <c r="BH88" s="221" t="e">
        <f aca="false">BJ88/BG88</f>
        <v>#DIV/0!</v>
      </c>
      <c r="BI88" s="1" t="n">
        <f aca="false">BG88*($B88+F$13)</f>
        <v>0</v>
      </c>
      <c r="BJ88" s="33" t="n">
        <f aca="false">IF(ISNUMBER(((BI88/BG88)+F$14+$P88)*BG88),((BI88/BG88)+F$14+$P88)*BG88,0)</f>
        <v>0</v>
      </c>
      <c r="BK88" s="44" t="n">
        <f aca="false">IF(BG88=0,0,bsd(1,BL$27,BH88,$T88,$Q88,$R88,$AE88,0.1))</f>
        <v>0</v>
      </c>
      <c r="BL88" s="44" t="n">
        <f aca="false">IF(BG88=0,0,bsd(2,BL$27,BH88,$T88,$Q88,$R88,$AE88,0.1))</f>
        <v>0</v>
      </c>
      <c r="BM88" s="44" t="n">
        <f aca="false">IF(BG88=0,0,bsd(BL$28,BL$27,BH88,$T88,$Q88,$R88,$AE88,0.1))</f>
        <v>0</v>
      </c>
      <c r="BN88" s="45" t="n">
        <f aca="false">BG88*BK88</f>
        <v>0</v>
      </c>
      <c r="BO88" s="45" t="n">
        <f aca="false">BG88*BL88</f>
        <v>0</v>
      </c>
      <c r="BP88" s="45" t="n">
        <f aca="false">BG88*BM88</f>
        <v>0</v>
      </c>
      <c r="BR88" s="9" t="n">
        <f aca="false">IF($A88&gt;=BS$25,IF($A88&lt;=BS$26,$AF88,0),0)</f>
        <v>0</v>
      </c>
      <c r="BS88" s="221" t="e">
        <f aca="false">BU88/BR88</f>
        <v>#DIV/0!</v>
      </c>
      <c r="BT88" s="1" t="n">
        <f aca="false">BR88*($B88+H$13)</f>
        <v>0</v>
      </c>
      <c r="BU88" s="33" t="n">
        <f aca="false">IF(ISNUMBER(((BT88/BR88)+H$14+$V88)*BR88),((BT88/BR88)+H$14+$V88)*BR88,0)</f>
        <v>0</v>
      </c>
      <c r="BV88" s="44" t="n">
        <f aca="false">IF(BR88=0,0,bsd(1,BW$27,BS88,$Z88,$W88,$X88,$AE88,0.1))</f>
        <v>0</v>
      </c>
      <c r="BW88" s="44" t="n">
        <f aca="false">IF(BR88=0,0,bsd(2,BW$27,BS88,$Z88,$W88,$X88,$AE88,0.1))</f>
        <v>0</v>
      </c>
      <c r="BX88" s="44" t="n">
        <f aca="false">IF(BR88=0,0,bsd(BW$28,BW$27,BS88,$Z88,$W88,$X88,$AE88,0.1))</f>
        <v>0</v>
      </c>
      <c r="BY88" s="45" t="n">
        <f aca="false">BR88*BV88</f>
        <v>0</v>
      </c>
      <c r="BZ88" s="45" t="n">
        <f aca="false">BR88*BW88</f>
        <v>0</v>
      </c>
      <c r="CA88" s="45" t="n">
        <f aca="false">BR88*BX88</f>
        <v>0</v>
      </c>
    </row>
    <row r="89" customFormat="false" ht="12.75" hidden="false" customHeight="false" outlineLevel="0" collapsed="false">
      <c r="A89" s="48" t="n">
        <f aca="false">DATE(YEAR(A88),MONTH(A88)+1,1)</f>
        <v>39052</v>
      </c>
      <c r="B89" s="40" t="n">
        <f aca="false">VLOOKUP(A89,STRADDLE,5,FALSE())</f>
        <v>3.544</v>
      </c>
      <c r="C89" s="4" t="e">
        <f aca="false">VLOOKUP(A89,STRADDLE,6,FALSE())</f>
        <v>#VALUE!</v>
      </c>
      <c r="D89" s="40" t="n">
        <f aca="false">IF(D$28="nymex",0,VLOOKUP($A89,curvesettle,HLOOKUP(D$28,curvesettle,2,FALSE())))</f>
        <v>0</v>
      </c>
      <c r="E89" s="219" t="n">
        <f aca="false">IF(D$28="NYMEX",$AD89,$AC89)</f>
        <v>-6878</v>
      </c>
      <c r="F89" s="4" t="e">
        <f aca="false">($C89+G89)+B$15</f>
        <v>#DIV/0!</v>
      </c>
      <c r="G89" s="4" t="e">
        <f aca="false">IF(B$16=1,xCalcSkew(A89,H89-AL89,b)/100,0)</f>
        <v>#DIV/0!</v>
      </c>
      <c r="H89" s="41" t="n">
        <f aca="false">IF($B$19=4,$AL89,$B$18)</f>
        <v>2.44</v>
      </c>
      <c r="J89" s="40" t="n">
        <f aca="false">IF(J$28="nymex",0,VLOOKUP($A89,curvesettle,HLOOKUP(J$28,curvesettle,2,FALSE())))</f>
        <v>0</v>
      </c>
      <c r="K89" s="219" t="n">
        <f aca="false">IF(J$28="NYMEX",$AD89,$AC89)</f>
        <v>-6878</v>
      </c>
      <c r="L89" s="220" t="e">
        <f aca="false">($C89+M89)+D$15</f>
        <v>#DIV/0!</v>
      </c>
      <c r="M89" s="4" t="e">
        <f aca="false">IF(D$16=1,xCalcSkew($A89,N89-AW89,b)/100,0)</f>
        <v>#DIV/0!</v>
      </c>
      <c r="N89" s="41" t="n">
        <f aca="false">IF($D$19=4,$AW89,$D$18)</f>
        <v>2.44</v>
      </c>
      <c r="P89" s="40" t="n">
        <f aca="false">IF(P$28="nymex",0,VLOOKUP($A89,curvesettle,HLOOKUP(P$28,curvesettle,2,FALSE())))</f>
        <v>0</v>
      </c>
      <c r="Q89" s="219" t="n">
        <f aca="false">IF(P$28="NYMEX",$AD89,$AC89)</f>
        <v>-6878</v>
      </c>
      <c r="R89" s="220" t="e">
        <f aca="false">($C89+S89)+F$15</f>
        <v>#DIV/0!</v>
      </c>
      <c r="S89" s="4" t="e">
        <f aca="false">IF(F$16=1,xCalcSkew($A89,T89-BH89,b)/100,0)</f>
        <v>#DIV/0!</v>
      </c>
      <c r="T89" s="41" t="n">
        <f aca="false">IF($F$19=4,$BH89,$F$18)</f>
        <v>2.44</v>
      </c>
      <c r="V89" s="40" t="n">
        <f aca="false">IF(V$28="nymex",0,VLOOKUP($A89,curvesettle,HLOOKUP(V$28,curvesettle,2,FALSE())))</f>
        <v>0</v>
      </c>
      <c r="W89" s="219" t="n">
        <f aca="false">IF(V$28="NYMEX",$AD89,$AC89)</f>
        <v>-6878</v>
      </c>
      <c r="X89" s="4" t="e">
        <f aca="false">($C89+Y89)+H$15</f>
        <v>#DIV/0!</v>
      </c>
      <c r="Y89" s="4" t="e">
        <f aca="false">IF(H$16=1,xCalcSkew($A89,Z89-BS89,b)/100,0)</f>
        <v>#DIV/0!</v>
      </c>
      <c r="Z89" s="41" t="n">
        <f aca="false">IF($H$19=4,$BS89,$H$18)</f>
        <v>2.44</v>
      </c>
      <c r="AC89" s="219" t="n">
        <f aca="false">VLOOKUP($A89,expiration,2,FALSE())-$B$2</f>
        <v>-6877</v>
      </c>
      <c r="AD89" s="219" t="n">
        <f aca="false">VLOOKUP($A89,expiration,3,FALSE())-$B$2</f>
        <v>-6878</v>
      </c>
      <c r="AE89" s="4" t="n">
        <f aca="false">VLOOKUP($A89,STRADDLE,15,FALSE())</f>
        <v>0.0508556699815208</v>
      </c>
      <c r="AF89" s="43" t="n">
        <f aca="false">A90-A89</f>
        <v>31</v>
      </c>
      <c r="AI89" s="219"/>
      <c r="AJ89" s="9"/>
      <c r="AK89" s="9" t="n">
        <f aca="false">IF($A89&gt;=AL$25,IF($A89&lt;=AL$26,$AF89,0),0)</f>
        <v>0</v>
      </c>
      <c r="AL89" s="221" t="e">
        <f aca="false">AN89/AK89</f>
        <v>#DIV/0!</v>
      </c>
      <c r="AM89" s="1" t="n">
        <f aca="false">AK89*($B89+B$13)</f>
        <v>0</v>
      </c>
      <c r="AN89" s="33" t="n">
        <f aca="false">IF(ISNUMBER(((AM89/AK89)+B$14+$D89)*AK89),((AM89/AK89)+B$14+$D89)*AK89,0)</f>
        <v>0</v>
      </c>
      <c r="AO89" s="44" t="n">
        <f aca="false">IF(AK89=0,0,bsd(1,AP$27,AL89,$H89,$E89,$F89,$AE89,0.1))</f>
        <v>0</v>
      </c>
      <c r="AP89" s="44" t="n">
        <f aca="false">IF(AK89=0,0,bsd(2,AP$27,AL89,$H89,$E89,$F89,$AE89,0.1))</f>
        <v>0</v>
      </c>
      <c r="AQ89" s="44" t="n">
        <f aca="false">IF(AK89=0,0,bsd(AP$28,AP$27,AL89,$H89,$E89,$F89,$AE89,0.1))</f>
        <v>0</v>
      </c>
      <c r="AR89" s="45" t="n">
        <f aca="false">AK89*AO89</f>
        <v>0</v>
      </c>
      <c r="AS89" s="45" t="n">
        <f aca="false">AK89*AP89</f>
        <v>0</v>
      </c>
      <c r="AT89" s="45" t="n">
        <f aca="false">AK89*AQ89</f>
        <v>0</v>
      </c>
      <c r="AV89" s="9" t="n">
        <f aca="false">IF($A89&gt;=AW$25,IF($A89&lt;=AW$26,$AF89,0),0)</f>
        <v>0</v>
      </c>
      <c r="AW89" s="221" t="e">
        <f aca="false">AY89/AV89</f>
        <v>#DIV/0!</v>
      </c>
      <c r="AX89" s="1" t="n">
        <f aca="false">AV89*($B89+D$13)</f>
        <v>0</v>
      </c>
      <c r="AY89" s="33" t="n">
        <f aca="false">IF(ISNUMBER(((AX89/AV89)+D$14+$J89)*AV89),((AX89/AV89)+D$14+$J89)*AV89,0)</f>
        <v>0</v>
      </c>
      <c r="AZ89" s="44" t="n">
        <f aca="false">IF(AV89=0,0,bsd(1,BA$27,AW89,$N89,$K89,$L89,$AE89,0.1))</f>
        <v>0</v>
      </c>
      <c r="BA89" s="44" t="n">
        <f aca="false">IF(AV89=0,0,bsd(2,BA$27,AW89,$N89,$K89,$L89,$AE89,0.1))</f>
        <v>0</v>
      </c>
      <c r="BB89" s="44" t="n">
        <f aca="false">IF(AV89=0,0,bsd(BA$28,BA$27,AW89,$N89,$K89,$L89,$AE89,0.1))</f>
        <v>0</v>
      </c>
      <c r="BC89" s="45" t="n">
        <f aca="false">AV89*AZ89</f>
        <v>0</v>
      </c>
      <c r="BD89" s="45" t="n">
        <f aca="false">AV89*BA89</f>
        <v>0</v>
      </c>
      <c r="BE89" s="45" t="n">
        <f aca="false">AV89*BB89</f>
        <v>0</v>
      </c>
      <c r="BG89" s="9" t="n">
        <f aca="false">IF($A89&gt;=BH$25,IF($A89&lt;=BH$26,$AF89,0),0)</f>
        <v>0</v>
      </c>
      <c r="BH89" s="221" t="e">
        <f aca="false">BJ89/BG89</f>
        <v>#DIV/0!</v>
      </c>
      <c r="BI89" s="1" t="n">
        <f aca="false">BG89*($B89+F$13)</f>
        <v>0</v>
      </c>
      <c r="BJ89" s="33" t="n">
        <f aca="false">IF(ISNUMBER(((BI89/BG89)+F$14+$P89)*BG89),((BI89/BG89)+F$14+$P89)*BG89,0)</f>
        <v>0</v>
      </c>
      <c r="BK89" s="44" t="n">
        <f aca="false">IF(BG89=0,0,bsd(1,BL$27,BH89,$T89,$Q89,$R89,$AE89,0.1))</f>
        <v>0</v>
      </c>
      <c r="BL89" s="44" t="n">
        <f aca="false">IF(BG89=0,0,bsd(2,BL$27,BH89,$T89,$Q89,$R89,$AE89,0.1))</f>
        <v>0</v>
      </c>
      <c r="BM89" s="44" t="n">
        <f aca="false">IF(BG89=0,0,bsd(BL$28,BL$27,BH89,$T89,$Q89,$R89,$AE89,0.1))</f>
        <v>0</v>
      </c>
      <c r="BN89" s="45" t="n">
        <f aca="false">BG89*BK89</f>
        <v>0</v>
      </c>
      <c r="BO89" s="45" t="n">
        <f aca="false">BG89*BL89</f>
        <v>0</v>
      </c>
      <c r="BP89" s="45" t="n">
        <f aca="false">BG89*BM89</f>
        <v>0</v>
      </c>
      <c r="BR89" s="9" t="n">
        <f aca="false">IF($A89&gt;=BS$25,IF($A89&lt;=BS$26,$AF89,0),0)</f>
        <v>0</v>
      </c>
      <c r="BS89" s="221" t="e">
        <f aca="false">BU89/BR89</f>
        <v>#DIV/0!</v>
      </c>
      <c r="BT89" s="1" t="n">
        <f aca="false">BR89*($B89+H$13)</f>
        <v>0</v>
      </c>
      <c r="BU89" s="33" t="n">
        <f aca="false">IF(ISNUMBER(((BT89/BR89)+H$14+$V89)*BR89),((BT89/BR89)+H$14+$V89)*BR89,0)</f>
        <v>0</v>
      </c>
      <c r="BV89" s="44" t="n">
        <f aca="false">IF(BR89=0,0,bsd(1,BW$27,BS89,$Z89,$W89,$X89,$AE89,0.1))</f>
        <v>0</v>
      </c>
      <c r="BW89" s="44" t="n">
        <f aca="false">IF(BR89=0,0,bsd(2,BW$27,BS89,$Z89,$W89,$X89,$AE89,0.1))</f>
        <v>0</v>
      </c>
      <c r="BX89" s="44" t="n">
        <f aca="false">IF(BR89=0,0,bsd(BW$28,BW$27,BS89,$Z89,$W89,$X89,$AE89,0.1))</f>
        <v>0</v>
      </c>
      <c r="BY89" s="45" t="n">
        <f aca="false">BR89*BV89</f>
        <v>0</v>
      </c>
      <c r="BZ89" s="45" t="n">
        <f aca="false">BR89*BW89</f>
        <v>0</v>
      </c>
      <c r="CA89" s="45" t="n">
        <f aca="false">BR89*BX89</f>
        <v>0</v>
      </c>
    </row>
    <row r="90" customFormat="false" ht="12.75" hidden="false" customHeight="false" outlineLevel="0" collapsed="false">
      <c r="A90" s="48" t="n">
        <f aca="false">DATE(YEAR(A89),MONTH(A89)+1,1)</f>
        <v>39083</v>
      </c>
      <c r="B90" s="40" t="n">
        <f aca="false">VLOOKUP(A90,STRADDLE,5,FALSE())</f>
        <v>3.599</v>
      </c>
      <c r="C90" s="4" t="e">
        <f aca="false">VLOOKUP(A90,STRADDLE,6,FALSE())</f>
        <v>#VALUE!</v>
      </c>
      <c r="D90" s="40" t="n">
        <f aca="false">IF(D$28="nymex",0,VLOOKUP($A90,curvesettle,HLOOKUP(D$28,curvesettle,2,FALSE())))</f>
        <v>0</v>
      </c>
      <c r="E90" s="219" t="n">
        <f aca="false">IF(D$28="NYMEX",$AD90,$AC90)</f>
        <v>-6849</v>
      </c>
      <c r="F90" s="4" t="e">
        <f aca="false">($C90+G90)+B$15</f>
        <v>#DIV/0!</v>
      </c>
      <c r="G90" s="4" t="e">
        <f aca="false">IF(B$16=1,xCalcSkew(A90,H90-AL90,b)/100,0)</f>
        <v>#DIV/0!</v>
      </c>
      <c r="H90" s="41" t="n">
        <f aca="false">IF($B$19=4,$AL90,$B$18)</f>
        <v>2.44</v>
      </c>
      <c r="J90" s="40" t="n">
        <f aca="false">IF(J$28="nymex",0,VLOOKUP($A90,curvesettle,HLOOKUP(J$28,curvesettle,2,FALSE())))</f>
        <v>0</v>
      </c>
      <c r="K90" s="219" t="n">
        <f aca="false">IF(J$28="NYMEX",$AD90,$AC90)</f>
        <v>-6849</v>
      </c>
      <c r="L90" s="220" t="e">
        <f aca="false">($C90+M90)+D$15</f>
        <v>#DIV/0!</v>
      </c>
      <c r="M90" s="4" t="e">
        <f aca="false">IF(D$16=1,xCalcSkew($A90,N90-AW90,b)/100,0)</f>
        <v>#DIV/0!</v>
      </c>
      <c r="N90" s="41" t="n">
        <f aca="false">IF($D$19=4,$AW90,$D$18)</f>
        <v>2.44</v>
      </c>
      <c r="P90" s="40" t="n">
        <f aca="false">IF(P$28="nymex",0,VLOOKUP($A90,curvesettle,HLOOKUP(P$28,curvesettle,2,FALSE())))</f>
        <v>0</v>
      </c>
      <c r="Q90" s="219" t="n">
        <f aca="false">IF(P$28="NYMEX",$AD90,$AC90)</f>
        <v>-6849</v>
      </c>
      <c r="R90" s="220" t="e">
        <f aca="false">($C90+S90)+F$15</f>
        <v>#DIV/0!</v>
      </c>
      <c r="S90" s="4" t="e">
        <f aca="false">IF(F$16=1,xCalcSkew($A90,T90-BH90,b)/100,0)</f>
        <v>#DIV/0!</v>
      </c>
      <c r="T90" s="41" t="n">
        <f aca="false">IF($F$19=4,$BH90,$F$18)</f>
        <v>2.44</v>
      </c>
      <c r="V90" s="40" t="n">
        <f aca="false">IF(V$28="nymex",0,VLOOKUP($A90,curvesettle,HLOOKUP(V$28,curvesettle,2,FALSE())))</f>
        <v>0</v>
      </c>
      <c r="W90" s="219" t="n">
        <f aca="false">IF(V$28="NYMEX",$AD90,$AC90)</f>
        <v>-6849</v>
      </c>
      <c r="X90" s="4" t="e">
        <f aca="false">($C90+Y90)+H$15</f>
        <v>#DIV/0!</v>
      </c>
      <c r="Y90" s="4" t="e">
        <f aca="false">IF(H$16=1,xCalcSkew($A90,Z90-BS90,b)/100,0)</f>
        <v>#DIV/0!</v>
      </c>
      <c r="Z90" s="41" t="n">
        <f aca="false">IF($H$19=4,$BS90,$H$18)</f>
        <v>2.44</v>
      </c>
      <c r="AC90" s="219" t="n">
        <f aca="false">VLOOKUP($A90,expiration,2,FALSE())-$B$2</f>
        <v>-6848</v>
      </c>
      <c r="AD90" s="219" t="n">
        <f aca="false">VLOOKUP($A90,expiration,3,FALSE())-$B$2</f>
        <v>-6849</v>
      </c>
      <c r="AE90" s="4" t="n">
        <f aca="false">VLOOKUP($A90,STRADDLE,15,FALSE())</f>
        <v>0.0511562229938121</v>
      </c>
      <c r="AF90" s="43" t="n">
        <f aca="false">A91-A90</f>
        <v>31</v>
      </c>
      <c r="AI90" s="219"/>
      <c r="AJ90" s="9"/>
      <c r="AK90" s="9" t="n">
        <f aca="false">IF($A90&gt;=AL$25,IF($A90&lt;=AL$26,$AF90,0),0)</f>
        <v>0</v>
      </c>
      <c r="AL90" s="221" t="e">
        <f aca="false">AN90/AK90</f>
        <v>#DIV/0!</v>
      </c>
      <c r="AM90" s="1" t="n">
        <f aca="false">AK90*($B90+B$13)</f>
        <v>0</v>
      </c>
      <c r="AN90" s="33" t="n">
        <f aca="false">IF(ISNUMBER(((AM90/AK90)+B$14+$D90)*AK90),((AM90/AK90)+B$14+$D90)*AK90,0)</f>
        <v>0</v>
      </c>
      <c r="AO90" s="44" t="n">
        <f aca="false">IF(AK90=0,0,bsd(1,AP$27,AL90,$H90,$E90,$F90,$AE90,0.1))</f>
        <v>0</v>
      </c>
      <c r="AP90" s="44" t="n">
        <f aca="false">IF(AK90=0,0,bsd(2,AP$27,AL90,$H90,$E90,$F90,$AE90,0.1))</f>
        <v>0</v>
      </c>
      <c r="AQ90" s="44" t="n">
        <f aca="false">IF(AK90=0,0,bsd(AP$28,AP$27,AL90,$H90,$E90,$F90,$AE90,0.1))</f>
        <v>0</v>
      </c>
      <c r="AR90" s="45" t="n">
        <f aca="false">AK90*AO90</f>
        <v>0</v>
      </c>
      <c r="AS90" s="45" t="n">
        <f aca="false">AK90*AP90</f>
        <v>0</v>
      </c>
      <c r="AT90" s="45" t="n">
        <f aca="false">AK90*AQ90</f>
        <v>0</v>
      </c>
      <c r="AV90" s="9" t="n">
        <f aca="false">IF($A90&gt;=AW$25,IF($A90&lt;=AW$26,$AF90,0),0)</f>
        <v>0</v>
      </c>
      <c r="AW90" s="221" t="e">
        <f aca="false">AY90/AV90</f>
        <v>#DIV/0!</v>
      </c>
      <c r="AX90" s="1" t="n">
        <f aca="false">AV90*($B90+D$13)</f>
        <v>0</v>
      </c>
      <c r="AY90" s="33" t="n">
        <f aca="false">IF(ISNUMBER(((AX90/AV90)+D$14+$J90)*AV90),((AX90/AV90)+D$14+$J90)*AV90,0)</f>
        <v>0</v>
      </c>
      <c r="AZ90" s="44" t="n">
        <f aca="false">IF(AV90=0,0,bsd(1,BA$27,AW90,$N90,$K90,$L90,$AE90,0.1))</f>
        <v>0</v>
      </c>
      <c r="BA90" s="44" t="n">
        <f aca="false">IF(AV90=0,0,bsd(2,BA$27,AW90,$N90,$K90,$L90,$AE90,0.1))</f>
        <v>0</v>
      </c>
      <c r="BB90" s="44" t="n">
        <f aca="false">IF(AV90=0,0,bsd(BA$28,BA$27,AW90,$N90,$K90,$L90,$AE90,0.1))</f>
        <v>0</v>
      </c>
      <c r="BC90" s="45" t="n">
        <f aca="false">AV90*AZ90</f>
        <v>0</v>
      </c>
      <c r="BD90" s="45" t="n">
        <f aca="false">AV90*BA90</f>
        <v>0</v>
      </c>
      <c r="BE90" s="45" t="n">
        <f aca="false">AV90*BB90</f>
        <v>0</v>
      </c>
      <c r="BG90" s="9" t="n">
        <f aca="false">IF($A90&gt;=BH$25,IF($A90&lt;=BH$26,$AF90,0),0)</f>
        <v>0</v>
      </c>
      <c r="BH90" s="221" t="e">
        <f aca="false">BJ90/BG90</f>
        <v>#DIV/0!</v>
      </c>
      <c r="BI90" s="1" t="n">
        <f aca="false">BG90*($B90+F$13)</f>
        <v>0</v>
      </c>
      <c r="BJ90" s="33" t="n">
        <f aca="false">IF(ISNUMBER(((BI90/BG90)+F$14+$P90)*BG90),((BI90/BG90)+F$14+$P90)*BG90,0)</f>
        <v>0</v>
      </c>
      <c r="BK90" s="44" t="n">
        <f aca="false">IF(BG90=0,0,bsd(1,BL$27,BH90,$T90,$Q90,$R90,$AE90,0.1))</f>
        <v>0</v>
      </c>
      <c r="BL90" s="44" t="n">
        <f aca="false">IF(BG90=0,0,bsd(2,BL$27,BH90,$T90,$Q90,$R90,$AE90,0.1))</f>
        <v>0</v>
      </c>
      <c r="BM90" s="44" t="n">
        <f aca="false">IF(BG90=0,0,bsd(BL$28,BL$27,BH90,$T90,$Q90,$R90,$AE90,0.1))</f>
        <v>0</v>
      </c>
      <c r="BN90" s="45" t="n">
        <f aca="false">BG90*BK90</f>
        <v>0</v>
      </c>
      <c r="BO90" s="45" t="n">
        <f aca="false">BG90*BL90</f>
        <v>0</v>
      </c>
      <c r="BP90" s="45" t="n">
        <f aca="false">BG90*BM90</f>
        <v>0</v>
      </c>
      <c r="BR90" s="9" t="n">
        <f aca="false">IF($A90&gt;=BS$25,IF($A90&lt;=BS$26,$AF90,0),0)</f>
        <v>0</v>
      </c>
      <c r="BS90" s="221" t="e">
        <f aca="false">BU90/BR90</f>
        <v>#DIV/0!</v>
      </c>
      <c r="BT90" s="1" t="n">
        <f aca="false">BR90*($B90+H$13)</f>
        <v>0</v>
      </c>
      <c r="BU90" s="33" t="n">
        <f aca="false">IF(ISNUMBER(((BT90/BR90)+H$14+$V90)*BR90),((BT90/BR90)+H$14+$V90)*BR90,0)</f>
        <v>0</v>
      </c>
      <c r="BV90" s="44" t="n">
        <f aca="false">IF(BR90=0,0,bsd(1,BW$27,BS90,$Z90,$W90,$X90,$AE90,0.1))</f>
        <v>0</v>
      </c>
      <c r="BW90" s="44" t="n">
        <f aca="false">IF(BR90=0,0,bsd(2,BW$27,BS90,$Z90,$W90,$X90,$AE90,0.1))</f>
        <v>0</v>
      </c>
      <c r="BX90" s="44" t="n">
        <f aca="false">IF(BR90=0,0,bsd(BW$28,BW$27,BS90,$Z90,$W90,$X90,$AE90,0.1))</f>
        <v>0</v>
      </c>
      <c r="BY90" s="45" t="n">
        <f aca="false">BR90*BV90</f>
        <v>0</v>
      </c>
      <c r="BZ90" s="45" t="n">
        <f aca="false">BR90*BW90</f>
        <v>0</v>
      </c>
      <c r="CA90" s="45" t="n">
        <f aca="false">BR90*BX90</f>
        <v>0</v>
      </c>
    </row>
    <row r="91" customFormat="false" ht="12.75" hidden="false" customHeight="false" outlineLevel="0" collapsed="false">
      <c r="A91" s="48" t="n">
        <f aca="false">DATE(YEAR(A90),MONTH(A90)+1,1)</f>
        <v>39114</v>
      </c>
      <c r="B91" s="40" t="n">
        <f aca="false">VLOOKUP(A91,STRADDLE,5,FALSE())</f>
        <v>3.451</v>
      </c>
      <c r="C91" s="4" t="e">
        <f aca="false">VLOOKUP(A91,STRADDLE,6,FALSE())</f>
        <v>#VALUE!</v>
      </c>
      <c r="D91" s="40" t="n">
        <f aca="false">IF(D$28="nymex",0,VLOOKUP($A91,curvesettle,HLOOKUP(D$28,curvesettle,2,FALSE())))</f>
        <v>0</v>
      </c>
      <c r="E91" s="219" t="n">
        <f aca="false">IF(D$28="NYMEX",$AD91,$AC91)</f>
        <v>-6818</v>
      </c>
      <c r="F91" s="4" t="e">
        <f aca="false">($C91+G91)+B$15</f>
        <v>#DIV/0!</v>
      </c>
      <c r="G91" s="4" t="e">
        <f aca="false">IF(B$16=1,xCalcSkew(A91,H91-AL91,b)/100,0)</f>
        <v>#DIV/0!</v>
      </c>
      <c r="H91" s="41" t="n">
        <f aca="false">IF($B$19=4,$AL91,$B$18)</f>
        <v>2.44</v>
      </c>
      <c r="J91" s="40" t="n">
        <f aca="false">IF(J$28="nymex",0,VLOOKUP($A91,curvesettle,HLOOKUP(J$28,curvesettle,2,FALSE())))</f>
        <v>0</v>
      </c>
      <c r="K91" s="219" t="n">
        <f aca="false">IF(J$28="NYMEX",$AD91,$AC91)</f>
        <v>-6818</v>
      </c>
      <c r="L91" s="220" t="e">
        <f aca="false">($C91+M91)+D$15</f>
        <v>#DIV/0!</v>
      </c>
      <c r="M91" s="4" t="e">
        <f aca="false">IF(D$16=1,xCalcSkew($A91,N91-AW91,b)/100,0)</f>
        <v>#DIV/0!</v>
      </c>
      <c r="N91" s="41" t="n">
        <f aca="false">IF($D$19=4,$AW91,$D$18)</f>
        <v>2.44</v>
      </c>
      <c r="P91" s="40" t="n">
        <f aca="false">IF(P$28="nymex",0,VLOOKUP($A91,curvesettle,HLOOKUP(P$28,curvesettle,2,FALSE())))</f>
        <v>0</v>
      </c>
      <c r="Q91" s="219" t="n">
        <f aca="false">IF(P$28="NYMEX",$AD91,$AC91)</f>
        <v>-6818</v>
      </c>
      <c r="R91" s="220" t="e">
        <f aca="false">($C91+S91)+F$15</f>
        <v>#DIV/0!</v>
      </c>
      <c r="S91" s="4" t="e">
        <f aca="false">IF(F$16=1,xCalcSkew($A91,T91-BH91,b)/100,0)</f>
        <v>#DIV/0!</v>
      </c>
      <c r="T91" s="41" t="n">
        <f aca="false">IF($F$19=4,$BH91,$F$18)</f>
        <v>2.44</v>
      </c>
      <c r="V91" s="40" t="n">
        <f aca="false">IF(V$28="nymex",0,VLOOKUP($A91,curvesettle,HLOOKUP(V$28,curvesettle,2,FALSE())))</f>
        <v>0</v>
      </c>
      <c r="W91" s="219" t="n">
        <f aca="false">IF(V$28="NYMEX",$AD91,$AC91)</f>
        <v>-6818</v>
      </c>
      <c r="X91" s="4" t="e">
        <f aca="false">($C91+Y91)+H$15</f>
        <v>#DIV/0!</v>
      </c>
      <c r="Y91" s="4" t="e">
        <f aca="false">IF(H$16=1,xCalcSkew($A91,Z91-BS91,b)/100,0)</f>
        <v>#DIV/0!</v>
      </c>
      <c r="Z91" s="41" t="n">
        <f aca="false">IF($H$19=4,$BS91,$H$18)</f>
        <v>2.44</v>
      </c>
      <c r="AC91" s="219" t="n">
        <f aca="false">VLOOKUP($A91,expiration,2,FALSE())-$B$2</f>
        <v>-6815</v>
      </c>
      <c r="AD91" s="219" t="n">
        <f aca="false">VLOOKUP($A91,expiration,3,FALSE())-$B$2</f>
        <v>-6818</v>
      </c>
      <c r="AE91" s="4" t="n">
        <f aca="false">VLOOKUP($A91,STRADDLE,15,FALSE())</f>
        <v>0.051391857633718</v>
      </c>
      <c r="AF91" s="43" t="n">
        <f aca="false">A92-A91</f>
        <v>28</v>
      </c>
      <c r="AI91" s="219"/>
      <c r="AJ91" s="9"/>
      <c r="AK91" s="9" t="n">
        <f aca="false">IF($A91&gt;=AL$25,IF($A91&lt;=AL$26,$AF91,0),0)</f>
        <v>0</v>
      </c>
      <c r="AL91" s="221" t="e">
        <f aca="false">AN91/AK91</f>
        <v>#DIV/0!</v>
      </c>
      <c r="AM91" s="1" t="n">
        <f aca="false">AK91*($B91+B$13)</f>
        <v>0</v>
      </c>
      <c r="AN91" s="33" t="n">
        <f aca="false">IF(ISNUMBER(((AM91/AK91)+B$14+$D91)*AK91),((AM91/AK91)+B$14+$D91)*AK91,0)</f>
        <v>0</v>
      </c>
      <c r="AO91" s="44" t="n">
        <f aca="false">IF(AK91=0,0,bsd(1,AP$27,AL91,$H91,$E91,$F91,$AE91,0.1))</f>
        <v>0</v>
      </c>
      <c r="AP91" s="44" t="n">
        <f aca="false">IF(AK91=0,0,bsd(2,AP$27,AL91,$H91,$E91,$F91,$AE91,0.1))</f>
        <v>0</v>
      </c>
      <c r="AQ91" s="44" t="n">
        <f aca="false">IF(AK91=0,0,bsd(AP$28,AP$27,AL91,$H91,$E91,$F91,$AE91,0.1))</f>
        <v>0</v>
      </c>
      <c r="AR91" s="45" t="n">
        <f aca="false">AK91*AO91</f>
        <v>0</v>
      </c>
      <c r="AS91" s="45" t="n">
        <f aca="false">AK91*AP91</f>
        <v>0</v>
      </c>
      <c r="AT91" s="45" t="n">
        <f aca="false">AK91*AQ91</f>
        <v>0</v>
      </c>
      <c r="AV91" s="9" t="n">
        <f aca="false">IF($A91&gt;=AW$25,IF($A91&lt;=AW$26,$AF91,0),0)</f>
        <v>0</v>
      </c>
      <c r="AW91" s="221" t="e">
        <f aca="false">AY91/AV91</f>
        <v>#DIV/0!</v>
      </c>
      <c r="AX91" s="1" t="n">
        <f aca="false">AV91*($B91+D$13)</f>
        <v>0</v>
      </c>
      <c r="AY91" s="33" t="n">
        <f aca="false">IF(ISNUMBER(((AX91/AV91)+D$14+$J91)*AV91),((AX91/AV91)+D$14+$J91)*AV91,0)</f>
        <v>0</v>
      </c>
      <c r="AZ91" s="44" t="n">
        <f aca="false">IF(AV91=0,0,bsd(1,BA$27,AW91,$N91,$K91,$L91,$AE91,0.1))</f>
        <v>0</v>
      </c>
      <c r="BA91" s="44" t="n">
        <f aca="false">IF(AV91=0,0,bsd(2,BA$27,AW91,$N91,$K91,$L91,$AE91,0.1))</f>
        <v>0</v>
      </c>
      <c r="BB91" s="44" t="n">
        <f aca="false">IF(AV91=0,0,bsd(BA$28,BA$27,AW91,$N91,$K91,$L91,$AE91,0.1))</f>
        <v>0</v>
      </c>
      <c r="BC91" s="45" t="n">
        <f aca="false">AV91*AZ91</f>
        <v>0</v>
      </c>
      <c r="BD91" s="45" t="n">
        <f aca="false">AV91*BA91</f>
        <v>0</v>
      </c>
      <c r="BE91" s="45" t="n">
        <f aca="false">AV91*BB91</f>
        <v>0</v>
      </c>
      <c r="BG91" s="9" t="n">
        <f aca="false">IF($A91&gt;=BH$25,IF($A91&lt;=BH$26,$AF91,0),0)</f>
        <v>0</v>
      </c>
      <c r="BH91" s="221" t="e">
        <f aca="false">BJ91/BG91</f>
        <v>#DIV/0!</v>
      </c>
      <c r="BI91" s="1" t="n">
        <f aca="false">BG91*($B91+F$13)</f>
        <v>0</v>
      </c>
      <c r="BJ91" s="33" t="n">
        <f aca="false">IF(ISNUMBER(((BI91/BG91)+F$14+$P91)*BG91),((BI91/BG91)+F$14+$P91)*BG91,0)</f>
        <v>0</v>
      </c>
      <c r="BK91" s="44" t="n">
        <f aca="false">IF(BG91=0,0,bsd(1,BL$27,BH91,$T91,$Q91,$R91,$AE91,0.1))</f>
        <v>0</v>
      </c>
      <c r="BL91" s="44" t="n">
        <f aca="false">IF(BG91=0,0,bsd(2,BL$27,BH91,$T91,$Q91,$R91,$AE91,0.1))</f>
        <v>0</v>
      </c>
      <c r="BM91" s="44" t="n">
        <f aca="false">IF(BG91=0,0,bsd(BL$28,BL$27,BH91,$T91,$Q91,$R91,$AE91,0.1))</f>
        <v>0</v>
      </c>
      <c r="BN91" s="45" t="n">
        <f aca="false">BG91*BK91</f>
        <v>0</v>
      </c>
      <c r="BO91" s="45" t="n">
        <f aca="false">BG91*BL91</f>
        <v>0</v>
      </c>
      <c r="BP91" s="45" t="n">
        <f aca="false">BG91*BM91</f>
        <v>0</v>
      </c>
      <c r="BR91" s="9" t="n">
        <f aca="false">IF($A91&gt;=BS$25,IF($A91&lt;=BS$26,$AF91,0),0)</f>
        <v>0</v>
      </c>
      <c r="BS91" s="221" t="e">
        <f aca="false">BU91/BR91</f>
        <v>#DIV/0!</v>
      </c>
      <c r="BT91" s="1" t="n">
        <f aca="false">BR91*($B91+H$13)</f>
        <v>0</v>
      </c>
      <c r="BU91" s="33" t="n">
        <f aca="false">IF(ISNUMBER(((BT91/BR91)+H$14+$V91)*BR91),((BT91/BR91)+H$14+$V91)*BR91,0)</f>
        <v>0</v>
      </c>
      <c r="BV91" s="44" t="n">
        <f aca="false">IF(BR91=0,0,bsd(1,BW$27,BS91,$Z91,$W91,$X91,$AE91,0.1))</f>
        <v>0</v>
      </c>
      <c r="BW91" s="44" t="n">
        <f aca="false">IF(BR91=0,0,bsd(2,BW$27,BS91,$Z91,$W91,$X91,$AE91,0.1))</f>
        <v>0</v>
      </c>
      <c r="BX91" s="44" t="n">
        <f aca="false">IF(BR91=0,0,bsd(BW$28,BW$27,BS91,$Z91,$W91,$X91,$AE91,0.1))</f>
        <v>0</v>
      </c>
      <c r="BY91" s="45" t="n">
        <f aca="false">BR91*BV91</f>
        <v>0</v>
      </c>
      <c r="BZ91" s="45" t="n">
        <f aca="false">BR91*BW91</f>
        <v>0</v>
      </c>
      <c r="CA91" s="45" t="n">
        <f aca="false">BR91*BX91</f>
        <v>0</v>
      </c>
    </row>
    <row r="92" customFormat="false" ht="12.75" hidden="false" customHeight="false" outlineLevel="0" collapsed="false">
      <c r="A92" s="48" t="n">
        <f aca="false">DATE(YEAR(A91),MONTH(A91)+1,1)</f>
        <v>39142</v>
      </c>
      <c r="B92" s="40" t="n">
        <f aca="false">VLOOKUP(A92,STRADDLE,5,FALSE())</f>
        <v>3.4</v>
      </c>
      <c r="C92" s="4" t="e">
        <f aca="false">VLOOKUP(A92,STRADDLE,6,FALSE())</f>
        <v>#VALUE!</v>
      </c>
      <c r="D92" s="40" t="n">
        <f aca="false">IF(D$28="nymex",0,VLOOKUP($A92,curvesettle,HLOOKUP(D$28,curvesettle,2,FALSE())))</f>
        <v>0</v>
      </c>
      <c r="E92" s="219" t="n">
        <f aca="false">IF(D$28="NYMEX",$AD92,$AC92)</f>
        <v>-6790</v>
      </c>
      <c r="F92" s="4" t="e">
        <f aca="false">($C92+G92)+B$15</f>
        <v>#DIV/0!</v>
      </c>
      <c r="G92" s="4" t="e">
        <f aca="false">IF(B$16=1,xCalcSkew(A92,H92-AL92,b)/100,0)</f>
        <v>#DIV/0!</v>
      </c>
      <c r="H92" s="41" t="n">
        <f aca="false">IF($B$19=4,$AL92,$B$18)</f>
        <v>2.44</v>
      </c>
      <c r="J92" s="40" t="n">
        <f aca="false">IF(J$28="nymex",0,VLOOKUP($A92,curvesettle,HLOOKUP(J$28,curvesettle,2,FALSE())))</f>
        <v>0</v>
      </c>
      <c r="K92" s="219" t="n">
        <f aca="false">IF(J$28="NYMEX",$AD92,$AC92)</f>
        <v>-6790</v>
      </c>
      <c r="L92" s="220" t="e">
        <f aca="false">($C92+M92)+D$15</f>
        <v>#DIV/0!</v>
      </c>
      <c r="M92" s="4" t="e">
        <f aca="false">IF(D$16=1,xCalcSkew($A92,N92-AW92,b)/100,0)</f>
        <v>#DIV/0!</v>
      </c>
      <c r="N92" s="41" t="n">
        <f aca="false">IF($D$19=4,$AW92,$D$18)</f>
        <v>2.44</v>
      </c>
      <c r="P92" s="40" t="n">
        <f aca="false">IF(P$28="nymex",0,VLOOKUP($A92,curvesettle,HLOOKUP(P$28,curvesettle,2,FALSE())))</f>
        <v>0</v>
      </c>
      <c r="Q92" s="219" t="n">
        <f aca="false">IF(P$28="NYMEX",$AD92,$AC92)</f>
        <v>-6790</v>
      </c>
      <c r="R92" s="220" t="e">
        <f aca="false">($C92+S92)+F$15</f>
        <v>#DIV/0!</v>
      </c>
      <c r="S92" s="4" t="e">
        <f aca="false">IF(F$16=1,xCalcSkew($A92,T92-BH92,b)/100,0)</f>
        <v>#DIV/0!</v>
      </c>
      <c r="T92" s="41" t="n">
        <f aca="false">IF($F$19=4,$BH92,$F$18)</f>
        <v>2.44</v>
      </c>
      <c r="V92" s="40" t="n">
        <f aca="false">IF(V$28="nymex",0,VLOOKUP($A92,curvesettle,HLOOKUP(V$28,curvesettle,2,FALSE())))</f>
        <v>0</v>
      </c>
      <c r="W92" s="219" t="n">
        <f aca="false">IF(V$28="NYMEX",$AD92,$AC92)</f>
        <v>-6790</v>
      </c>
      <c r="X92" s="4" t="e">
        <f aca="false">($C92+Y92)+H$15</f>
        <v>#DIV/0!</v>
      </c>
      <c r="Y92" s="4" t="e">
        <f aca="false">IF(H$16=1,xCalcSkew($A92,Z92-BS92,b)/100,0)</f>
        <v>#DIV/0!</v>
      </c>
      <c r="Z92" s="41" t="n">
        <f aca="false">IF($H$19=4,$BS92,$H$18)</f>
        <v>2.44</v>
      </c>
      <c r="AC92" s="219" t="n">
        <f aca="false">VLOOKUP($A92,expiration,2,FALSE())-$B$2</f>
        <v>-6787</v>
      </c>
      <c r="AD92" s="219" t="n">
        <f aca="false">VLOOKUP($A92,expiration,3,FALSE())-$B$2</f>
        <v>-6790</v>
      </c>
      <c r="AE92" s="4" t="n">
        <f aca="false">VLOOKUP($A92,STRADDLE,15,FALSE())</f>
        <v>0.0515733712395421</v>
      </c>
      <c r="AF92" s="43" t="n">
        <f aca="false">A93-A92</f>
        <v>31</v>
      </c>
      <c r="AI92" s="219"/>
      <c r="AJ92" s="9"/>
      <c r="AK92" s="9" t="n">
        <f aca="false">IF($A92&gt;=AL$25,IF($A92&lt;=AL$26,$AF92,0),0)</f>
        <v>0</v>
      </c>
      <c r="AL92" s="221" t="e">
        <f aca="false">AN92/AK92</f>
        <v>#DIV/0!</v>
      </c>
      <c r="AM92" s="1" t="n">
        <f aca="false">AK92*($B92+B$13)</f>
        <v>0</v>
      </c>
      <c r="AN92" s="33" t="n">
        <f aca="false">IF(ISNUMBER(((AM92/AK92)+B$14+$D92)*AK92),((AM92/AK92)+B$14+$D92)*AK92,0)</f>
        <v>0</v>
      </c>
      <c r="AO92" s="44" t="n">
        <f aca="false">IF(AK92=0,0,bsd(1,AP$27,AL92,$H92,$E92,$F92,$AE92,0.1))</f>
        <v>0</v>
      </c>
      <c r="AP92" s="44" t="n">
        <f aca="false">IF(AK92=0,0,bsd(2,AP$27,AL92,$H92,$E92,$F92,$AE92,0.1))</f>
        <v>0</v>
      </c>
      <c r="AQ92" s="44" t="n">
        <f aca="false">IF(AK92=0,0,bsd(AP$28,AP$27,AL92,$H92,$E92,$F92,$AE92,0.1))</f>
        <v>0</v>
      </c>
      <c r="AR92" s="45" t="n">
        <f aca="false">AK92*AO92</f>
        <v>0</v>
      </c>
      <c r="AS92" s="45" t="n">
        <f aca="false">AK92*AP92</f>
        <v>0</v>
      </c>
      <c r="AT92" s="45" t="n">
        <f aca="false">AK92*AQ92</f>
        <v>0</v>
      </c>
      <c r="AV92" s="9" t="n">
        <f aca="false">IF($A92&gt;=AW$25,IF($A92&lt;=AW$26,$AF92,0),0)</f>
        <v>0</v>
      </c>
      <c r="AW92" s="221" t="e">
        <f aca="false">AY92/AV92</f>
        <v>#DIV/0!</v>
      </c>
      <c r="AX92" s="1" t="n">
        <f aca="false">AV92*($B92+D$13)</f>
        <v>0</v>
      </c>
      <c r="AY92" s="33" t="n">
        <f aca="false">IF(ISNUMBER(((AX92/AV92)+D$14+$J92)*AV92),((AX92/AV92)+D$14+$J92)*AV92,0)</f>
        <v>0</v>
      </c>
      <c r="AZ92" s="44" t="n">
        <f aca="false">IF(AV92=0,0,bsd(1,BA$27,AW92,$N92,$K92,$L92,$AE92,0.1))</f>
        <v>0</v>
      </c>
      <c r="BA92" s="44" t="n">
        <f aca="false">IF(AV92=0,0,bsd(2,BA$27,AW92,$N92,$K92,$L92,$AE92,0.1))</f>
        <v>0</v>
      </c>
      <c r="BB92" s="44" t="n">
        <f aca="false">IF(AV92=0,0,bsd(BA$28,BA$27,AW92,$N92,$K92,$L92,$AE92,0.1))</f>
        <v>0</v>
      </c>
      <c r="BC92" s="45" t="n">
        <f aca="false">AV92*AZ92</f>
        <v>0</v>
      </c>
      <c r="BD92" s="45" t="n">
        <f aca="false">AV92*BA92</f>
        <v>0</v>
      </c>
      <c r="BE92" s="45" t="n">
        <f aca="false">AV92*BB92</f>
        <v>0</v>
      </c>
      <c r="BG92" s="9" t="n">
        <f aca="false">IF($A92&gt;=BH$25,IF($A92&lt;=BH$26,$AF92,0),0)</f>
        <v>0</v>
      </c>
      <c r="BH92" s="221" t="e">
        <f aca="false">BJ92/BG92</f>
        <v>#DIV/0!</v>
      </c>
      <c r="BI92" s="1" t="n">
        <f aca="false">BG92*($B92+F$13)</f>
        <v>0</v>
      </c>
      <c r="BJ92" s="33" t="n">
        <f aca="false">IF(ISNUMBER(((BI92/BG92)+F$14+$P92)*BG92),((BI92/BG92)+F$14+$P92)*BG92,0)</f>
        <v>0</v>
      </c>
      <c r="BK92" s="44" t="n">
        <f aca="false">IF(BG92=0,0,bsd(1,BL$27,BH92,$T92,$Q92,$R92,$AE92,0.1))</f>
        <v>0</v>
      </c>
      <c r="BL92" s="44" t="n">
        <f aca="false">IF(BG92=0,0,bsd(2,BL$27,BH92,$T92,$Q92,$R92,$AE92,0.1))</f>
        <v>0</v>
      </c>
      <c r="BM92" s="44" t="n">
        <f aca="false">IF(BG92=0,0,bsd(BL$28,BL$27,BH92,$T92,$Q92,$R92,$AE92,0.1))</f>
        <v>0</v>
      </c>
      <c r="BN92" s="45" t="n">
        <f aca="false">BG92*BK92</f>
        <v>0</v>
      </c>
      <c r="BO92" s="45" t="n">
        <f aca="false">BG92*BL92</f>
        <v>0</v>
      </c>
      <c r="BP92" s="45" t="n">
        <f aca="false">BG92*BM92</f>
        <v>0</v>
      </c>
      <c r="BR92" s="9" t="n">
        <f aca="false">IF($A92&gt;=BS$25,IF($A92&lt;=BS$26,$AF92,0),0)</f>
        <v>0</v>
      </c>
      <c r="BS92" s="221" t="e">
        <f aca="false">BU92/BR92</f>
        <v>#DIV/0!</v>
      </c>
      <c r="BT92" s="1" t="n">
        <f aca="false">BR92*($B92+H$13)</f>
        <v>0</v>
      </c>
      <c r="BU92" s="33" t="n">
        <f aca="false">IF(ISNUMBER(((BT92/BR92)+H$14+$V92)*BR92),((BT92/BR92)+H$14+$V92)*BR92,0)</f>
        <v>0</v>
      </c>
      <c r="BV92" s="44" t="n">
        <f aca="false">IF(BR92=0,0,bsd(1,BW$27,BS92,$Z92,$W92,$X92,$AE92,0.1))</f>
        <v>0</v>
      </c>
      <c r="BW92" s="44" t="n">
        <f aca="false">IF(BR92=0,0,bsd(2,BW$27,BS92,$Z92,$W92,$X92,$AE92,0.1))</f>
        <v>0</v>
      </c>
      <c r="BX92" s="44" t="n">
        <f aca="false">IF(BR92=0,0,bsd(BW$28,BW$27,BS92,$Z92,$W92,$X92,$AE92,0.1))</f>
        <v>0</v>
      </c>
      <c r="BY92" s="45" t="n">
        <f aca="false">BR92*BV92</f>
        <v>0</v>
      </c>
      <c r="BZ92" s="45" t="n">
        <f aca="false">BR92*BW92</f>
        <v>0</v>
      </c>
      <c r="CA92" s="45" t="n">
        <f aca="false">BR92*BX92</f>
        <v>0</v>
      </c>
    </row>
    <row r="93" customFormat="false" ht="12.75" hidden="false" customHeight="false" outlineLevel="0" collapsed="false">
      <c r="A93" s="48" t="n">
        <f aca="false">DATE(YEAR(A92),MONTH(A92)+1,1)</f>
        <v>39173</v>
      </c>
      <c r="B93" s="40" t="n">
        <f aca="false">VLOOKUP(A93,STRADDLE,5,FALSE())</f>
        <v>3.181</v>
      </c>
      <c r="C93" s="4" t="e">
        <f aca="false">VLOOKUP(A93,STRADDLE,6,FALSE())</f>
        <v>#VALUE!</v>
      </c>
      <c r="D93" s="40" t="n">
        <f aca="false">IF(D$28="nymex",0,VLOOKUP($A93,curvesettle,HLOOKUP(D$28,curvesettle,2,FALSE())))</f>
        <v>0</v>
      </c>
      <c r="E93" s="219" t="n">
        <f aca="false">IF(D$28="NYMEX",$AD93,$AC93)</f>
        <v>-6758</v>
      </c>
      <c r="F93" s="4" t="e">
        <f aca="false">($C93+G93)+B$15</f>
        <v>#DIV/0!</v>
      </c>
      <c r="G93" s="4" t="e">
        <f aca="false">IF(B$16=1,xCalcSkew(A93,H93-AL93,b)/100,0)</f>
        <v>#DIV/0!</v>
      </c>
      <c r="H93" s="41" t="n">
        <f aca="false">IF($B$19=4,$AL93,$B$18)</f>
        <v>2.44</v>
      </c>
      <c r="J93" s="40" t="n">
        <f aca="false">IF(J$28="nymex",0,VLOOKUP($A93,curvesettle,HLOOKUP(J$28,curvesettle,2,FALSE())))</f>
        <v>0</v>
      </c>
      <c r="K93" s="219" t="n">
        <f aca="false">IF(J$28="NYMEX",$AD93,$AC93)</f>
        <v>-6758</v>
      </c>
      <c r="L93" s="220" t="e">
        <f aca="false">($C93+M93)+D$15</f>
        <v>#DIV/0!</v>
      </c>
      <c r="M93" s="4" t="e">
        <f aca="false">IF(D$16=1,xCalcSkew($A93,N93-AW93,b)/100,0)</f>
        <v>#DIV/0!</v>
      </c>
      <c r="N93" s="41" t="n">
        <f aca="false">IF($D$19=4,$AW93,$D$18)</f>
        <v>2.44</v>
      </c>
      <c r="P93" s="40" t="n">
        <f aca="false">IF(P$28="nymex",0,VLOOKUP($A93,curvesettle,HLOOKUP(P$28,curvesettle,2,FALSE())))</f>
        <v>0</v>
      </c>
      <c r="Q93" s="219" t="n">
        <f aca="false">IF(P$28="NYMEX",$AD93,$AC93)</f>
        <v>-6758</v>
      </c>
      <c r="R93" s="220" t="e">
        <f aca="false">($C93+S93)+F$15</f>
        <v>#DIV/0!</v>
      </c>
      <c r="S93" s="4" t="e">
        <f aca="false">IF(F$16=1,xCalcSkew($A93,T93-BH93,b)/100,0)</f>
        <v>#DIV/0!</v>
      </c>
      <c r="T93" s="41" t="n">
        <f aca="false">IF($F$19=4,$BH93,$F$18)</f>
        <v>2.44</v>
      </c>
      <c r="V93" s="40" t="n">
        <f aca="false">IF(V$28="nymex",0,VLOOKUP($A93,curvesettle,HLOOKUP(V$28,curvesettle,2,FALSE())))</f>
        <v>0</v>
      </c>
      <c r="W93" s="219" t="n">
        <f aca="false">IF(V$28="NYMEX",$AD93,$AC93)</f>
        <v>-6758</v>
      </c>
      <c r="X93" s="4" t="e">
        <f aca="false">($C93+Y93)+H$15</f>
        <v>#DIV/0!</v>
      </c>
      <c r="Y93" s="4" t="e">
        <f aca="false">IF(H$16=1,xCalcSkew($A93,Z93-BS93,b)/100,0)</f>
        <v>#DIV/0!</v>
      </c>
      <c r="Z93" s="41" t="n">
        <f aca="false">IF($H$19=4,$BS93,$H$18)</f>
        <v>2.44</v>
      </c>
      <c r="AC93" s="219" t="n">
        <f aca="false">VLOOKUP($A93,expiration,2,FALSE())-$B$2</f>
        <v>-6757</v>
      </c>
      <c r="AD93" s="219" t="n">
        <f aca="false">VLOOKUP($A93,expiration,3,FALSE())-$B$2</f>
        <v>-6758</v>
      </c>
      <c r="AE93" s="4" t="n">
        <f aca="false">VLOOKUP($A93,STRADDLE,15,FALSE())</f>
        <v>0.0517373190219916</v>
      </c>
      <c r="AF93" s="43" t="n">
        <f aca="false">A94-A93</f>
        <v>30</v>
      </c>
      <c r="AI93" s="219"/>
      <c r="AJ93" s="9"/>
      <c r="AK93" s="9" t="n">
        <f aca="false">IF($A93&gt;=AL$25,IF($A93&lt;=AL$26,$AF93,0),0)</f>
        <v>0</v>
      </c>
      <c r="AL93" s="221" t="e">
        <f aca="false">AN93/AK93</f>
        <v>#DIV/0!</v>
      </c>
      <c r="AM93" s="1" t="n">
        <f aca="false">AK93*($B93+B$13)</f>
        <v>0</v>
      </c>
      <c r="AN93" s="33" t="n">
        <f aca="false">IF(ISNUMBER(((AM93/AK93)+B$14+$D93)*AK93),((AM93/AK93)+B$14+$D93)*AK93,0)</f>
        <v>0</v>
      </c>
      <c r="AO93" s="44" t="n">
        <f aca="false">IF(AK93=0,0,bsd(1,AP$27,AL93,$H93,$E93,$F93,$AE93,0.1))</f>
        <v>0</v>
      </c>
      <c r="AP93" s="44" t="n">
        <f aca="false">IF(AK93=0,0,bsd(2,AP$27,AL93,$H93,$E93,$F93,$AE93,0.1))</f>
        <v>0</v>
      </c>
      <c r="AQ93" s="44" t="n">
        <f aca="false">IF(AK93=0,0,bsd(AP$28,AP$27,AL93,$H93,$E93,$F93,$AE93,0.1))</f>
        <v>0</v>
      </c>
      <c r="AR93" s="45" t="n">
        <f aca="false">AK93*AO93</f>
        <v>0</v>
      </c>
      <c r="AS93" s="45" t="n">
        <f aca="false">AK93*AP93</f>
        <v>0</v>
      </c>
      <c r="AT93" s="45" t="n">
        <f aca="false">AK93*AQ93</f>
        <v>0</v>
      </c>
      <c r="AV93" s="9" t="n">
        <f aca="false">IF($A93&gt;=AW$25,IF($A93&lt;=AW$26,$AF93,0),0)</f>
        <v>0</v>
      </c>
      <c r="AW93" s="221" t="e">
        <f aca="false">AY93/AV93</f>
        <v>#DIV/0!</v>
      </c>
      <c r="AX93" s="1" t="n">
        <f aca="false">AV93*($B93+D$13)</f>
        <v>0</v>
      </c>
      <c r="AY93" s="33" t="n">
        <f aca="false">IF(ISNUMBER(((AX93/AV93)+D$14+$J93)*AV93),((AX93/AV93)+D$14+$J93)*AV93,0)</f>
        <v>0</v>
      </c>
      <c r="AZ93" s="44" t="n">
        <f aca="false">IF(AV93=0,0,bsd(1,BA$27,AW93,$N93,$K93,$L93,$AE93,0.1))</f>
        <v>0</v>
      </c>
      <c r="BA93" s="44" t="n">
        <f aca="false">IF(AV93=0,0,bsd(2,BA$27,AW93,$N93,$K93,$L93,$AE93,0.1))</f>
        <v>0</v>
      </c>
      <c r="BB93" s="44" t="n">
        <f aca="false">IF(AV93=0,0,bsd(BA$28,BA$27,AW93,$N93,$K93,$L93,$AE93,0.1))</f>
        <v>0</v>
      </c>
      <c r="BC93" s="45" t="n">
        <f aca="false">AV93*AZ93</f>
        <v>0</v>
      </c>
      <c r="BD93" s="45" t="n">
        <f aca="false">AV93*BA93</f>
        <v>0</v>
      </c>
      <c r="BE93" s="45" t="n">
        <f aca="false">AV93*BB93</f>
        <v>0</v>
      </c>
      <c r="BG93" s="9" t="n">
        <f aca="false">IF($A93&gt;=BH$25,IF($A93&lt;=BH$26,$AF93,0),0)</f>
        <v>0</v>
      </c>
      <c r="BH93" s="221" t="e">
        <f aca="false">BJ93/BG93</f>
        <v>#DIV/0!</v>
      </c>
      <c r="BI93" s="1" t="n">
        <f aca="false">BG93*($B93+F$13)</f>
        <v>0</v>
      </c>
      <c r="BJ93" s="33" t="n">
        <f aca="false">IF(ISNUMBER(((BI93/BG93)+F$14+$P93)*BG93),((BI93/BG93)+F$14+$P93)*BG93,0)</f>
        <v>0</v>
      </c>
      <c r="BK93" s="44" t="n">
        <f aca="false">IF(BG93=0,0,bsd(1,BL$27,BH93,$T93,$Q93,$R93,$AE93,0.1))</f>
        <v>0</v>
      </c>
      <c r="BL93" s="44" t="n">
        <f aca="false">IF(BG93=0,0,bsd(2,BL$27,BH93,$T93,$Q93,$R93,$AE93,0.1))</f>
        <v>0</v>
      </c>
      <c r="BM93" s="44" t="n">
        <f aca="false">IF(BG93=0,0,bsd(BL$28,BL$27,BH93,$T93,$Q93,$R93,$AE93,0.1))</f>
        <v>0</v>
      </c>
      <c r="BN93" s="45" t="n">
        <f aca="false">BG93*BK93</f>
        <v>0</v>
      </c>
      <c r="BO93" s="45" t="n">
        <f aca="false">BG93*BL93</f>
        <v>0</v>
      </c>
      <c r="BP93" s="45" t="n">
        <f aca="false">BG93*BM93</f>
        <v>0</v>
      </c>
      <c r="BR93" s="9" t="n">
        <f aca="false">IF($A93&gt;=BS$25,IF($A93&lt;=BS$26,$AF93,0),0)</f>
        <v>0</v>
      </c>
      <c r="BS93" s="221" t="e">
        <f aca="false">BU93/BR93</f>
        <v>#DIV/0!</v>
      </c>
      <c r="BT93" s="1" t="n">
        <f aca="false">BR93*($B93+H$13)</f>
        <v>0</v>
      </c>
      <c r="BU93" s="33" t="n">
        <f aca="false">IF(ISNUMBER(((BT93/BR93)+H$14+$V93)*BR93),((BT93/BR93)+H$14+$V93)*BR93,0)</f>
        <v>0</v>
      </c>
      <c r="BV93" s="44" t="n">
        <f aca="false">IF(BR93=0,0,bsd(1,BW$27,BS93,$Z93,$W93,$X93,$AE93,0.1))</f>
        <v>0</v>
      </c>
      <c r="BW93" s="44" t="n">
        <f aca="false">IF(BR93=0,0,bsd(2,BW$27,BS93,$Z93,$W93,$X93,$AE93,0.1))</f>
        <v>0</v>
      </c>
      <c r="BX93" s="44" t="n">
        <f aca="false">IF(BR93=0,0,bsd(BW$28,BW$27,BS93,$Z93,$W93,$X93,$AE93,0.1))</f>
        <v>0</v>
      </c>
      <c r="BY93" s="45" t="n">
        <f aca="false">BR93*BV93</f>
        <v>0</v>
      </c>
      <c r="BZ93" s="45" t="n">
        <f aca="false">BR93*BW93</f>
        <v>0</v>
      </c>
      <c r="CA93" s="45" t="n">
        <f aca="false">BR93*BX93</f>
        <v>0</v>
      </c>
    </row>
    <row r="94" customFormat="false" ht="12.75" hidden="false" customHeight="false" outlineLevel="0" collapsed="false">
      <c r="A94" s="48" t="n">
        <f aca="false">DATE(YEAR(A93),MONTH(A93)+1,1)</f>
        <v>39203</v>
      </c>
      <c r="B94" s="40" t="n">
        <f aca="false">VLOOKUP(A94,STRADDLE,5,FALSE())</f>
        <v>3.184</v>
      </c>
      <c r="C94" s="4" t="e">
        <f aca="false">VLOOKUP(A94,STRADDLE,6,FALSE())</f>
        <v>#VALUE!</v>
      </c>
      <c r="D94" s="40" t="n">
        <f aca="false">IF(D$28="nymex",0,VLOOKUP($A94,curvesettle,HLOOKUP(D$28,curvesettle,2,FALSE())))</f>
        <v>0</v>
      </c>
      <c r="E94" s="219" t="n">
        <f aca="false">IF(D$28="NYMEX",$AD94,$AC94)</f>
        <v>-6729</v>
      </c>
      <c r="F94" s="4" t="e">
        <f aca="false">($C94+G94)+B$15</f>
        <v>#DIV/0!</v>
      </c>
      <c r="G94" s="4" t="e">
        <f aca="false">IF(B$16=1,xCalcSkew(A94,H94-AL94,b)/100,0)</f>
        <v>#DIV/0!</v>
      </c>
      <c r="H94" s="41" t="n">
        <f aca="false">IF($B$19=4,$AL94,$B$18)</f>
        <v>2.44</v>
      </c>
      <c r="J94" s="40" t="n">
        <f aca="false">IF(J$28="nymex",0,VLOOKUP($A94,curvesettle,HLOOKUP(J$28,curvesettle,2,FALSE())))</f>
        <v>0</v>
      </c>
      <c r="K94" s="219" t="n">
        <f aca="false">IF(J$28="NYMEX",$AD94,$AC94)</f>
        <v>-6729</v>
      </c>
      <c r="L94" s="220" t="e">
        <f aca="false">($C94+M94)+D$15</f>
        <v>#DIV/0!</v>
      </c>
      <c r="M94" s="4" t="e">
        <f aca="false">IF(D$16=1,xCalcSkew($A94,N94-AW94,b)/100,0)</f>
        <v>#DIV/0!</v>
      </c>
      <c r="N94" s="41" t="n">
        <f aca="false">IF($D$19=4,$AW94,$D$18)</f>
        <v>2.44</v>
      </c>
      <c r="P94" s="40" t="n">
        <f aca="false">IF(P$28="nymex",0,VLOOKUP($A94,curvesettle,HLOOKUP(P$28,curvesettle,2,FALSE())))</f>
        <v>0</v>
      </c>
      <c r="Q94" s="219" t="n">
        <f aca="false">IF(P$28="NYMEX",$AD94,$AC94)</f>
        <v>-6729</v>
      </c>
      <c r="R94" s="220" t="e">
        <f aca="false">($C94+S94)+F$15</f>
        <v>#DIV/0!</v>
      </c>
      <c r="S94" s="4" t="e">
        <f aca="false">IF(F$16=1,xCalcSkew($A94,T94-BH94,b)/100,0)</f>
        <v>#DIV/0!</v>
      </c>
      <c r="T94" s="41" t="n">
        <f aca="false">IF($F$19=4,$BH94,$F$18)</f>
        <v>2.44</v>
      </c>
      <c r="V94" s="40" t="n">
        <f aca="false">IF(V$28="nymex",0,VLOOKUP($A94,curvesettle,HLOOKUP(V$28,curvesettle,2,FALSE())))</f>
        <v>0</v>
      </c>
      <c r="W94" s="219" t="n">
        <f aca="false">IF(V$28="NYMEX",$AD94,$AC94)</f>
        <v>-6729</v>
      </c>
      <c r="X94" s="4" t="e">
        <f aca="false">($C94+Y94)+H$15</f>
        <v>#DIV/0!</v>
      </c>
      <c r="Y94" s="4" t="e">
        <f aca="false">IF(H$16=1,xCalcSkew($A94,Z94-BS94,b)/100,0)</f>
        <v>#DIV/0!</v>
      </c>
      <c r="Z94" s="41" t="n">
        <f aca="false">IF($H$19=4,$BS94,$H$18)</f>
        <v>2.44</v>
      </c>
      <c r="AC94" s="219" t="n">
        <f aca="false">VLOOKUP($A94,expiration,2,FALSE())-$B$2</f>
        <v>-6728</v>
      </c>
      <c r="AD94" s="219" t="n">
        <f aca="false">VLOOKUP($A94,expiration,3,FALSE())-$B$2</f>
        <v>-6729</v>
      </c>
      <c r="AE94" s="4" t="n">
        <f aca="false">VLOOKUP($A94,STRADDLE,15,FALSE())</f>
        <v>0.0519188326487345</v>
      </c>
      <c r="AF94" s="43" t="n">
        <f aca="false">A95-A94</f>
        <v>31</v>
      </c>
      <c r="AI94" s="219"/>
      <c r="AJ94" s="9"/>
      <c r="AK94" s="9" t="n">
        <f aca="false">IF($A94&gt;=AL$25,IF($A94&lt;=AL$26,$AF94,0),0)</f>
        <v>0</v>
      </c>
      <c r="AL94" s="221" t="e">
        <f aca="false">AN94/AK94</f>
        <v>#DIV/0!</v>
      </c>
      <c r="AM94" s="1" t="n">
        <f aca="false">AK94*($B94+B$13)</f>
        <v>0</v>
      </c>
      <c r="AN94" s="33" t="n">
        <f aca="false">IF(ISNUMBER(((AM94/AK94)+B$14+$D94)*AK94),((AM94/AK94)+B$14+$D94)*AK94,0)</f>
        <v>0</v>
      </c>
      <c r="AO94" s="44" t="n">
        <f aca="false">IF(AK94=0,0,bsd(1,AP$27,AL94,$H94,$E94,$F94,$AE94,0.1))</f>
        <v>0</v>
      </c>
      <c r="AP94" s="44" t="n">
        <f aca="false">IF(AK94=0,0,bsd(2,AP$27,AL94,$H94,$E94,$F94,$AE94,0.1))</f>
        <v>0</v>
      </c>
      <c r="AQ94" s="44" t="n">
        <f aca="false">IF(AK94=0,0,bsd(AP$28,AP$27,AL94,$H94,$E94,$F94,$AE94,0.1))</f>
        <v>0</v>
      </c>
      <c r="AR94" s="45" t="n">
        <f aca="false">AK94*AO94</f>
        <v>0</v>
      </c>
      <c r="AS94" s="45" t="n">
        <f aca="false">AK94*AP94</f>
        <v>0</v>
      </c>
      <c r="AT94" s="45" t="n">
        <f aca="false">AK94*AQ94</f>
        <v>0</v>
      </c>
      <c r="AV94" s="9" t="n">
        <f aca="false">IF($A94&gt;=AW$25,IF($A94&lt;=AW$26,$AF94,0),0)</f>
        <v>0</v>
      </c>
      <c r="AW94" s="221" t="e">
        <f aca="false">AY94/AV94</f>
        <v>#DIV/0!</v>
      </c>
      <c r="AX94" s="1" t="n">
        <f aca="false">AV94*($B94+D$13)</f>
        <v>0</v>
      </c>
      <c r="AY94" s="33" t="n">
        <f aca="false">IF(ISNUMBER(((AX94/AV94)+D$14+$J94)*AV94),((AX94/AV94)+D$14+$J94)*AV94,0)</f>
        <v>0</v>
      </c>
      <c r="AZ94" s="44" t="n">
        <f aca="false">IF(AV94=0,0,bsd(1,BA$27,AW94,$N94,$K94,$L94,$AE94,0.1))</f>
        <v>0</v>
      </c>
      <c r="BA94" s="44" t="n">
        <f aca="false">IF(AV94=0,0,bsd(2,BA$27,AW94,$N94,$K94,$L94,$AE94,0.1))</f>
        <v>0</v>
      </c>
      <c r="BB94" s="44" t="n">
        <f aca="false">IF(AV94=0,0,bsd(BA$28,BA$27,AW94,$N94,$K94,$L94,$AE94,0.1))</f>
        <v>0</v>
      </c>
      <c r="BC94" s="45" t="n">
        <f aca="false">AV94*AZ94</f>
        <v>0</v>
      </c>
      <c r="BD94" s="45" t="n">
        <f aca="false">AV94*BA94</f>
        <v>0</v>
      </c>
      <c r="BE94" s="45" t="n">
        <f aca="false">AV94*BB94</f>
        <v>0</v>
      </c>
      <c r="BG94" s="9" t="n">
        <f aca="false">IF($A94&gt;=BH$25,IF($A94&lt;=BH$26,$AF94,0),0)</f>
        <v>0</v>
      </c>
      <c r="BH94" s="221" t="e">
        <f aca="false">BJ94/BG94</f>
        <v>#DIV/0!</v>
      </c>
      <c r="BI94" s="1" t="n">
        <f aca="false">BG94*($B94+F$13)</f>
        <v>0</v>
      </c>
      <c r="BJ94" s="33" t="n">
        <f aca="false">IF(ISNUMBER(((BI94/BG94)+F$14+$P94)*BG94),((BI94/BG94)+F$14+$P94)*BG94,0)</f>
        <v>0</v>
      </c>
      <c r="BK94" s="44" t="n">
        <f aca="false">IF(BG94=0,0,bsd(1,BL$27,BH94,$T94,$Q94,$R94,$AE94,0.1))</f>
        <v>0</v>
      </c>
      <c r="BL94" s="44" t="n">
        <f aca="false">IF(BG94=0,0,bsd(2,BL$27,BH94,$T94,$Q94,$R94,$AE94,0.1))</f>
        <v>0</v>
      </c>
      <c r="BM94" s="44" t="n">
        <f aca="false">IF(BG94=0,0,bsd(BL$28,BL$27,BH94,$T94,$Q94,$R94,$AE94,0.1))</f>
        <v>0</v>
      </c>
      <c r="BN94" s="45" t="n">
        <f aca="false">BG94*BK94</f>
        <v>0</v>
      </c>
      <c r="BO94" s="45" t="n">
        <f aca="false">BG94*BL94</f>
        <v>0</v>
      </c>
      <c r="BP94" s="45" t="n">
        <f aca="false">BG94*BM94</f>
        <v>0</v>
      </c>
      <c r="BR94" s="9" t="n">
        <f aca="false">IF($A94&gt;=BS$25,IF($A94&lt;=BS$26,$AF94,0),0)</f>
        <v>0</v>
      </c>
      <c r="BS94" s="221" t="e">
        <f aca="false">BU94/BR94</f>
        <v>#DIV/0!</v>
      </c>
      <c r="BT94" s="1" t="n">
        <f aca="false">BR94*($B94+H$13)</f>
        <v>0</v>
      </c>
      <c r="BU94" s="33" t="n">
        <f aca="false">IF(ISNUMBER(((BT94/BR94)+H$14+$V94)*BR94),((BT94/BR94)+H$14+$V94)*BR94,0)</f>
        <v>0</v>
      </c>
      <c r="BV94" s="44" t="n">
        <f aca="false">IF(BR94=0,0,bsd(1,BW$27,BS94,$Z94,$W94,$X94,$AE94,0.1))</f>
        <v>0</v>
      </c>
      <c r="BW94" s="44" t="n">
        <f aca="false">IF(BR94=0,0,bsd(2,BW$27,BS94,$Z94,$W94,$X94,$AE94,0.1))</f>
        <v>0</v>
      </c>
      <c r="BX94" s="44" t="n">
        <f aca="false">IF(BR94=0,0,bsd(BW$28,BW$27,BS94,$Z94,$W94,$X94,$AE94,0.1))</f>
        <v>0</v>
      </c>
      <c r="BY94" s="45" t="n">
        <f aca="false">BR94*BV94</f>
        <v>0</v>
      </c>
      <c r="BZ94" s="45" t="n">
        <f aca="false">BR94*BW94</f>
        <v>0</v>
      </c>
      <c r="CA94" s="45" t="n">
        <f aca="false">BR94*BX94</f>
        <v>0</v>
      </c>
    </row>
    <row r="95" customFormat="false" ht="12.75" hidden="false" customHeight="false" outlineLevel="0" collapsed="false">
      <c r="A95" s="48" t="n">
        <f aca="false">DATE(YEAR(A94),MONTH(A94)+1,1)</f>
        <v>39234</v>
      </c>
      <c r="B95" s="40" t="n">
        <f aca="false">VLOOKUP(A95,STRADDLE,5,FALSE())</f>
        <v>3.224</v>
      </c>
      <c r="C95" s="4" t="e">
        <f aca="false">VLOOKUP(A95,STRADDLE,6,FALSE())</f>
        <v>#VALUE!</v>
      </c>
      <c r="D95" s="40" t="n">
        <f aca="false">IF(D$28="nymex",0,VLOOKUP($A95,curvesettle,HLOOKUP(D$28,curvesettle,2,FALSE())))</f>
        <v>0</v>
      </c>
      <c r="E95" s="219" t="n">
        <f aca="false">IF(D$28="NYMEX",$AD95,$AC95)</f>
        <v>-6699</v>
      </c>
      <c r="F95" s="4" t="e">
        <f aca="false">($C95+G95)+B$15</f>
        <v>#DIV/0!</v>
      </c>
      <c r="G95" s="4" t="e">
        <f aca="false">IF(B$16=1,xCalcSkew(A95,H95-AL95,b)/100,0)</f>
        <v>#DIV/0!</v>
      </c>
      <c r="H95" s="41" t="n">
        <f aca="false">IF($B$19=4,$AL95,$B$18)</f>
        <v>2.44</v>
      </c>
      <c r="J95" s="40" t="n">
        <f aca="false">IF(J$28="nymex",0,VLOOKUP($A95,curvesettle,HLOOKUP(J$28,curvesettle,2,FALSE())))</f>
        <v>0</v>
      </c>
      <c r="K95" s="219" t="n">
        <f aca="false">IF(J$28="NYMEX",$AD95,$AC95)</f>
        <v>-6699</v>
      </c>
      <c r="L95" s="220" t="e">
        <f aca="false">($C95+M95)+D$15</f>
        <v>#DIV/0!</v>
      </c>
      <c r="M95" s="4" t="e">
        <f aca="false">IF(D$16=1,xCalcSkew($A95,N95-AW95,b)/100,0)</f>
        <v>#DIV/0!</v>
      </c>
      <c r="N95" s="41" t="n">
        <f aca="false">IF($D$19=4,$AW95,$D$18)</f>
        <v>2.44</v>
      </c>
      <c r="P95" s="40" t="n">
        <f aca="false">IF(P$28="nymex",0,VLOOKUP($A95,curvesettle,HLOOKUP(P$28,curvesettle,2,FALSE())))</f>
        <v>0</v>
      </c>
      <c r="Q95" s="219" t="n">
        <f aca="false">IF(P$28="NYMEX",$AD95,$AC95)</f>
        <v>-6699</v>
      </c>
      <c r="R95" s="220" t="e">
        <f aca="false">($C95+S95)+F$15</f>
        <v>#DIV/0!</v>
      </c>
      <c r="S95" s="4" t="e">
        <f aca="false">IF(F$16=1,xCalcSkew($A95,T95-BH95,b)/100,0)</f>
        <v>#DIV/0!</v>
      </c>
      <c r="T95" s="41" t="n">
        <f aca="false">IF($F$19=4,$BH95,$F$18)</f>
        <v>2.44</v>
      </c>
      <c r="V95" s="40" t="n">
        <f aca="false">IF(V$28="nymex",0,VLOOKUP($A95,curvesettle,HLOOKUP(V$28,curvesettle,2,FALSE())))</f>
        <v>0</v>
      </c>
      <c r="W95" s="219" t="n">
        <f aca="false">IF(V$28="NYMEX",$AD95,$AC95)</f>
        <v>-6699</v>
      </c>
      <c r="X95" s="4" t="e">
        <f aca="false">($C95+Y95)+H$15</f>
        <v>#DIV/0!</v>
      </c>
      <c r="Y95" s="4" t="e">
        <f aca="false">IF(H$16=1,xCalcSkew($A95,Z95-BS95,b)/100,0)</f>
        <v>#DIV/0!</v>
      </c>
      <c r="Z95" s="41" t="n">
        <f aca="false">IF($H$19=4,$BS95,$H$18)</f>
        <v>2.44</v>
      </c>
      <c r="AC95" s="219" t="n">
        <f aca="false">VLOOKUP($A95,expiration,2,FALSE())-$B$2</f>
        <v>-6695</v>
      </c>
      <c r="AD95" s="219" t="n">
        <f aca="false">VLOOKUP($A95,expiration,3,FALSE())-$B$2</f>
        <v>-6699</v>
      </c>
      <c r="AE95" s="4" t="n">
        <f aca="false">VLOOKUP($A95,STRADDLE,15,FALSE())</f>
        <v>0.0520944910076597</v>
      </c>
      <c r="AF95" s="43" t="n">
        <f aca="false">A96-A95</f>
        <v>30</v>
      </c>
      <c r="AI95" s="219"/>
      <c r="AJ95" s="9"/>
      <c r="AK95" s="9" t="n">
        <f aca="false">IF($A95&gt;=AL$25,IF($A95&lt;=AL$26,$AF95,0),0)</f>
        <v>0</v>
      </c>
      <c r="AL95" s="221" t="e">
        <f aca="false">AN95/AK95</f>
        <v>#DIV/0!</v>
      </c>
      <c r="AM95" s="1" t="n">
        <f aca="false">AK95*($B95+B$13)</f>
        <v>0</v>
      </c>
      <c r="AN95" s="33" t="n">
        <f aca="false">IF(ISNUMBER(((AM95/AK95)+B$14+$D95)*AK95),((AM95/AK95)+B$14+$D95)*AK95,0)</f>
        <v>0</v>
      </c>
      <c r="AO95" s="44" t="n">
        <f aca="false">IF(AK95=0,0,bsd(1,AP$27,AL95,$H95,$E95,$F95,$AE95,0.1))</f>
        <v>0</v>
      </c>
      <c r="AP95" s="44" t="n">
        <f aca="false">IF(AK95=0,0,bsd(2,AP$27,AL95,$H95,$E95,$F95,$AE95,0.1))</f>
        <v>0</v>
      </c>
      <c r="AQ95" s="44" t="n">
        <f aca="false">IF(AK95=0,0,bsd(AP$28,AP$27,AL95,$H95,$E95,$F95,$AE95,0.1))</f>
        <v>0</v>
      </c>
      <c r="AR95" s="45" t="n">
        <f aca="false">AK95*AO95</f>
        <v>0</v>
      </c>
      <c r="AS95" s="45" t="n">
        <f aca="false">AK95*AP95</f>
        <v>0</v>
      </c>
      <c r="AT95" s="45" t="n">
        <f aca="false">AK95*AQ95</f>
        <v>0</v>
      </c>
      <c r="AV95" s="9" t="n">
        <f aca="false">IF($A95&gt;=AW$25,IF($A95&lt;=AW$26,$AF95,0),0)</f>
        <v>0</v>
      </c>
      <c r="AW95" s="221" t="e">
        <f aca="false">AY95/AV95</f>
        <v>#DIV/0!</v>
      </c>
      <c r="AX95" s="1" t="n">
        <f aca="false">AV95*($B95+D$13)</f>
        <v>0</v>
      </c>
      <c r="AY95" s="33" t="n">
        <f aca="false">IF(ISNUMBER(((AX95/AV95)+D$14+$J95)*AV95),((AX95/AV95)+D$14+$J95)*AV95,0)</f>
        <v>0</v>
      </c>
      <c r="AZ95" s="44" t="n">
        <f aca="false">IF(AV95=0,0,bsd(1,BA$27,AW95,$N95,$K95,$L95,$AE95,0.1))</f>
        <v>0</v>
      </c>
      <c r="BA95" s="44" t="n">
        <f aca="false">IF(AV95=0,0,bsd(2,BA$27,AW95,$N95,$K95,$L95,$AE95,0.1))</f>
        <v>0</v>
      </c>
      <c r="BB95" s="44" t="n">
        <f aca="false">IF(AV95=0,0,bsd(BA$28,BA$27,AW95,$N95,$K95,$L95,$AE95,0.1))</f>
        <v>0</v>
      </c>
      <c r="BC95" s="45" t="n">
        <f aca="false">AV95*AZ95</f>
        <v>0</v>
      </c>
      <c r="BD95" s="45" t="n">
        <f aca="false">AV95*BA95</f>
        <v>0</v>
      </c>
      <c r="BE95" s="45" t="n">
        <f aca="false">AV95*BB95</f>
        <v>0</v>
      </c>
      <c r="BG95" s="9" t="n">
        <f aca="false">IF($A95&gt;=BH$25,IF($A95&lt;=BH$26,$AF95,0),0)</f>
        <v>0</v>
      </c>
      <c r="BH95" s="221" t="e">
        <f aca="false">BJ95/BG95</f>
        <v>#DIV/0!</v>
      </c>
      <c r="BI95" s="1" t="n">
        <f aca="false">BG95*($B95+F$13)</f>
        <v>0</v>
      </c>
      <c r="BJ95" s="33" t="n">
        <f aca="false">IF(ISNUMBER(((BI95/BG95)+F$14+$P95)*BG95),((BI95/BG95)+F$14+$P95)*BG95,0)</f>
        <v>0</v>
      </c>
      <c r="BK95" s="44" t="n">
        <f aca="false">IF(BG95=0,0,bsd(1,BL$27,BH95,$T95,$Q95,$R95,$AE95,0.1))</f>
        <v>0</v>
      </c>
      <c r="BL95" s="44" t="n">
        <f aca="false">IF(BG95=0,0,bsd(2,BL$27,BH95,$T95,$Q95,$R95,$AE95,0.1))</f>
        <v>0</v>
      </c>
      <c r="BM95" s="44" t="n">
        <f aca="false">IF(BG95=0,0,bsd(BL$28,BL$27,BH95,$T95,$Q95,$R95,$AE95,0.1))</f>
        <v>0</v>
      </c>
      <c r="BN95" s="45" t="n">
        <f aca="false">BG95*BK95</f>
        <v>0</v>
      </c>
      <c r="BO95" s="45" t="n">
        <f aca="false">BG95*BL95</f>
        <v>0</v>
      </c>
      <c r="BP95" s="45" t="n">
        <f aca="false">BG95*BM95</f>
        <v>0</v>
      </c>
      <c r="BR95" s="9" t="n">
        <f aca="false">IF($A95&gt;=BS$25,IF($A95&lt;=BS$26,$AF95,0),0)</f>
        <v>0</v>
      </c>
      <c r="BS95" s="221" t="e">
        <f aca="false">BU95/BR95</f>
        <v>#DIV/0!</v>
      </c>
      <c r="BT95" s="1" t="n">
        <f aca="false">BR95*($B95+H$13)</f>
        <v>0</v>
      </c>
      <c r="BU95" s="33" t="n">
        <f aca="false">IF(ISNUMBER(((BT95/BR95)+H$14+$V95)*BR95),((BT95/BR95)+H$14+$V95)*BR95,0)</f>
        <v>0</v>
      </c>
      <c r="BV95" s="44" t="n">
        <f aca="false">IF(BR95=0,0,bsd(1,BW$27,BS95,$Z95,$W95,$X95,$AE95,0.1))</f>
        <v>0</v>
      </c>
      <c r="BW95" s="44" t="n">
        <f aca="false">IF(BR95=0,0,bsd(2,BW$27,BS95,$Z95,$W95,$X95,$AE95,0.1))</f>
        <v>0</v>
      </c>
      <c r="BX95" s="44" t="n">
        <f aca="false">IF(BR95=0,0,bsd(BW$28,BW$27,BS95,$Z95,$W95,$X95,$AE95,0.1))</f>
        <v>0</v>
      </c>
      <c r="BY95" s="45" t="n">
        <f aca="false">BR95*BV95</f>
        <v>0</v>
      </c>
      <c r="BZ95" s="45" t="n">
        <f aca="false">BR95*BW95</f>
        <v>0</v>
      </c>
      <c r="CA95" s="45" t="n">
        <f aca="false">BR95*BX95</f>
        <v>0</v>
      </c>
    </row>
    <row r="96" customFormat="false" ht="12.75" hidden="false" customHeight="false" outlineLevel="0" collapsed="false">
      <c r="A96" s="48" t="n">
        <f aca="false">DATE(YEAR(A95),MONTH(A95)+1,1)</f>
        <v>39264</v>
      </c>
      <c r="B96" s="40" t="n">
        <f aca="false">VLOOKUP(A96,STRADDLE,5,FALSE())</f>
        <v>3.264</v>
      </c>
      <c r="C96" s="4" t="e">
        <f aca="false">VLOOKUP(A96,STRADDLE,6,FALSE())</f>
        <v>#VALUE!</v>
      </c>
      <c r="D96" s="40" t="n">
        <f aca="false">IF(D$28="nymex",0,VLOOKUP($A96,curvesettle,HLOOKUP(D$28,curvesettle,2,FALSE())))</f>
        <v>0</v>
      </c>
      <c r="E96" s="219" t="n">
        <f aca="false">IF(D$28="NYMEX",$AD96,$AC96)</f>
        <v>-6667</v>
      </c>
      <c r="F96" s="4" t="e">
        <f aca="false">($C96+G96)+B$15</f>
        <v>#DIV/0!</v>
      </c>
      <c r="G96" s="4" t="e">
        <f aca="false">IF(B$16=1,xCalcSkew(A96,H96-AL96,b)/100,0)</f>
        <v>#DIV/0!</v>
      </c>
      <c r="H96" s="41" t="n">
        <f aca="false">IF($B$19=4,$AL96,$B$18)</f>
        <v>2.44</v>
      </c>
      <c r="J96" s="40" t="n">
        <f aca="false">IF(J$28="nymex",0,VLOOKUP($A96,curvesettle,HLOOKUP(J$28,curvesettle,2,FALSE())))</f>
        <v>0</v>
      </c>
      <c r="K96" s="219" t="n">
        <f aca="false">IF(J$28="NYMEX",$AD96,$AC96)</f>
        <v>-6667</v>
      </c>
      <c r="L96" s="220" t="e">
        <f aca="false">($C96+M96)+D$15</f>
        <v>#DIV/0!</v>
      </c>
      <c r="M96" s="4" t="e">
        <f aca="false">IF(D$16=1,xCalcSkew($A96,N96-AW96,b)/100,0)</f>
        <v>#DIV/0!</v>
      </c>
      <c r="N96" s="41" t="n">
        <f aca="false">IF($D$19=4,$AW96,$D$18)</f>
        <v>2.44</v>
      </c>
      <c r="P96" s="40" t="n">
        <f aca="false">IF(P$28="nymex",0,VLOOKUP($A96,curvesettle,HLOOKUP(P$28,curvesettle,2,FALSE())))</f>
        <v>0</v>
      </c>
      <c r="Q96" s="219" t="n">
        <f aca="false">IF(P$28="NYMEX",$AD96,$AC96)</f>
        <v>-6667</v>
      </c>
      <c r="R96" s="220" t="e">
        <f aca="false">($C96+S96)+F$15</f>
        <v>#DIV/0!</v>
      </c>
      <c r="S96" s="4" t="e">
        <f aca="false">IF(F$16=1,xCalcSkew($A96,T96-BH96,b)/100,0)</f>
        <v>#DIV/0!</v>
      </c>
      <c r="T96" s="41" t="n">
        <f aca="false">IF($F$19=4,$BH96,$F$18)</f>
        <v>2.44</v>
      </c>
      <c r="V96" s="40" t="n">
        <f aca="false">IF(V$28="nymex",0,VLOOKUP($A96,curvesettle,HLOOKUP(V$28,curvesettle,2,FALSE())))</f>
        <v>0</v>
      </c>
      <c r="W96" s="219" t="n">
        <f aca="false">IF(V$28="NYMEX",$AD96,$AC96)</f>
        <v>-6667</v>
      </c>
      <c r="X96" s="4" t="e">
        <f aca="false">($C96+Y96)+H$15</f>
        <v>#DIV/0!</v>
      </c>
      <c r="Y96" s="4" t="e">
        <f aca="false">IF(H$16=1,xCalcSkew($A96,Z96-BS96,b)/100,0)</f>
        <v>#DIV/0!</v>
      </c>
      <c r="Z96" s="41" t="n">
        <f aca="false">IF($H$19=4,$BS96,$H$18)</f>
        <v>2.44</v>
      </c>
      <c r="AC96" s="219" t="n">
        <f aca="false">VLOOKUP($A96,expiration,2,FALSE())-$B$2</f>
        <v>-6666</v>
      </c>
      <c r="AD96" s="219" t="n">
        <f aca="false">VLOOKUP($A96,expiration,3,FALSE())-$B$2</f>
        <v>-6667</v>
      </c>
      <c r="AE96" s="4" t="n">
        <f aca="false">VLOOKUP($A96,STRADDLE,15,FALSE())</f>
        <v>0.0522760046560284</v>
      </c>
      <c r="AF96" s="43" t="n">
        <f aca="false">A97-A96</f>
        <v>31</v>
      </c>
      <c r="AI96" s="219"/>
      <c r="AJ96" s="9"/>
      <c r="AK96" s="9" t="n">
        <f aca="false">IF($A96&gt;=AL$25,IF($A96&lt;=AL$26,$AF96,0),0)</f>
        <v>0</v>
      </c>
      <c r="AL96" s="221" t="e">
        <f aca="false">AN96/AK96</f>
        <v>#DIV/0!</v>
      </c>
      <c r="AM96" s="1" t="n">
        <f aca="false">AK96*($B96+B$13)</f>
        <v>0</v>
      </c>
      <c r="AN96" s="33" t="n">
        <f aca="false">IF(ISNUMBER(((AM96/AK96)+B$14+$D96)*AK96),((AM96/AK96)+B$14+$D96)*AK96,0)</f>
        <v>0</v>
      </c>
      <c r="AO96" s="44" t="n">
        <f aca="false">IF(AK96=0,0,bsd(1,AP$27,AL96,$H96,$E96,$F96,$AE96,0.1))</f>
        <v>0</v>
      </c>
      <c r="AP96" s="44" t="n">
        <f aca="false">IF(AK96=0,0,bsd(2,AP$27,AL96,$H96,$E96,$F96,$AE96,0.1))</f>
        <v>0</v>
      </c>
      <c r="AQ96" s="44" t="n">
        <f aca="false">IF(AK96=0,0,bsd(AP$28,AP$27,AL96,$H96,$E96,$F96,$AE96,0.1))</f>
        <v>0</v>
      </c>
      <c r="AR96" s="45" t="n">
        <f aca="false">AK96*AO96</f>
        <v>0</v>
      </c>
      <c r="AS96" s="45" t="n">
        <f aca="false">AK96*AP96</f>
        <v>0</v>
      </c>
      <c r="AT96" s="45" t="n">
        <f aca="false">AK96*AQ96</f>
        <v>0</v>
      </c>
      <c r="AV96" s="9" t="n">
        <f aca="false">IF($A96&gt;=AW$25,IF($A96&lt;=AW$26,$AF96,0),0)</f>
        <v>0</v>
      </c>
      <c r="AW96" s="221" t="e">
        <f aca="false">AY96/AV96</f>
        <v>#DIV/0!</v>
      </c>
      <c r="AX96" s="1" t="n">
        <f aca="false">AV96*($B96+D$13)</f>
        <v>0</v>
      </c>
      <c r="AY96" s="33" t="n">
        <f aca="false">IF(ISNUMBER(((AX96/AV96)+D$14+$J96)*AV96),((AX96/AV96)+D$14+$J96)*AV96,0)</f>
        <v>0</v>
      </c>
      <c r="AZ96" s="44" t="n">
        <f aca="false">IF(AV96=0,0,bsd(1,BA$27,AW96,$N96,$K96,$L96,$AE96,0.1))</f>
        <v>0</v>
      </c>
      <c r="BA96" s="44" t="n">
        <f aca="false">IF(AV96=0,0,bsd(2,BA$27,AW96,$N96,$K96,$L96,$AE96,0.1))</f>
        <v>0</v>
      </c>
      <c r="BB96" s="44" t="n">
        <f aca="false">IF(AV96=0,0,bsd(BA$28,BA$27,AW96,$N96,$K96,$L96,$AE96,0.1))</f>
        <v>0</v>
      </c>
      <c r="BC96" s="45" t="n">
        <f aca="false">AV96*AZ96</f>
        <v>0</v>
      </c>
      <c r="BD96" s="45" t="n">
        <f aca="false">AV96*BA96</f>
        <v>0</v>
      </c>
      <c r="BE96" s="45" t="n">
        <f aca="false">AV96*BB96</f>
        <v>0</v>
      </c>
      <c r="BG96" s="9" t="n">
        <f aca="false">IF($A96&gt;=BH$25,IF($A96&lt;=BH$26,$AF96,0),0)</f>
        <v>0</v>
      </c>
      <c r="BH96" s="221" t="e">
        <f aca="false">BJ96/BG96</f>
        <v>#DIV/0!</v>
      </c>
      <c r="BI96" s="1" t="n">
        <f aca="false">BG96*($B96+F$13)</f>
        <v>0</v>
      </c>
      <c r="BJ96" s="33" t="n">
        <f aca="false">IF(ISNUMBER(((BI96/BG96)+F$14+$P96)*BG96),((BI96/BG96)+F$14+$P96)*BG96,0)</f>
        <v>0</v>
      </c>
      <c r="BK96" s="44" t="n">
        <f aca="false">IF(BG96=0,0,bsd(1,BL$27,BH96,$T96,$Q96,$R96,$AE96,0.1))</f>
        <v>0</v>
      </c>
      <c r="BL96" s="44" t="n">
        <f aca="false">IF(BG96=0,0,bsd(2,BL$27,BH96,$T96,$Q96,$R96,$AE96,0.1))</f>
        <v>0</v>
      </c>
      <c r="BM96" s="44" t="n">
        <f aca="false">IF(BG96=0,0,bsd(BL$28,BL$27,BH96,$T96,$Q96,$R96,$AE96,0.1))</f>
        <v>0</v>
      </c>
      <c r="BN96" s="45" t="n">
        <f aca="false">BG96*BK96</f>
        <v>0</v>
      </c>
      <c r="BO96" s="45" t="n">
        <f aca="false">BG96*BL96</f>
        <v>0</v>
      </c>
      <c r="BP96" s="45" t="n">
        <f aca="false">BG96*BM96</f>
        <v>0</v>
      </c>
      <c r="BR96" s="9" t="n">
        <f aca="false">IF($A96&gt;=BS$25,IF($A96&lt;=BS$26,$AF96,0),0)</f>
        <v>0</v>
      </c>
      <c r="BS96" s="221" t="e">
        <f aca="false">BU96/BR96</f>
        <v>#DIV/0!</v>
      </c>
      <c r="BT96" s="1" t="n">
        <f aca="false">BR96*($B96+H$13)</f>
        <v>0</v>
      </c>
      <c r="BU96" s="33" t="n">
        <f aca="false">IF(ISNUMBER(((BT96/BR96)+H$14+$V96)*BR96),((BT96/BR96)+H$14+$V96)*BR96,0)</f>
        <v>0</v>
      </c>
      <c r="BV96" s="44" t="n">
        <f aca="false">IF(BR96=0,0,bsd(1,BW$27,BS96,$Z96,$W96,$X96,$AE96,0.1))</f>
        <v>0</v>
      </c>
      <c r="BW96" s="44" t="n">
        <f aca="false">IF(BR96=0,0,bsd(2,BW$27,BS96,$Z96,$W96,$X96,$AE96,0.1))</f>
        <v>0</v>
      </c>
      <c r="BX96" s="44" t="n">
        <f aca="false">IF(BR96=0,0,bsd(BW$28,BW$27,BS96,$Z96,$W96,$X96,$AE96,0.1))</f>
        <v>0</v>
      </c>
      <c r="BY96" s="45" t="n">
        <f aca="false">BR96*BV96</f>
        <v>0</v>
      </c>
      <c r="BZ96" s="45" t="n">
        <f aca="false">BR96*BW96</f>
        <v>0</v>
      </c>
      <c r="CA96" s="45" t="n">
        <f aca="false">BR96*BX96</f>
        <v>0</v>
      </c>
    </row>
    <row r="97" customFormat="false" ht="12.75" hidden="false" customHeight="false" outlineLevel="0" collapsed="false">
      <c r="A97" s="48" t="n">
        <f aca="false">DATE(YEAR(A96),MONTH(A96)+1,1)</f>
        <v>39295</v>
      </c>
      <c r="B97" s="40" t="n">
        <f aca="false">VLOOKUP(A97,STRADDLE,5,FALSE())</f>
        <v>3.314</v>
      </c>
      <c r="C97" s="4" t="e">
        <f aca="false">VLOOKUP(A97,STRADDLE,6,FALSE())</f>
        <v>#VALUE!</v>
      </c>
      <c r="D97" s="40" t="n">
        <f aca="false">IF(D$28="nymex",0,VLOOKUP($A97,curvesettle,HLOOKUP(D$28,curvesettle,2,FALSE())))</f>
        <v>0</v>
      </c>
      <c r="E97" s="219" t="n">
        <f aca="false">IF(D$28="NYMEX",$AD97,$AC97)</f>
        <v>-6637</v>
      </c>
      <c r="F97" s="4" t="e">
        <f aca="false">($C97+G97)+B$15</f>
        <v>#DIV/0!</v>
      </c>
      <c r="G97" s="4" t="e">
        <f aca="false">IF(B$16=1,xCalcSkew(A97,H97-AL97,b)/100,0)</f>
        <v>#DIV/0!</v>
      </c>
      <c r="H97" s="41" t="n">
        <f aca="false">IF($B$19=4,$AL97,$B$18)</f>
        <v>2.44</v>
      </c>
      <c r="J97" s="40" t="n">
        <f aca="false">IF(J$28="nymex",0,VLOOKUP($A97,curvesettle,HLOOKUP(J$28,curvesettle,2,FALSE())))</f>
        <v>0</v>
      </c>
      <c r="K97" s="219" t="n">
        <f aca="false">IF(J$28="NYMEX",$AD97,$AC97)</f>
        <v>-6637</v>
      </c>
      <c r="L97" s="220" t="e">
        <f aca="false">($C97+M97)+D$15</f>
        <v>#DIV/0!</v>
      </c>
      <c r="M97" s="4" t="e">
        <f aca="false">IF(D$16=1,xCalcSkew($A97,N97-AW97,b)/100,0)</f>
        <v>#DIV/0!</v>
      </c>
      <c r="N97" s="41" t="n">
        <f aca="false">IF($D$19=4,$AW97,$D$18)</f>
        <v>2.44</v>
      </c>
      <c r="P97" s="40" t="n">
        <f aca="false">IF(P$28="nymex",0,VLOOKUP($A97,curvesettle,HLOOKUP(P$28,curvesettle,2,FALSE())))</f>
        <v>0</v>
      </c>
      <c r="Q97" s="219" t="n">
        <f aca="false">IF(P$28="NYMEX",$AD97,$AC97)</f>
        <v>-6637</v>
      </c>
      <c r="R97" s="220" t="e">
        <f aca="false">($C97+S97)+F$15</f>
        <v>#DIV/0!</v>
      </c>
      <c r="S97" s="4" t="e">
        <f aca="false">IF(F$16=1,xCalcSkew($A97,T97-BH97,b)/100,0)</f>
        <v>#DIV/0!</v>
      </c>
      <c r="T97" s="41" t="n">
        <f aca="false">IF($F$19=4,$BH97,$F$18)</f>
        <v>2.44</v>
      </c>
      <c r="V97" s="40" t="n">
        <f aca="false">IF(V$28="nymex",0,VLOOKUP($A97,curvesettle,HLOOKUP(V$28,curvesettle,2,FALSE())))</f>
        <v>0</v>
      </c>
      <c r="W97" s="219" t="n">
        <f aca="false">IF(V$28="NYMEX",$AD97,$AC97)</f>
        <v>-6637</v>
      </c>
      <c r="X97" s="4" t="e">
        <f aca="false">($C97+Y97)+H$15</f>
        <v>#DIV/0!</v>
      </c>
      <c r="Y97" s="4" t="e">
        <f aca="false">IF(H$16=1,xCalcSkew($A97,Z97-BS97,b)/100,0)</f>
        <v>#DIV/0!</v>
      </c>
      <c r="Z97" s="41" t="n">
        <f aca="false">IF($H$19=4,$BS97,$H$18)</f>
        <v>2.44</v>
      </c>
      <c r="AC97" s="219" t="n">
        <f aca="false">VLOOKUP($A97,expiration,2,FALSE())-$B$2</f>
        <v>-6636</v>
      </c>
      <c r="AD97" s="219" t="n">
        <f aca="false">VLOOKUP($A97,expiration,3,FALSE())-$B$2</f>
        <v>-6637</v>
      </c>
      <c r="AE97" s="4" t="n">
        <f aca="false">VLOOKUP($A97,STRADDLE,15,FALSE())</f>
        <v>0.0524516630358791</v>
      </c>
      <c r="AF97" s="43" t="n">
        <f aca="false">A98-A97</f>
        <v>31</v>
      </c>
      <c r="AI97" s="219"/>
      <c r="AJ97" s="9"/>
      <c r="AK97" s="9" t="n">
        <f aca="false">IF($A97&gt;=AL$25,IF($A97&lt;=AL$26,$AF97,0),0)</f>
        <v>0</v>
      </c>
      <c r="AL97" s="221" t="e">
        <f aca="false">AN97/AK97</f>
        <v>#DIV/0!</v>
      </c>
      <c r="AM97" s="1" t="n">
        <f aca="false">AK97*($B97+B$13)</f>
        <v>0</v>
      </c>
      <c r="AN97" s="33" t="n">
        <f aca="false">IF(ISNUMBER(((AM97/AK97)+B$14+$D97)*AK97),((AM97/AK97)+B$14+$D97)*AK97,0)</f>
        <v>0</v>
      </c>
      <c r="AO97" s="44" t="n">
        <f aca="false">IF(AK97=0,0,bsd(1,AP$27,AL97,$H97,$E97,$F97,$AE97,0.1))</f>
        <v>0</v>
      </c>
      <c r="AP97" s="44" t="n">
        <f aca="false">IF(AK97=0,0,bsd(2,AP$27,AL97,$H97,$E97,$F97,$AE97,0.1))</f>
        <v>0</v>
      </c>
      <c r="AQ97" s="44" t="n">
        <f aca="false">IF(AK97=0,0,bsd(AP$28,AP$27,AL97,$H97,$E97,$F97,$AE97,0.1))</f>
        <v>0</v>
      </c>
      <c r="AR97" s="45" t="n">
        <f aca="false">AK97*AO97</f>
        <v>0</v>
      </c>
      <c r="AS97" s="45" t="n">
        <f aca="false">AK97*AP97</f>
        <v>0</v>
      </c>
      <c r="AT97" s="45" t="n">
        <f aca="false">AK97*AQ97</f>
        <v>0</v>
      </c>
      <c r="AV97" s="9" t="n">
        <f aca="false">IF($A97&gt;=AW$25,IF($A97&lt;=AW$26,$AF97,0),0)</f>
        <v>0</v>
      </c>
      <c r="AW97" s="221" t="e">
        <f aca="false">AY97/AV97</f>
        <v>#DIV/0!</v>
      </c>
      <c r="AX97" s="1" t="n">
        <f aca="false">AV97*($B97+D$13)</f>
        <v>0</v>
      </c>
      <c r="AY97" s="33" t="n">
        <f aca="false">IF(ISNUMBER(((AX97/AV97)+D$14+$J97)*AV97),((AX97/AV97)+D$14+$J97)*AV97,0)</f>
        <v>0</v>
      </c>
      <c r="AZ97" s="44" t="n">
        <f aca="false">IF(AV97=0,0,bsd(1,BA$27,AW97,$N97,$K97,$L97,$AE97,0.1))</f>
        <v>0</v>
      </c>
      <c r="BA97" s="44" t="n">
        <f aca="false">IF(AV97=0,0,bsd(2,BA$27,AW97,$N97,$K97,$L97,$AE97,0.1))</f>
        <v>0</v>
      </c>
      <c r="BB97" s="44" t="n">
        <f aca="false">IF(AV97=0,0,bsd(BA$28,BA$27,AW97,$N97,$K97,$L97,$AE97,0.1))</f>
        <v>0</v>
      </c>
      <c r="BC97" s="45" t="n">
        <f aca="false">AV97*AZ97</f>
        <v>0</v>
      </c>
      <c r="BD97" s="45" t="n">
        <f aca="false">AV97*BA97</f>
        <v>0</v>
      </c>
      <c r="BE97" s="45" t="n">
        <f aca="false">AV97*BB97</f>
        <v>0</v>
      </c>
      <c r="BG97" s="9" t="n">
        <f aca="false">IF($A97&gt;=BH$25,IF($A97&lt;=BH$26,$AF97,0),0)</f>
        <v>0</v>
      </c>
      <c r="BH97" s="221" t="e">
        <f aca="false">BJ97/BG97</f>
        <v>#DIV/0!</v>
      </c>
      <c r="BI97" s="1" t="n">
        <f aca="false">BG97*($B97+F$13)</f>
        <v>0</v>
      </c>
      <c r="BJ97" s="33" t="n">
        <f aca="false">IF(ISNUMBER(((BI97/BG97)+F$14+$P97)*BG97),((BI97/BG97)+F$14+$P97)*BG97,0)</f>
        <v>0</v>
      </c>
      <c r="BK97" s="44" t="n">
        <f aca="false">IF(BG97=0,0,bsd(1,BL$27,BH97,$T97,$Q97,$R97,$AE97,0.1))</f>
        <v>0</v>
      </c>
      <c r="BL97" s="44" t="n">
        <f aca="false">IF(BG97=0,0,bsd(2,BL$27,BH97,$T97,$Q97,$R97,$AE97,0.1))</f>
        <v>0</v>
      </c>
      <c r="BM97" s="44" t="n">
        <f aca="false">IF(BG97=0,0,bsd(BL$28,BL$27,BH97,$T97,$Q97,$R97,$AE97,0.1))</f>
        <v>0</v>
      </c>
      <c r="BN97" s="45" t="n">
        <f aca="false">BG97*BK97</f>
        <v>0</v>
      </c>
      <c r="BO97" s="45" t="n">
        <f aca="false">BG97*BL97</f>
        <v>0</v>
      </c>
      <c r="BP97" s="45" t="n">
        <f aca="false">BG97*BM97</f>
        <v>0</v>
      </c>
      <c r="BR97" s="9" t="n">
        <f aca="false">IF($A97&gt;=BS$25,IF($A97&lt;=BS$26,$AF97,0),0)</f>
        <v>0</v>
      </c>
      <c r="BS97" s="221" t="e">
        <f aca="false">BU97/BR97</f>
        <v>#DIV/0!</v>
      </c>
      <c r="BT97" s="1" t="n">
        <f aca="false">BR97*($B97+H$13)</f>
        <v>0</v>
      </c>
      <c r="BU97" s="33" t="n">
        <f aca="false">IF(ISNUMBER(((BT97/BR97)+H$14+$V97)*BR97),((BT97/BR97)+H$14+$V97)*BR97,0)</f>
        <v>0</v>
      </c>
      <c r="BV97" s="44" t="n">
        <f aca="false">IF(BR97=0,0,bsd(1,BW$27,BS97,$Z97,$W97,$X97,$AE97,0.1))</f>
        <v>0</v>
      </c>
      <c r="BW97" s="44" t="n">
        <f aca="false">IF(BR97=0,0,bsd(2,BW$27,BS97,$Z97,$W97,$X97,$AE97,0.1))</f>
        <v>0</v>
      </c>
      <c r="BX97" s="44" t="n">
        <f aca="false">IF(BR97=0,0,bsd(BW$28,BW$27,BS97,$Z97,$W97,$X97,$AE97,0.1))</f>
        <v>0</v>
      </c>
      <c r="BY97" s="45" t="n">
        <f aca="false">BR97*BV97</f>
        <v>0</v>
      </c>
      <c r="BZ97" s="45" t="n">
        <f aca="false">BR97*BW97</f>
        <v>0</v>
      </c>
      <c r="CA97" s="45" t="n">
        <f aca="false">BR97*BX97</f>
        <v>0</v>
      </c>
    </row>
    <row r="98" customFormat="false" ht="12.75" hidden="false" customHeight="false" outlineLevel="0" collapsed="false">
      <c r="A98" s="48" t="n">
        <f aca="false">DATE(YEAR(A97),MONTH(A97)+1,1)</f>
        <v>39326</v>
      </c>
      <c r="B98" s="40" t="n">
        <f aca="false">VLOOKUP(A98,STRADDLE,5,FALSE())</f>
        <v>3.299</v>
      </c>
      <c r="C98" s="4" t="e">
        <f aca="false">VLOOKUP(A98,STRADDLE,6,FALSE())</f>
        <v>#VALUE!</v>
      </c>
      <c r="D98" s="40" t="n">
        <f aca="false">IF(D$28="nymex",0,VLOOKUP($A98,curvesettle,HLOOKUP(D$28,curvesettle,2,FALSE())))</f>
        <v>0</v>
      </c>
      <c r="E98" s="219" t="n">
        <f aca="false">IF(D$28="NYMEX",$AD98,$AC98)</f>
        <v>-6604</v>
      </c>
      <c r="F98" s="4" t="e">
        <f aca="false">($C98+G98)+B$15</f>
        <v>#DIV/0!</v>
      </c>
      <c r="G98" s="4" t="e">
        <f aca="false">IF(B$16=1,xCalcSkew(A98,H98-AL98,b)/100,0)</f>
        <v>#DIV/0!</v>
      </c>
      <c r="H98" s="41" t="n">
        <f aca="false">IF($B$19=4,$AL98,$B$18)</f>
        <v>2.44</v>
      </c>
      <c r="J98" s="40" t="n">
        <f aca="false">IF(J$28="nymex",0,VLOOKUP($A98,curvesettle,HLOOKUP(J$28,curvesettle,2,FALSE())))</f>
        <v>0</v>
      </c>
      <c r="K98" s="219" t="n">
        <f aca="false">IF(J$28="NYMEX",$AD98,$AC98)</f>
        <v>-6604</v>
      </c>
      <c r="L98" s="220" t="e">
        <f aca="false">($C98+M98)+D$15</f>
        <v>#DIV/0!</v>
      </c>
      <c r="M98" s="4" t="e">
        <f aca="false">IF(D$16=1,xCalcSkew($A98,N98-AW98,b)/100,0)</f>
        <v>#DIV/0!</v>
      </c>
      <c r="N98" s="41" t="n">
        <f aca="false">IF($D$19=4,$AW98,$D$18)</f>
        <v>2.44</v>
      </c>
      <c r="P98" s="40" t="n">
        <f aca="false">IF(P$28="nymex",0,VLOOKUP($A98,curvesettle,HLOOKUP(P$28,curvesettle,2,FALSE())))</f>
        <v>0</v>
      </c>
      <c r="Q98" s="219" t="n">
        <f aca="false">IF(P$28="NYMEX",$AD98,$AC98)</f>
        <v>-6604</v>
      </c>
      <c r="R98" s="220" t="e">
        <f aca="false">($C98+S98)+F$15</f>
        <v>#DIV/0!</v>
      </c>
      <c r="S98" s="4" t="e">
        <f aca="false">IF(F$16=1,xCalcSkew($A98,T98-BH98,b)/100,0)</f>
        <v>#DIV/0!</v>
      </c>
      <c r="T98" s="41" t="n">
        <f aca="false">IF($F$19=4,$BH98,$F$18)</f>
        <v>2.44</v>
      </c>
      <c r="V98" s="40" t="n">
        <f aca="false">IF(V$28="nymex",0,VLOOKUP($A98,curvesettle,HLOOKUP(V$28,curvesettle,2,FALSE())))</f>
        <v>0</v>
      </c>
      <c r="W98" s="219" t="n">
        <f aca="false">IF(V$28="NYMEX",$AD98,$AC98)</f>
        <v>-6604</v>
      </c>
      <c r="X98" s="4" t="e">
        <f aca="false">($C98+Y98)+H$15</f>
        <v>#DIV/0!</v>
      </c>
      <c r="Y98" s="4" t="e">
        <f aca="false">IF(H$16=1,xCalcSkew($A98,Z98-BS98,b)/100,0)</f>
        <v>#DIV/0!</v>
      </c>
      <c r="Z98" s="41" t="n">
        <f aca="false">IF($H$19=4,$BS98,$H$18)</f>
        <v>2.44</v>
      </c>
      <c r="AC98" s="219" t="n">
        <f aca="false">VLOOKUP($A98,expiration,2,FALSE())-$B$2</f>
        <v>-6603</v>
      </c>
      <c r="AD98" s="219" t="n">
        <f aca="false">VLOOKUP($A98,expiration,3,FALSE())-$B$2</f>
        <v>-6604</v>
      </c>
      <c r="AE98" s="4" t="n">
        <f aca="false">VLOOKUP($A98,STRADDLE,15,FALSE())</f>
        <v>0.0526331767058688</v>
      </c>
      <c r="AF98" s="43" t="n">
        <f aca="false">A99-A98</f>
        <v>30</v>
      </c>
      <c r="AI98" s="219"/>
      <c r="AJ98" s="9"/>
      <c r="AK98" s="9" t="n">
        <f aca="false">IF($A98&gt;=AL$25,IF($A98&lt;=AL$26,$AF98,0),0)</f>
        <v>0</v>
      </c>
      <c r="AL98" s="221" t="e">
        <f aca="false">AN98/AK98</f>
        <v>#DIV/0!</v>
      </c>
      <c r="AM98" s="1" t="n">
        <f aca="false">AK98*($B98+B$13)</f>
        <v>0</v>
      </c>
      <c r="AN98" s="33" t="n">
        <f aca="false">IF(ISNUMBER(((AM98/AK98)+B$14+$D98)*AK98),((AM98/AK98)+B$14+$D98)*AK98,0)</f>
        <v>0</v>
      </c>
      <c r="AO98" s="44" t="n">
        <f aca="false">IF(AK98=0,0,bsd(1,AP$27,AL98,$H98,$E98,$F98,$AE98,0.1))</f>
        <v>0</v>
      </c>
      <c r="AP98" s="44" t="n">
        <f aca="false">IF(AK98=0,0,bsd(2,AP$27,AL98,$H98,$E98,$F98,$AE98,0.1))</f>
        <v>0</v>
      </c>
      <c r="AQ98" s="44" t="n">
        <f aca="false">IF(AK98=0,0,bsd(AP$28,AP$27,AL98,$H98,$E98,$F98,$AE98,0.1))</f>
        <v>0</v>
      </c>
      <c r="AR98" s="45" t="n">
        <f aca="false">AK98*AO98</f>
        <v>0</v>
      </c>
      <c r="AS98" s="45" t="n">
        <f aca="false">AK98*AP98</f>
        <v>0</v>
      </c>
      <c r="AT98" s="45" t="n">
        <f aca="false">AK98*AQ98</f>
        <v>0</v>
      </c>
      <c r="AV98" s="9" t="n">
        <f aca="false">IF($A98&gt;=AW$25,IF($A98&lt;=AW$26,$AF98,0),0)</f>
        <v>0</v>
      </c>
      <c r="AW98" s="221" t="e">
        <f aca="false">AY98/AV98</f>
        <v>#DIV/0!</v>
      </c>
      <c r="AX98" s="1" t="n">
        <f aca="false">AV98*($B98+D$13)</f>
        <v>0</v>
      </c>
      <c r="AY98" s="33" t="n">
        <f aca="false">IF(ISNUMBER(((AX98/AV98)+D$14+$J98)*AV98),((AX98/AV98)+D$14+$J98)*AV98,0)</f>
        <v>0</v>
      </c>
      <c r="AZ98" s="44" t="n">
        <f aca="false">IF(AV98=0,0,bsd(1,BA$27,AW98,$N98,$K98,$L98,$AE98,0.1))</f>
        <v>0</v>
      </c>
      <c r="BA98" s="44" t="n">
        <f aca="false">IF(AV98=0,0,bsd(2,BA$27,AW98,$N98,$K98,$L98,$AE98,0.1))</f>
        <v>0</v>
      </c>
      <c r="BB98" s="44" t="n">
        <f aca="false">IF(AV98=0,0,bsd(BA$28,BA$27,AW98,$N98,$K98,$L98,$AE98,0.1))</f>
        <v>0</v>
      </c>
      <c r="BC98" s="45" t="n">
        <f aca="false">AV98*AZ98</f>
        <v>0</v>
      </c>
      <c r="BD98" s="45" t="n">
        <f aca="false">AV98*BA98</f>
        <v>0</v>
      </c>
      <c r="BE98" s="45" t="n">
        <f aca="false">AV98*BB98</f>
        <v>0</v>
      </c>
      <c r="BG98" s="9" t="n">
        <f aca="false">IF($A98&gt;=BH$25,IF($A98&lt;=BH$26,$AF98,0),0)</f>
        <v>0</v>
      </c>
      <c r="BH98" s="221" t="e">
        <f aca="false">BJ98/BG98</f>
        <v>#DIV/0!</v>
      </c>
      <c r="BI98" s="1" t="n">
        <f aca="false">BG98*($B98+F$13)</f>
        <v>0</v>
      </c>
      <c r="BJ98" s="33" t="n">
        <f aca="false">IF(ISNUMBER(((BI98/BG98)+F$14+$P98)*BG98),((BI98/BG98)+F$14+$P98)*BG98,0)</f>
        <v>0</v>
      </c>
      <c r="BK98" s="44" t="n">
        <f aca="false">IF(BG98=0,0,bsd(1,BL$27,BH98,$T98,$Q98,$R98,$AE98,0.1))</f>
        <v>0</v>
      </c>
      <c r="BL98" s="44" t="n">
        <f aca="false">IF(BG98=0,0,bsd(2,BL$27,BH98,$T98,$Q98,$R98,$AE98,0.1))</f>
        <v>0</v>
      </c>
      <c r="BM98" s="44" t="n">
        <f aca="false">IF(BG98=0,0,bsd(BL$28,BL$27,BH98,$T98,$Q98,$R98,$AE98,0.1))</f>
        <v>0</v>
      </c>
      <c r="BN98" s="45" t="n">
        <f aca="false">BG98*BK98</f>
        <v>0</v>
      </c>
      <c r="BO98" s="45" t="n">
        <f aca="false">BG98*BL98</f>
        <v>0</v>
      </c>
      <c r="BP98" s="45" t="n">
        <f aca="false">BG98*BM98</f>
        <v>0</v>
      </c>
      <c r="BR98" s="9" t="n">
        <f aca="false">IF($A98&gt;=BS$25,IF($A98&lt;=BS$26,$AF98,0),0)</f>
        <v>0</v>
      </c>
      <c r="BS98" s="221" t="e">
        <f aca="false">BU98/BR98</f>
        <v>#DIV/0!</v>
      </c>
      <c r="BT98" s="1" t="n">
        <f aca="false">BR98*($B98+H$13)</f>
        <v>0</v>
      </c>
      <c r="BU98" s="33" t="n">
        <f aca="false">IF(ISNUMBER(((BT98/BR98)+H$14+$V98)*BR98),((BT98/BR98)+H$14+$V98)*BR98,0)</f>
        <v>0</v>
      </c>
      <c r="BV98" s="44" t="n">
        <f aca="false">IF(BR98=0,0,bsd(1,BW$27,BS98,$Z98,$W98,$X98,$AE98,0.1))</f>
        <v>0</v>
      </c>
      <c r="BW98" s="44" t="n">
        <f aca="false">IF(BR98=0,0,bsd(2,BW$27,BS98,$Z98,$W98,$X98,$AE98,0.1))</f>
        <v>0</v>
      </c>
      <c r="BX98" s="44" t="n">
        <f aca="false">IF(BR98=0,0,bsd(BW$28,BW$27,BS98,$Z98,$W98,$X98,$AE98,0.1))</f>
        <v>0</v>
      </c>
      <c r="BY98" s="45" t="n">
        <f aca="false">BR98*BV98</f>
        <v>0</v>
      </c>
      <c r="BZ98" s="45" t="n">
        <f aca="false">BR98*BW98</f>
        <v>0</v>
      </c>
      <c r="CA98" s="45" t="n">
        <f aca="false">BR98*BX98</f>
        <v>0</v>
      </c>
    </row>
    <row r="99" customFormat="false" ht="12.75" hidden="false" customHeight="false" outlineLevel="0" collapsed="false">
      <c r="A99" s="48" t="n">
        <f aca="false">DATE(YEAR(A98),MONTH(A98)+1,1)</f>
        <v>39356</v>
      </c>
      <c r="B99" s="40" t="n">
        <f aca="false">VLOOKUP(A99,STRADDLE,5,FALSE())</f>
        <v>3.314</v>
      </c>
      <c r="C99" s="4" t="e">
        <f aca="false">VLOOKUP(A99,STRADDLE,6,FALSE())</f>
        <v>#VALUE!</v>
      </c>
      <c r="D99" s="40" t="n">
        <f aca="false">IF(D$28="nymex",0,VLOOKUP($A99,curvesettle,HLOOKUP(D$28,curvesettle,2,FALSE())))</f>
        <v>0</v>
      </c>
      <c r="E99" s="219" t="n">
        <f aca="false">IF(D$28="NYMEX",$AD99,$AC99)</f>
        <v>-6576</v>
      </c>
      <c r="F99" s="4" t="e">
        <f aca="false">($C99+G99)+B$15</f>
        <v>#DIV/0!</v>
      </c>
      <c r="G99" s="4" t="e">
        <f aca="false">IF(B$16=1,xCalcSkew(A99,H99-AL99,b)/100,0)</f>
        <v>#DIV/0!</v>
      </c>
      <c r="H99" s="41" t="n">
        <f aca="false">IF($B$19=4,$AL99,$B$18)</f>
        <v>2.44</v>
      </c>
      <c r="J99" s="40" t="n">
        <f aca="false">IF(J$28="nymex",0,VLOOKUP($A99,curvesettle,HLOOKUP(J$28,curvesettle,2,FALSE())))</f>
        <v>0</v>
      </c>
      <c r="K99" s="219" t="n">
        <f aca="false">IF(J$28="NYMEX",$AD99,$AC99)</f>
        <v>-6576</v>
      </c>
      <c r="L99" s="220" t="e">
        <f aca="false">($C99+M99)+D$15</f>
        <v>#DIV/0!</v>
      </c>
      <c r="M99" s="4" t="e">
        <f aca="false">IF(D$16=1,xCalcSkew($A99,N99-AW99,b)/100,0)</f>
        <v>#DIV/0!</v>
      </c>
      <c r="N99" s="41" t="n">
        <f aca="false">IF($D$19=4,$AW99,$D$18)</f>
        <v>2.44</v>
      </c>
      <c r="P99" s="40" t="n">
        <f aca="false">IF(P$28="nymex",0,VLOOKUP($A99,curvesettle,HLOOKUP(P$28,curvesettle,2,FALSE())))</f>
        <v>0</v>
      </c>
      <c r="Q99" s="219" t="n">
        <f aca="false">IF(P$28="NYMEX",$AD99,$AC99)</f>
        <v>-6576</v>
      </c>
      <c r="R99" s="220" t="e">
        <f aca="false">($C99+S99)+F$15</f>
        <v>#DIV/0!</v>
      </c>
      <c r="S99" s="4" t="e">
        <f aca="false">IF(F$16=1,xCalcSkew($A99,T99-BH99,b)/100,0)</f>
        <v>#DIV/0!</v>
      </c>
      <c r="T99" s="41" t="n">
        <f aca="false">IF($F$19=4,$BH99,$F$18)</f>
        <v>2.44</v>
      </c>
      <c r="V99" s="40" t="n">
        <f aca="false">IF(V$28="nymex",0,VLOOKUP($A99,curvesettle,HLOOKUP(V$28,curvesettle,2,FALSE())))</f>
        <v>0</v>
      </c>
      <c r="W99" s="219" t="n">
        <f aca="false">IF(V$28="NYMEX",$AD99,$AC99)</f>
        <v>-6576</v>
      </c>
      <c r="X99" s="4" t="e">
        <f aca="false">($C99+Y99)+H$15</f>
        <v>#DIV/0!</v>
      </c>
      <c r="Y99" s="4" t="e">
        <f aca="false">IF(H$16=1,xCalcSkew($A99,Z99-BS99,b)/100,0)</f>
        <v>#DIV/0!</v>
      </c>
      <c r="Z99" s="41" t="n">
        <f aca="false">IF($H$19=4,$BS99,$H$18)</f>
        <v>2.44</v>
      </c>
      <c r="AC99" s="219" t="n">
        <f aca="false">VLOOKUP($A99,expiration,2,FALSE())-$B$2</f>
        <v>-6575</v>
      </c>
      <c r="AD99" s="219" t="n">
        <f aca="false">VLOOKUP($A99,expiration,3,FALSE())-$B$2</f>
        <v>-6576</v>
      </c>
      <c r="AE99" s="4" t="n">
        <f aca="false">VLOOKUP($A99,STRADDLE,15,FALSE())</f>
        <v>0.0528146903868447</v>
      </c>
      <c r="AF99" s="43" t="n">
        <f aca="false">A100-A99</f>
        <v>31</v>
      </c>
      <c r="AI99" s="219"/>
      <c r="AJ99" s="9"/>
      <c r="AK99" s="9" t="n">
        <f aca="false">IF($A99&gt;=AL$25,IF($A99&lt;=AL$26,$AF99,0),0)</f>
        <v>0</v>
      </c>
      <c r="AL99" s="221" t="e">
        <f aca="false">AN99/AK99</f>
        <v>#DIV/0!</v>
      </c>
      <c r="AM99" s="1" t="n">
        <f aca="false">AK99*($B99+B$13)</f>
        <v>0</v>
      </c>
      <c r="AN99" s="33" t="n">
        <f aca="false">IF(ISNUMBER(((AM99/AK99)+B$14+$D99)*AK99),((AM99/AK99)+B$14+$D99)*AK99,0)</f>
        <v>0</v>
      </c>
      <c r="AO99" s="44" t="n">
        <f aca="false">IF(AK99=0,0,bsd(1,AP$27,AL99,$H99,$E99,$F99,$AE99,0.1))</f>
        <v>0</v>
      </c>
      <c r="AP99" s="44" t="n">
        <f aca="false">IF(AK99=0,0,bsd(2,AP$27,AL99,$H99,$E99,$F99,$AE99,0.1))</f>
        <v>0</v>
      </c>
      <c r="AQ99" s="44" t="n">
        <f aca="false">IF(AK99=0,0,bsd(AP$28,AP$27,AL99,$H99,$E99,$F99,$AE99,0.1))</f>
        <v>0</v>
      </c>
      <c r="AR99" s="45" t="n">
        <f aca="false">AK99*AO99</f>
        <v>0</v>
      </c>
      <c r="AS99" s="45" t="n">
        <f aca="false">AK99*AP99</f>
        <v>0</v>
      </c>
      <c r="AT99" s="45" t="n">
        <f aca="false">AK99*AQ99</f>
        <v>0</v>
      </c>
      <c r="AV99" s="9" t="n">
        <f aca="false">IF($A99&gt;=AW$25,IF($A99&lt;=AW$26,$AF99,0),0)</f>
        <v>0</v>
      </c>
      <c r="AW99" s="221" t="e">
        <f aca="false">AY99/AV99</f>
        <v>#DIV/0!</v>
      </c>
      <c r="AX99" s="1" t="n">
        <f aca="false">AV99*($B99+D$13)</f>
        <v>0</v>
      </c>
      <c r="AY99" s="33" t="n">
        <f aca="false">IF(ISNUMBER(((AX99/AV99)+D$14+$J99)*AV99),((AX99/AV99)+D$14+$J99)*AV99,0)</f>
        <v>0</v>
      </c>
      <c r="AZ99" s="44" t="n">
        <f aca="false">IF(AV99=0,0,bsd(1,BA$27,AW99,$N99,$K99,$L99,$AE99,0.1))</f>
        <v>0</v>
      </c>
      <c r="BA99" s="44" t="n">
        <f aca="false">IF(AV99=0,0,bsd(2,BA$27,AW99,$N99,$K99,$L99,$AE99,0.1))</f>
        <v>0</v>
      </c>
      <c r="BB99" s="44" t="n">
        <f aca="false">IF(AV99=0,0,bsd(BA$28,BA$27,AW99,$N99,$K99,$L99,$AE99,0.1))</f>
        <v>0</v>
      </c>
      <c r="BC99" s="45" t="n">
        <f aca="false">AV99*AZ99</f>
        <v>0</v>
      </c>
      <c r="BD99" s="45" t="n">
        <f aca="false">AV99*BA99</f>
        <v>0</v>
      </c>
      <c r="BE99" s="45" t="n">
        <f aca="false">AV99*BB99</f>
        <v>0</v>
      </c>
      <c r="BG99" s="9" t="n">
        <f aca="false">IF($A99&gt;=BH$25,IF($A99&lt;=BH$26,$AF99,0),0)</f>
        <v>0</v>
      </c>
      <c r="BH99" s="221" t="e">
        <f aca="false">BJ99/BG99</f>
        <v>#DIV/0!</v>
      </c>
      <c r="BI99" s="1" t="n">
        <f aca="false">BG99*($B99+F$13)</f>
        <v>0</v>
      </c>
      <c r="BJ99" s="33" t="n">
        <f aca="false">IF(ISNUMBER(((BI99/BG99)+F$14+$P99)*BG99),((BI99/BG99)+F$14+$P99)*BG99,0)</f>
        <v>0</v>
      </c>
      <c r="BK99" s="44" t="n">
        <f aca="false">IF(BG99=0,0,bsd(1,BL$27,BH99,$T99,$Q99,$R99,$AE99,0.1))</f>
        <v>0</v>
      </c>
      <c r="BL99" s="44" t="n">
        <f aca="false">IF(BG99=0,0,bsd(2,BL$27,BH99,$T99,$Q99,$R99,$AE99,0.1))</f>
        <v>0</v>
      </c>
      <c r="BM99" s="44" t="n">
        <f aca="false">IF(BG99=0,0,bsd(BL$28,BL$27,BH99,$T99,$Q99,$R99,$AE99,0.1))</f>
        <v>0</v>
      </c>
      <c r="BN99" s="45" t="n">
        <f aca="false">BG99*BK99</f>
        <v>0</v>
      </c>
      <c r="BO99" s="45" t="n">
        <f aca="false">BG99*BL99</f>
        <v>0</v>
      </c>
      <c r="BP99" s="45" t="n">
        <f aca="false">BG99*BM99</f>
        <v>0</v>
      </c>
      <c r="BR99" s="9" t="n">
        <f aca="false">IF($A99&gt;=BS$25,IF($A99&lt;=BS$26,$AF99,0),0)</f>
        <v>0</v>
      </c>
      <c r="BS99" s="221" t="e">
        <f aca="false">BU99/BR99</f>
        <v>#DIV/0!</v>
      </c>
      <c r="BT99" s="1" t="n">
        <f aca="false">BR99*($B99+H$13)</f>
        <v>0</v>
      </c>
      <c r="BU99" s="33" t="n">
        <f aca="false">IF(ISNUMBER(((BT99/BR99)+H$14+$V99)*BR99),((BT99/BR99)+H$14+$V99)*BR99,0)</f>
        <v>0</v>
      </c>
      <c r="BV99" s="44" t="n">
        <f aca="false">IF(BR99=0,0,bsd(1,BW$27,BS99,$Z99,$W99,$X99,$AE99,0.1))</f>
        <v>0</v>
      </c>
      <c r="BW99" s="44" t="n">
        <f aca="false">IF(BR99=0,0,bsd(2,BW$27,BS99,$Z99,$W99,$X99,$AE99,0.1))</f>
        <v>0</v>
      </c>
      <c r="BX99" s="44" t="n">
        <f aca="false">IF(BR99=0,0,bsd(BW$28,BW$27,BS99,$Z99,$W99,$X99,$AE99,0.1))</f>
        <v>0</v>
      </c>
      <c r="BY99" s="45" t="n">
        <f aca="false">BR99*BV99</f>
        <v>0</v>
      </c>
      <c r="BZ99" s="45" t="n">
        <f aca="false">BR99*BW99</f>
        <v>0</v>
      </c>
      <c r="CA99" s="45" t="n">
        <f aca="false">BR99*BX99</f>
        <v>0</v>
      </c>
    </row>
    <row r="100" customFormat="false" ht="12.75" hidden="false" customHeight="false" outlineLevel="0" collapsed="false">
      <c r="A100" s="48" t="n">
        <f aca="false">DATE(YEAR(A99),MONTH(A99)+1,1)</f>
        <v>39387</v>
      </c>
      <c r="B100" s="40" t="n">
        <f aca="false">VLOOKUP(A100,STRADDLE,5,FALSE())</f>
        <v>3.459</v>
      </c>
      <c r="C100" s="4" t="e">
        <f aca="false">VLOOKUP(A100,STRADDLE,6,FALSE())</f>
        <v>#VALUE!</v>
      </c>
      <c r="D100" s="40" t="n">
        <f aca="false">IF(D$28="nymex",0,VLOOKUP($A100,curvesettle,HLOOKUP(D$28,curvesettle,2,FALSE())))</f>
        <v>0</v>
      </c>
      <c r="E100" s="219" t="n">
        <f aca="false">IF(D$28="NYMEX",$AD100,$AC100)</f>
        <v>-6545</v>
      </c>
      <c r="F100" s="4" t="e">
        <f aca="false">($C100+G100)+B$15</f>
        <v>#DIV/0!</v>
      </c>
      <c r="G100" s="4" t="e">
        <f aca="false">IF(B$16=1,xCalcSkew(A100,H100-AL100,b)/100,0)</f>
        <v>#DIV/0!</v>
      </c>
      <c r="H100" s="41" t="n">
        <f aca="false">IF($B$19=4,$AL100,$B$18)</f>
        <v>2.44</v>
      </c>
      <c r="J100" s="40" t="n">
        <f aca="false">IF(J$28="nymex",0,VLOOKUP($A100,curvesettle,HLOOKUP(J$28,curvesettle,2,FALSE())))</f>
        <v>0</v>
      </c>
      <c r="K100" s="219" t="n">
        <f aca="false">IF(J$28="NYMEX",$AD100,$AC100)</f>
        <v>-6545</v>
      </c>
      <c r="L100" s="220" t="e">
        <f aca="false">($C100+M100)+D$15</f>
        <v>#DIV/0!</v>
      </c>
      <c r="M100" s="4" t="e">
        <f aca="false">IF(D$16=1,xCalcSkew($A100,N100-AW100,b)/100,0)</f>
        <v>#DIV/0!</v>
      </c>
      <c r="N100" s="41" t="n">
        <f aca="false">IF($D$19=4,$AW100,$D$18)</f>
        <v>2.44</v>
      </c>
      <c r="P100" s="40" t="n">
        <f aca="false">IF(P$28="nymex",0,VLOOKUP($A100,curvesettle,HLOOKUP(P$28,curvesettle,2,FALSE())))</f>
        <v>0</v>
      </c>
      <c r="Q100" s="219" t="n">
        <f aca="false">IF(P$28="NYMEX",$AD100,$AC100)</f>
        <v>-6545</v>
      </c>
      <c r="R100" s="220" t="e">
        <f aca="false">($C100+S100)+F$15</f>
        <v>#DIV/0!</v>
      </c>
      <c r="S100" s="4" t="e">
        <f aca="false">IF(F$16=1,xCalcSkew($A100,T100-BH100,b)/100,0)</f>
        <v>#DIV/0!</v>
      </c>
      <c r="T100" s="41" t="n">
        <f aca="false">IF($F$19=4,$BH100,$F$18)</f>
        <v>2.44</v>
      </c>
      <c r="V100" s="40" t="n">
        <f aca="false">IF(V$28="nymex",0,VLOOKUP($A100,curvesettle,HLOOKUP(V$28,curvesettle,2,FALSE())))</f>
        <v>0</v>
      </c>
      <c r="W100" s="219" t="n">
        <f aca="false">IF(V$28="NYMEX",$AD100,$AC100)</f>
        <v>-6545</v>
      </c>
      <c r="X100" s="4" t="e">
        <f aca="false">($C100+Y100)+H$15</f>
        <v>#DIV/0!</v>
      </c>
      <c r="Y100" s="4" t="e">
        <f aca="false">IF(H$16=1,xCalcSkew($A100,Z100-BS100,b)/100,0)</f>
        <v>#DIV/0!</v>
      </c>
      <c r="Z100" s="41" t="n">
        <f aca="false">IF($H$19=4,$BS100,$H$18)</f>
        <v>2.44</v>
      </c>
      <c r="AC100" s="219" t="n">
        <f aca="false">VLOOKUP($A100,expiration,2,FALSE())-$B$2</f>
        <v>-6542</v>
      </c>
      <c r="AD100" s="219" t="n">
        <f aca="false">VLOOKUP($A100,expiration,3,FALSE())-$B$2</f>
        <v>-6545</v>
      </c>
      <c r="AE100" s="4" t="n">
        <f aca="false">VLOOKUP($A100,STRADDLE,15,FALSE())</f>
        <v>0.0529903487982488</v>
      </c>
      <c r="AF100" s="43" t="n">
        <f aca="false">A101-A100</f>
        <v>30</v>
      </c>
      <c r="AI100" s="219"/>
      <c r="AJ100" s="9"/>
      <c r="AK100" s="9" t="n">
        <f aca="false">IF($A100&gt;=AL$25,IF($A100&lt;=AL$26,$AF100,0),0)</f>
        <v>0</v>
      </c>
      <c r="AL100" s="221" t="e">
        <f aca="false">AN100/AK100</f>
        <v>#DIV/0!</v>
      </c>
      <c r="AM100" s="1" t="n">
        <f aca="false">AK100*($B100+B$13)</f>
        <v>0</v>
      </c>
      <c r="AN100" s="33" t="n">
        <f aca="false">IF(ISNUMBER(((AM100/AK100)+B$14+$D100)*AK100),((AM100/AK100)+B$14+$D100)*AK100,0)</f>
        <v>0</v>
      </c>
      <c r="AO100" s="44" t="n">
        <f aca="false">IF(AK100=0,0,bsd(1,AP$27,AL100,$H100,$E100,$F100,$AE100,0.1))</f>
        <v>0</v>
      </c>
      <c r="AP100" s="44" t="n">
        <f aca="false">IF(AK100=0,0,bsd(2,AP$27,AL100,$H100,$E100,$F100,$AE100,0.1))</f>
        <v>0</v>
      </c>
      <c r="AQ100" s="44" t="n">
        <f aca="false">IF(AK100=0,0,bsd(AP$28,AP$27,AL100,$H100,$E100,$F100,$AE100,0.1))</f>
        <v>0</v>
      </c>
      <c r="AR100" s="45" t="n">
        <f aca="false">AK100*AO100</f>
        <v>0</v>
      </c>
      <c r="AS100" s="45" t="n">
        <f aca="false">AK100*AP100</f>
        <v>0</v>
      </c>
      <c r="AT100" s="45" t="n">
        <f aca="false">AK100*AQ100</f>
        <v>0</v>
      </c>
      <c r="AV100" s="9" t="n">
        <f aca="false">IF($A100&gt;=AW$25,IF($A100&lt;=AW$26,$AF100,0),0)</f>
        <v>0</v>
      </c>
      <c r="AW100" s="221" t="e">
        <f aca="false">AY100/AV100</f>
        <v>#DIV/0!</v>
      </c>
      <c r="AX100" s="1" t="n">
        <f aca="false">AV100*($B100+D$13)</f>
        <v>0</v>
      </c>
      <c r="AY100" s="33" t="n">
        <f aca="false">IF(ISNUMBER(((AX100/AV100)+D$14+$J100)*AV100),((AX100/AV100)+D$14+$J100)*AV100,0)</f>
        <v>0</v>
      </c>
      <c r="AZ100" s="44" t="n">
        <f aca="false">IF(AV100=0,0,bsd(1,BA$27,AW100,$N100,$K100,$L100,$AE100,0.1))</f>
        <v>0</v>
      </c>
      <c r="BA100" s="44" t="n">
        <f aca="false">IF(AV100=0,0,bsd(2,BA$27,AW100,$N100,$K100,$L100,$AE100,0.1))</f>
        <v>0</v>
      </c>
      <c r="BB100" s="44" t="n">
        <f aca="false">IF(AV100=0,0,bsd(BA$28,BA$27,AW100,$N100,$K100,$L100,$AE100,0.1))</f>
        <v>0</v>
      </c>
      <c r="BC100" s="45" t="n">
        <f aca="false">AV100*AZ100</f>
        <v>0</v>
      </c>
      <c r="BD100" s="45" t="n">
        <f aca="false">AV100*BA100</f>
        <v>0</v>
      </c>
      <c r="BE100" s="45" t="n">
        <f aca="false">AV100*BB100</f>
        <v>0</v>
      </c>
      <c r="BG100" s="9" t="n">
        <f aca="false">IF($A100&gt;=BH$25,IF($A100&lt;=BH$26,$AF100,0),0)</f>
        <v>0</v>
      </c>
      <c r="BH100" s="221" t="e">
        <f aca="false">BJ100/BG100</f>
        <v>#DIV/0!</v>
      </c>
      <c r="BI100" s="1" t="n">
        <f aca="false">BG100*($B100+F$13)</f>
        <v>0</v>
      </c>
      <c r="BJ100" s="33" t="n">
        <f aca="false">IF(ISNUMBER(((BI100/BG100)+F$14+$P100)*BG100),((BI100/BG100)+F$14+$P100)*BG100,0)</f>
        <v>0</v>
      </c>
      <c r="BK100" s="44" t="n">
        <f aca="false">IF(BG100=0,0,bsd(1,BL$27,BH100,$T100,$Q100,$R100,$AE100,0.1))</f>
        <v>0</v>
      </c>
      <c r="BL100" s="44" t="n">
        <f aca="false">IF(BG100=0,0,bsd(2,BL$27,BH100,$T100,$Q100,$R100,$AE100,0.1))</f>
        <v>0</v>
      </c>
      <c r="BM100" s="44" t="n">
        <f aca="false">IF(BG100=0,0,bsd(BL$28,BL$27,BH100,$T100,$Q100,$R100,$AE100,0.1))</f>
        <v>0</v>
      </c>
      <c r="BN100" s="45" t="n">
        <f aca="false">BG100*BK100</f>
        <v>0</v>
      </c>
      <c r="BO100" s="45" t="n">
        <f aca="false">BG100*BL100</f>
        <v>0</v>
      </c>
      <c r="BP100" s="45" t="n">
        <f aca="false">BG100*BM100</f>
        <v>0</v>
      </c>
      <c r="BR100" s="9" t="n">
        <f aca="false">IF($A100&gt;=BS$25,IF($A100&lt;=BS$26,$AF100,0),0)</f>
        <v>0</v>
      </c>
      <c r="BS100" s="221" t="e">
        <f aca="false">BU100/BR100</f>
        <v>#DIV/0!</v>
      </c>
      <c r="BT100" s="1" t="n">
        <f aca="false">BR100*($B100+H$13)</f>
        <v>0</v>
      </c>
      <c r="BU100" s="33" t="n">
        <f aca="false">IF(ISNUMBER(((BT100/BR100)+H$14+$V100)*BR100),((BT100/BR100)+H$14+$V100)*BR100,0)</f>
        <v>0</v>
      </c>
      <c r="BV100" s="44" t="n">
        <f aca="false">IF(BR100=0,0,bsd(1,BW$27,BS100,$Z100,$W100,$X100,$AE100,0.1))</f>
        <v>0</v>
      </c>
      <c r="BW100" s="44" t="n">
        <f aca="false">IF(BR100=0,0,bsd(2,BW$27,BS100,$Z100,$W100,$X100,$AE100,0.1))</f>
        <v>0</v>
      </c>
      <c r="BX100" s="44" t="n">
        <f aca="false">IF(BR100=0,0,bsd(BW$28,BW$27,BS100,$Z100,$W100,$X100,$AE100,0.1))</f>
        <v>0</v>
      </c>
      <c r="BY100" s="45" t="n">
        <f aca="false">BR100*BV100</f>
        <v>0</v>
      </c>
      <c r="BZ100" s="45" t="n">
        <f aca="false">BR100*BW100</f>
        <v>0</v>
      </c>
      <c r="CA100" s="45" t="n">
        <f aca="false">BR100*BX100</f>
        <v>0</v>
      </c>
    </row>
    <row r="101" customFormat="false" ht="12.75" hidden="false" customHeight="false" outlineLevel="0" collapsed="false">
      <c r="A101" s="48" t="n">
        <f aca="false">DATE(YEAR(A100),MONTH(A100)+1,1)</f>
        <v>39417</v>
      </c>
      <c r="B101" s="40" t="n">
        <f aca="false">VLOOKUP(A101,STRADDLE,5,FALSE())</f>
        <v>3.594</v>
      </c>
      <c r="C101" s="4" t="e">
        <f aca="false">VLOOKUP(A101,STRADDLE,6,FALSE())</f>
        <v>#VALUE!</v>
      </c>
      <c r="D101" s="40" t="n">
        <f aca="false">IF(D$28="nymex",0,VLOOKUP($A101,curvesettle,HLOOKUP(D$28,curvesettle,2,FALSE())))</f>
        <v>0</v>
      </c>
      <c r="E101" s="219" t="n">
        <f aca="false">IF(D$28="NYMEX",$AD101,$AC101)</f>
        <v>-6513</v>
      </c>
      <c r="F101" s="4" t="e">
        <f aca="false">($C101+G101)+B$15</f>
        <v>#DIV/0!</v>
      </c>
      <c r="G101" s="4" t="e">
        <f aca="false">IF(B$16=1,xCalcSkew(A101,H101-AL101,b)/100,0)</f>
        <v>#DIV/0!</v>
      </c>
      <c r="H101" s="41" t="n">
        <f aca="false">IF($B$19=4,$AL101,$B$18)</f>
        <v>2.44</v>
      </c>
      <c r="J101" s="40" t="n">
        <f aca="false">IF(J$28="nymex",0,VLOOKUP($A101,curvesettle,HLOOKUP(J$28,curvesettle,2,FALSE())))</f>
        <v>0</v>
      </c>
      <c r="K101" s="219" t="n">
        <f aca="false">IF(J$28="NYMEX",$AD101,$AC101)</f>
        <v>-6513</v>
      </c>
      <c r="L101" s="220" t="e">
        <f aca="false">($C101+M101)+D$15</f>
        <v>#DIV/0!</v>
      </c>
      <c r="M101" s="4" t="e">
        <f aca="false">IF(D$16=1,xCalcSkew($A101,N101-AW101,b)/100,0)</f>
        <v>#DIV/0!</v>
      </c>
      <c r="N101" s="41" t="n">
        <f aca="false">IF($D$19=4,$AW101,$D$18)</f>
        <v>2.44</v>
      </c>
      <c r="P101" s="40" t="n">
        <f aca="false">IF(P$28="nymex",0,VLOOKUP($A101,curvesettle,HLOOKUP(P$28,curvesettle,2,FALSE())))</f>
        <v>0</v>
      </c>
      <c r="Q101" s="219" t="n">
        <f aca="false">IF(P$28="NYMEX",$AD101,$AC101)</f>
        <v>-6513</v>
      </c>
      <c r="R101" s="220" t="e">
        <f aca="false">($C101+S101)+F$15</f>
        <v>#DIV/0!</v>
      </c>
      <c r="S101" s="4" t="e">
        <f aca="false">IF(F$16=1,xCalcSkew($A101,T101-BH101,b)/100,0)</f>
        <v>#DIV/0!</v>
      </c>
      <c r="T101" s="41" t="n">
        <f aca="false">IF($F$19=4,$BH101,$F$18)</f>
        <v>2.44</v>
      </c>
      <c r="V101" s="40" t="n">
        <f aca="false">IF(V$28="nymex",0,VLOOKUP($A101,curvesettle,HLOOKUP(V$28,curvesettle,2,FALSE())))</f>
        <v>0</v>
      </c>
      <c r="W101" s="219" t="n">
        <f aca="false">IF(V$28="NYMEX",$AD101,$AC101)</f>
        <v>-6513</v>
      </c>
      <c r="X101" s="4" t="e">
        <f aca="false">($C101+Y101)+H$15</f>
        <v>#DIV/0!</v>
      </c>
      <c r="Y101" s="4" t="e">
        <f aca="false">IF(H$16=1,xCalcSkew($A101,Z101-BS101,b)/100,0)</f>
        <v>#DIV/0!</v>
      </c>
      <c r="Z101" s="41" t="n">
        <f aca="false">IF($H$19=4,$BS101,$H$18)</f>
        <v>2.44</v>
      </c>
      <c r="AC101" s="219" t="n">
        <f aca="false">VLOOKUP($A101,expiration,2,FALSE())-$B$2</f>
        <v>-6512</v>
      </c>
      <c r="AD101" s="219" t="n">
        <f aca="false">VLOOKUP($A101,expiration,3,FALSE())-$B$2</f>
        <v>-6513</v>
      </c>
      <c r="AE101" s="4" t="n">
        <f aca="false">VLOOKUP($A101,STRADDLE,15,FALSE())</f>
        <v>0.0531718625008408</v>
      </c>
      <c r="AF101" s="43" t="n">
        <f aca="false">A102-A101</f>
        <v>31</v>
      </c>
      <c r="AI101" s="219"/>
      <c r="AJ101" s="9"/>
      <c r="AK101" s="9" t="n">
        <f aca="false">IF($A101&gt;=AL$25,IF($A101&lt;=AL$26,$AF101,0),0)</f>
        <v>0</v>
      </c>
      <c r="AL101" s="221" t="e">
        <f aca="false">AN101/AK101</f>
        <v>#DIV/0!</v>
      </c>
      <c r="AM101" s="1" t="n">
        <f aca="false">AK101*($B101+B$13)</f>
        <v>0</v>
      </c>
      <c r="AN101" s="33" t="n">
        <f aca="false">IF(ISNUMBER(((AM101/AK101)+B$14+$D101)*AK101),((AM101/AK101)+B$14+$D101)*AK101,0)</f>
        <v>0</v>
      </c>
      <c r="AO101" s="44" t="n">
        <f aca="false">IF(AK101=0,0,bsd(1,AP$27,AL101,$H101,$E101,$F101,$AE101,0.1))</f>
        <v>0</v>
      </c>
      <c r="AP101" s="44" t="n">
        <f aca="false">IF(AK101=0,0,bsd(2,AP$27,AL101,$H101,$E101,$F101,$AE101,0.1))</f>
        <v>0</v>
      </c>
      <c r="AQ101" s="44" t="n">
        <f aca="false">IF(AK101=0,0,bsd(AP$28,AP$27,AL101,$H101,$E101,$F101,$AE101,0.1))</f>
        <v>0</v>
      </c>
      <c r="AR101" s="45" t="n">
        <f aca="false">AK101*AO101</f>
        <v>0</v>
      </c>
      <c r="AS101" s="45" t="n">
        <f aca="false">AK101*AP101</f>
        <v>0</v>
      </c>
      <c r="AT101" s="45" t="n">
        <f aca="false">AK101*AQ101</f>
        <v>0</v>
      </c>
      <c r="AV101" s="9" t="n">
        <f aca="false">IF($A101&gt;=AW$25,IF($A101&lt;=AW$26,$AF101,0),0)</f>
        <v>0</v>
      </c>
      <c r="AW101" s="221" t="e">
        <f aca="false">AY101/AV101</f>
        <v>#DIV/0!</v>
      </c>
      <c r="AX101" s="1" t="n">
        <f aca="false">AV101*($B101+D$13)</f>
        <v>0</v>
      </c>
      <c r="AY101" s="33" t="n">
        <f aca="false">IF(ISNUMBER(((AX101/AV101)+D$14+$J101)*AV101),((AX101/AV101)+D$14+$J101)*AV101,0)</f>
        <v>0</v>
      </c>
      <c r="AZ101" s="44" t="n">
        <f aca="false">IF(AV101=0,0,bsd(1,BA$27,AW101,$N101,$K101,$L101,$AE101,0.1))</f>
        <v>0</v>
      </c>
      <c r="BA101" s="44" t="n">
        <f aca="false">IF(AV101=0,0,bsd(2,BA$27,AW101,$N101,$K101,$L101,$AE101,0.1))</f>
        <v>0</v>
      </c>
      <c r="BB101" s="44" t="n">
        <f aca="false">IF(AV101=0,0,bsd(BA$28,BA$27,AW101,$N101,$K101,$L101,$AE101,0.1))</f>
        <v>0</v>
      </c>
      <c r="BC101" s="45" t="n">
        <f aca="false">AV101*AZ101</f>
        <v>0</v>
      </c>
      <c r="BD101" s="45" t="n">
        <f aca="false">AV101*BA101</f>
        <v>0</v>
      </c>
      <c r="BE101" s="45" t="n">
        <f aca="false">AV101*BB101</f>
        <v>0</v>
      </c>
      <c r="BG101" s="9" t="n">
        <f aca="false">IF($A101&gt;=BH$25,IF($A101&lt;=BH$26,$AF101,0),0)</f>
        <v>0</v>
      </c>
      <c r="BH101" s="221" t="e">
        <f aca="false">BJ101/BG101</f>
        <v>#DIV/0!</v>
      </c>
      <c r="BI101" s="1" t="n">
        <f aca="false">BG101*($B101+F$13)</f>
        <v>0</v>
      </c>
      <c r="BJ101" s="33" t="n">
        <f aca="false">IF(ISNUMBER(((BI101/BG101)+F$14+$P101)*BG101),((BI101/BG101)+F$14+$P101)*BG101,0)</f>
        <v>0</v>
      </c>
      <c r="BK101" s="44" t="n">
        <f aca="false">IF(BG101=0,0,bsd(1,BL$27,BH101,$T101,$Q101,$R101,$AE101,0.1))</f>
        <v>0</v>
      </c>
      <c r="BL101" s="44" t="n">
        <f aca="false">IF(BG101=0,0,bsd(2,BL$27,BH101,$T101,$Q101,$R101,$AE101,0.1))</f>
        <v>0</v>
      </c>
      <c r="BM101" s="44" t="n">
        <f aca="false">IF(BG101=0,0,bsd(BL$28,BL$27,BH101,$T101,$Q101,$R101,$AE101,0.1))</f>
        <v>0</v>
      </c>
      <c r="BN101" s="45" t="n">
        <f aca="false">BG101*BK101</f>
        <v>0</v>
      </c>
      <c r="BO101" s="45" t="n">
        <f aca="false">BG101*BL101</f>
        <v>0</v>
      </c>
      <c r="BP101" s="45" t="n">
        <f aca="false">BG101*BM101</f>
        <v>0</v>
      </c>
      <c r="BR101" s="9" t="n">
        <f aca="false">IF($A101&gt;=BS$25,IF($A101&lt;=BS$26,$AF101,0),0)</f>
        <v>0</v>
      </c>
      <c r="BS101" s="221" t="e">
        <f aca="false">BU101/BR101</f>
        <v>#DIV/0!</v>
      </c>
      <c r="BT101" s="1" t="n">
        <f aca="false">BR101*($B101+H$13)</f>
        <v>0</v>
      </c>
      <c r="BU101" s="33" t="n">
        <f aca="false">IF(ISNUMBER(((BT101/BR101)+H$14+$V101)*BR101),((BT101/BR101)+H$14+$V101)*BR101,0)</f>
        <v>0</v>
      </c>
      <c r="BV101" s="44" t="n">
        <f aca="false">IF(BR101=0,0,bsd(1,BW$27,BS101,$Z101,$W101,$X101,$AE101,0.1))</f>
        <v>0</v>
      </c>
      <c r="BW101" s="44" t="n">
        <f aca="false">IF(BR101=0,0,bsd(2,BW$27,BS101,$Z101,$W101,$X101,$AE101,0.1))</f>
        <v>0</v>
      </c>
      <c r="BX101" s="44" t="n">
        <f aca="false">IF(BR101=0,0,bsd(BW$28,BW$27,BS101,$Z101,$W101,$X101,$AE101,0.1))</f>
        <v>0</v>
      </c>
      <c r="BY101" s="45" t="n">
        <f aca="false">BR101*BV101</f>
        <v>0</v>
      </c>
      <c r="BZ101" s="45" t="n">
        <f aca="false">BR101*BW101</f>
        <v>0</v>
      </c>
      <c r="CA101" s="45" t="n">
        <f aca="false">BR101*BX101</f>
        <v>0</v>
      </c>
    </row>
    <row r="102" customFormat="false" ht="12.75" hidden="false" customHeight="false" outlineLevel="0" collapsed="false">
      <c r="A102" s="48" t="n">
        <f aca="false">DATE(YEAR(A101),MONTH(A101)+1,1)</f>
        <v>39448</v>
      </c>
      <c r="B102" s="40" t="n">
        <f aca="false">VLOOKUP(A102,STRADDLE,5,FALSE())</f>
        <v>3.649</v>
      </c>
      <c r="C102" s="4" t="e">
        <f aca="false">VLOOKUP(A102,STRADDLE,6,FALSE())</f>
        <v>#VALUE!</v>
      </c>
      <c r="D102" s="40" t="n">
        <f aca="false">IF(D$28="nymex",0,VLOOKUP($A102,curvesettle,HLOOKUP(D$28,curvesettle,2,FALSE())))</f>
        <v>0</v>
      </c>
      <c r="E102" s="219" t="n">
        <f aca="false">IF(D$28="NYMEX",$AD102,$AC102)</f>
        <v>-6484</v>
      </c>
      <c r="F102" s="4" t="e">
        <f aca="false">($C102+G102)+B$15</f>
        <v>#DIV/0!</v>
      </c>
      <c r="G102" s="4" t="e">
        <f aca="false">IF(B$16=1,xCalcSkew(A102,H102-AL102,b)/100,0)</f>
        <v>#DIV/0!</v>
      </c>
      <c r="H102" s="41" t="n">
        <f aca="false">IF($B$19=4,$AL102,$B$18)</f>
        <v>2.44</v>
      </c>
      <c r="J102" s="40" t="n">
        <f aca="false">IF(J$28="nymex",0,VLOOKUP($A102,curvesettle,HLOOKUP(J$28,curvesettle,2,FALSE())))</f>
        <v>0</v>
      </c>
      <c r="K102" s="219" t="n">
        <f aca="false">IF(J$28="NYMEX",$AD102,$AC102)</f>
        <v>-6484</v>
      </c>
      <c r="L102" s="220" t="e">
        <f aca="false">($C102+M102)+D$15</f>
        <v>#DIV/0!</v>
      </c>
      <c r="M102" s="4" t="e">
        <f aca="false">IF(D$16=1,xCalcSkew($A102,N102-AW102,b)/100,0)</f>
        <v>#DIV/0!</v>
      </c>
      <c r="N102" s="41" t="n">
        <f aca="false">IF($D$19=4,$AW102,$D$18)</f>
        <v>2.44</v>
      </c>
      <c r="P102" s="40" t="n">
        <f aca="false">IF(P$28="nymex",0,VLOOKUP($A102,curvesettle,HLOOKUP(P$28,curvesettle,2,FALSE())))</f>
        <v>0</v>
      </c>
      <c r="Q102" s="219" t="n">
        <f aca="false">IF(P$28="NYMEX",$AD102,$AC102)</f>
        <v>-6484</v>
      </c>
      <c r="R102" s="220" t="e">
        <f aca="false">($C102+S102)+F$15</f>
        <v>#DIV/0!</v>
      </c>
      <c r="S102" s="4" t="e">
        <f aca="false">IF(F$16=1,xCalcSkew($A102,T102-BH102,b)/100,0)</f>
        <v>#DIV/0!</v>
      </c>
      <c r="T102" s="41" t="n">
        <f aca="false">IF($F$19=4,$BH102,$F$18)</f>
        <v>2.44</v>
      </c>
      <c r="V102" s="40" t="n">
        <f aca="false">IF(V$28="nymex",0,VLOOKUP($A102,curvesettle,HLOOKUP(V$28,curvesettle,2,FALSE())))</f>
        <v>0</v>
      </c>
      <c r="W102" s="219" t="n">
        <f aca="false">IF(V$28="NYMEX",$AD102,$AC102)</f>
        <v>-6484</v>
      </c>
      <c r="X102" s="4" t="e">
        <f aca="false">($C102+Y102)+H$15</f>
        <v>#DIV/0!</v>
      </c>
      <c r="Y102" s="4" t="e">
        <f aca="false">IF(H$16=1,xCalcSkew($A102,Z102-BS102,b)/100,0)</f>
        <v>#DIV/0!</v>
      </c>
      <c r="Z102" s="41" t="n">
        <f aca="false">IF($H$19=4,$BS102,$H$18)</f>
        <v>2.44</v>
      </c>
      <c r="AC102" s="219" t="n">
        <f aca="false">VLOOKUP($A102,expiration,2,FALSE())-$B$2</f>
        <v>-6483</v>
      </c>
      <c r="AD102" s="219" t="n">
        <f aca="false">VLOOKUP($A102,expiration,3,FALSE())-$B$2</f>
        <v>-6484</v>
      </c>
      <c r="AE102" s="4" t="n">
        <f aca="false">VLOOKUP($A102,STRADDLE,15,FALSE())</f>
        <v>0.0533475209331611</v>
      </c>
      <c r="AF102" s="43" t="n">
        <f aca="false">A103-A102</f>
        <v>31</v>
      </c>
      <c r="AI102" s="219"/>
      <c r="AJ102" s="9"/>
      <c r="AK102" s="9" t="n">
        <f aca="false">IF($A102&gt;=AL$25,IF($A102&lt;=AL$26,$AF102,0),0)</f>
        <v>0</v>
      </c>
      <c r="AL102" s="221" t="e">
        <f aca="false">AN102/AK102</f>
        <v>#DIV/0!</v>
      </c>
      <c r="AM102" s="1" t="n">
        <f aca="false">AK102*($B102+B$13)</f>
        <v>0</v>
      </c>
      <c r="AN102" s="33" t="n">
        <f aca="false">IF(ISNUMBER(((AM102/AK102)+B$14+$D102)*AK102),((AM102/AK102)+B$14+$D102)*AK102,0)</f>
        <v>0</v>
      </c>
      <c r="AO102" s="44" t="n">
        <f aca="false">IF(AK102=0,0,bsd(1,AP$27,AL102,$H102,$E102,$F102,$AE102,0.1))</f>
        <v>0</v>
      </c>
      <c r="AP102" s="44" t="n">
        <f aca="false">IF(AK102=0,0,bsd(2,AP$27,AL102,$H102,$E102,$F102,$AE102,0.1))</f>
        <v>0</v>
      </c>
      <c r="AQ102" s="44" t="n">
        <f aca="false">IF(AK102=0,0,bsd(AP$28,AP$27,AL102,$H102,$E102,$F102,$AE102,0.1))</f>
        <v>0</v>
      </c>
      <c r="AR102" s="45" t="n">
        <f aca="false">AK102*AO102</f>
        <v>0</v>
      </c>
      <c r="AS102" s="45" t="n">
        <f aca="false">AK102*AP102</f>
        <v>0</v>
      </c>
      <c r="AT102" s="45" t="n">
        <f aca="false">AK102*AQ102</f>
        <v>0</v>
      </c>
      <c r="AV102" s="9" t="n">
        <f aca="false">IF($A102&gt;=AW$25,IF($A102&lt;=AW$26,$AF102,0),0)</f>
        <v>0</v>
      </c>
      <c r="AW102" s="221" t="e">
        <f aca="false">AY102/AV102</f>
        <v>#DIV/0!</v>
      </c>
      <c r="AX102" s="1" t="n">
        <f aca="false">AV102*($B102+D$13)</f>
        <v>0</v>
      </c>
      <c r="AY102" s="33" t="n">
        <f aca="false">IF(ISNUMBER(((AX102/AV102)+D$14+$J102)*AV102),((AX102/AV102)+D$14+$J102)*AV102,0)</f>
        <v>0</v>
      </c>
      <c r="AZ102" s="44" t="n">
        <f aca="false">IF(AV102=0,0,bsd(1,BA$27,AW102,$N102,$K102,$L102,$AE102,0.1))</f>
        <v>0</v>
      </c>
      <c r="BA102" s="44" t="n">
        <f aca="false">IF(AV102=0,0,bsd(2,BA$27,AW102,$N102,$K102,$L102,$AE102,0.1))</f>
        <v>0</v>
      </c>
      <c r="BB102" s="44" t="n">
        <f aca="false">IF(AV102=0,0,bsd(BA$28,BA$27,AW102,$N102,$K102,$L102,$AE102,0.1))</f>
        <v>0</v>
      </c>
      <c r="BC102" s="45" t="n">
        <f aca="false">AV102*AZ102</f>
        <v>0</v>
      </c>
      <c r="BD102" s="45" t="n">
        <f aca="false">AV102*BA102</f>
        <v>0</v>
      </c>
      <c r="BE102" s="45" t="n">
        <f aca="false">AV102*BB102</f>
        <v>0</v>
      </c>
      <c r="BG102" s="9" t="n">
        <f aca="false">IF($A102&gt;=BH$25,IF($A102&lt;=BH$26,$AF102,0),0)</f>
        <v>0</v>
      </c>
      <c r="BH102" s="221" t="e">
        <f aca="false">BJ102/BG102</f>
        <v>#DIV/0!</v>
      </c>
      <c r="BI102" s="1" t="n">
        <f aca="false">BG102*($B102+F$13)</f>
        <v>0</v>
      </c>
      <c r="BJ102" s="33" t="n">
        <f aca="false">IF(ISNUMBER(((BI102/BG102)+F$14+$P102)*BG102),((BI102/BG102)+F$14+$P102)*BG102,0)</f>
        <v>0</v>
      </c>
      <c r="BK102" s="44" t="n">
        <f aca="false">IF(BG102=0,0,bsd(1,BL$27,BH102,$T102,$Q102,$R102,$AE102,0.1))</f>
        <v>0</v>
      </c>
      <c r="BL102" s="44" t="n">
        <f aca="false">IF(BG102=0,0,bsd(2,BL$27,BH102,$T102,$Q102,$R102,$AE102,0.1))</f>
        <v>0</v>
      </c>
      <c r="BM102" s="44" t="n">
        <f aca="false">IF(BG102=0,0,bsd(BL$28,BL$27,BH102,$T102,$Q102,$R102,$AE102,0.1))</f>
        <v>0</v>
      </c>
      <c r="BN102" s="45" t="n">
        <f aca="false">BG102*BK102</f>
        <v>0</v>
      </c>
      <c r="BO102" s="45" t="n">
        <f aca="false">BG102*BL102</f>
        <v>0</v>
      </c>
      <c r="BP102" s="45" t="n">
        <f aca="false">BG102*BM102</f>
        <v>0</v>
      </c>
      <c r="BR102" s="9" t="n">
        <f aca="false">IF($A102&gt;=BS$25,IF($A102&lt;=BS$26,$AF102,0),0)</f>
        <v>0</v>
      </c>
      <c r="BS102" s="221" t="e">
        <f aca="false">BU102/BR102</f>
        <v>#DIV/0!</v>
      </c>
      <c r="BT102" s="1" t="n">
        <f aca="false">BR102*($B102+H$13)</f>
        <v>0</v>
      </c>
      <c r="BU102" s="33" t="n">
        <f aca="false">IF(ISNUMBER(((BT102/BR102)+H$14+$V102)*BR102),((BT102/BR102)+H$14+$V102)*BR102,0)</f>
        <v>0</v>
      </c>
      <c r="BV102" s="44" t="n">
        <f aca="false">IF(BR102=0,0,bsd(1,BW$27,BS102,$Z102,$W102,$X102,$AE102,0.1))</f>
        <v>0</v>
      </c>
      <c r="BW102" s="44" t="n">
        <f aca="false">IF(BR102=0,0,bsd(2,BW$27,BS102,$Z102,$W102,$X102,$AE102,0.1))</f>
        <v>0</v>
      </c>
      <c r="BX102" s="44" t="n">
        <f aca="false">IF(BR102=0,0,bsd(BW$28,BW$27,BS102,$Z102,$W102,$X102,$AE102,0.1))</f>
        <v>0</v>
      </c>
      <c r="BY102" s="45" t="n">
        <f aca="false">BR102*BV102</f>
        <v>0</v>
      </c>
      <c r="BZ102" s="45" t="n">
        <f aca="false">BR102*BW102</f>
        <v>0</v>
      </c>
      <c r="CA102" s="45" t="n">
        <f aca="false">BR102*BX102</f>
        <v>0</v>
      </c>
    </row>
    <row r="103" customFormat="false" ht="12.75" hidden="false" customHeight="false" outlineLevel="0" collapsed="false">
      <c r="A103" s="48" t="n">
        <f aca="false">DATE(YEAR(A102),MONTH(A102)+1,1)</f>
        <v>39479</v>
      </c>
      <c r="B103" s="40" t="n">
        <f aca="false">VLOOKUP(A103,STRADDLE,5,FALSE())</f>
        <v>3.501</v>
      </c>
      <c r="C103" s="4" t="e">
        <f aca="false">VLOOKUP(A103,STRADDLE,6,FALSE())</f>
        <v>#VALUE!</v>
      </c>
      <c r="D103" s="40" t="n">
        <f aca="false">IF(D$28="nymex",0,VLOOKUP($A103,curvesettle,HLOOKUP(D$28,curvesettle,2,FALSE())))</f>
        <v>0</v>
      </c>
      <c r="E103" s="219" t="n">
        <f aca="false">IF(D$28="NYMEX",$AD103,$AC103)</f>
        <v>-6451</v>
      </c>
      <c r="F103" s="4" t="e">
        <f aca="false">($C103+G103)+B$15</f>
        <v>#DIV/0!</v>
      </c>
      <c r="G103" s="4" t="e">
        <f aca="false">IF(B$16=1,xCalcSkew(A103,H103-AL103,b)/100,0)</f>
        <v>#DIV/0!</v>
      </c>
      <c r="H103" s="41" t="n">
        <f aca="false">IF($B$19=4,$AL103,$B$18)</f>
        <v>2.44</v>
      </c>
      <c r="J103" s="40" t="n">
        <f aca="false">IF(J$28="nymex",0,VLOOKUP($A103,curvesettle,HLOOKUP(J$28,curvesettle,2,FALSE())))</f>
        <v>0</v>
      </c>
      <c r="K103" s="219" t="n">
        <f aca="false">IF(J$28="NYMEX",$AD103,$AC103)</f>
        <v>-6451</v>
      </c>
      <c r="L103" s="220" t="e">
        <f aca="false">($C103+M103)+D$15</f>
        <v>#DIV/0!</v>
      </c>
      <c r="M103" s="4" t="e">
        <f aca="false">IF(D$16=1,xCalcSkew($A103,N103-AW103,b)/100,0)</f>
        <v>#DIV/0!</v>
      </c>
      <c r="N103" s="41" t="n">
        <f aca="false">IF($D$19=4,$AW103,$D$18)</f>
        <v>2.44</v>
      </c>
      <c r="P103" s="40" t="n">
        <f aca="false">IF(P$28="nymex",0,VLOOKUP($A103,curvesettle,HLOOKUP(P$28,curvesettle,2,FALSE())))</f>
        <v>0</v>
      </c>
      <c r="Q103" s="219" t="n">
        <f aca="false">IF(P$28="NYMEX",$AD103,$AC103)</f>
        <v>-6451</v>
      </c>
      <c r="R103" s="220" t="e">
        <f aca="false">($C103+S103)+F$15</f>
        <v>#DIV/0!</v>
      </c>
      <c r="S103" s="4" t="e">
        <f aca="false">IF(F$16=1,xCalcSkew($A103,T103-BH103,b)/100,0)</f>
        <v>#DIV/0!</v>
      </c>
      <c r="T103" s="41" t="n">
        <f aca="false">IF($F$19=4,$BH103,$F$18)</f>
        <v>2.44</v>
      </c>
      <c r="V103" s="40" t="n">
        <f aca="false">IF(V$28="nymex",0,VLOOKUP($A103,curvesettle,HLOOKUP(V$28,curvesettle,2,FALSE())))</f>
        <v>0</v>
      </c>
      <c r="W103" s="219" t="n">
        <f aca="false">IF(V$28="NYMEX",$AD103,$AC103)</f>
        <v>-6451</v>
      </c>
      <c r="X103" s="4" t="e">
        <f aca="false">($C103+Y103)+H$15</f>
        <v>#DIV/0!</v>
      </c>
      <c r="Y103" s="4" t="e">
        <f aca="false">IF(H$16=1,xCalcSkew($A103,Z103-BS103,b)/100,0)</f>
        <v>#DIV/0!</v>
      </c>
      <c r="Z103" s="41" t="n">
        <f aca="false">IF($H$19=4,$BS103,$H$18)</f>
        <v>2.44</v>
      </c>
      <c r="AC103" s="219" t="n">
        <f aca="false">VLOOKUP($A103,expiration,2,FALSE())-$B$2</f>
        <v>-6450</v>
      </c>
      <c r="AD103" s="219" t="n">
        <f aca="false">VLOOKUP($A103,expiration,3,FALSE())-$B$2</f>
        <v>-6451</v>
      </c>
      <c r="AE103" s="4" t="n">
        <f aca="false">VLOOKUP($A103,STRADDLE,15,FALSE())</f>
        <v>0.0535290346573647</v>
      </c>
      <c r="AF103" s="43" t="n">
        <f aca="false">A104-A103</f>
        <v>29</v>
      </c>
      <c r="AI103" s="219"/>
      <c r="AJ103" s="9"/>
      <c r="AK103" s="9" t="n">
        <f aca="false">IF($A103&gt;=AL$25,IF($A103&lt;=AL$26,$AF103,0),0)</f>
        <v>0</v>
      </c>
      <c r="AL103" s="221" t="e">
        <f aca="false">AN103/AK103</f>
        <v>#DIV/0!</v>
      </c>
      <c r="AM103" s="1" t="n">
        <f aca="false">AK103*($B103+B$13)</f>
        <v>0</v>
      </c>
      <c r="AN103" s="33" t="n">
        <f aca="false">IF(ISNUMBER(((AM103/AK103)+B$14+$D103)*AK103),((AM103/AK103)+B$14+$D103)*AK103,0)</f>
        <v>0</v>
      </c>
      <c r="AO103" s="44" t="n">
        <f aca="false">IF(AK103=0,0,bsd(1,AP$27,AL103,$H103,$E103,$F103,$AE103,0.1))</f>
        <v>0</v>
      </c>
      <c r="AP103" s="44" t="n">
        <f aca="false">IF(AK103=0,0,bsd(2,AP$27,AL103,$H103,$E103,$F103,$AE103,0.1))</f>
        <v>0</v>
      </c>
      <c r="AQ103" s="44" t="n">
        <f aca="false">IF(AK103=0,0,bsd(AP$28,AP$27,AL103,$H103,$E103,$F103,$AE103,0.1))</f>
        <v>0</v>
      </c>
      <c r="AR103" s="45" t="n">
        <f aca="false">AK103*AO103</f>
        <v>0</v>
      </c>
      <c r="AS103" s="45" t="n">
        <f aca="false">AK103*AP103</f>
        <v>0</v>
      </c>
      <c r="AT103" s="45" t="n">
        <f aca="false">AK103*AQ103</f>
        <v>0</v>
      </c>
      <c r="AV103" s="9" t="n">
        <f aca="false">IF($A103&gt;=AW$25,IF($A103&lt;=AW$26,$AF103,0),0)</f>
        <v>0</v>
      </c>
      <c r="AW103" s="221" t="e">
        <f aca="false">AY103/AV103</f>
        <v>#DIV/0!</v>
      </c>
      <c r="AX103" s="1" t="n">
        <f aca="false">AV103*($B103+D$13)</f>
        <v>0</v>
      </c>
      <c r="AY103" s="33" t="n">
        <f aca="false">IF(ISNUMBER(((AX103/AV103)+D$14+$J103)*AV103),((AX103/AV103)+D$14+$J103)*AV103,0)</f>
        <v>0</v>
      </c>
      <c r="AZ103" s="44" t="n">
        <f aca="false">IF(AV103=0,0,bsd(1,BA$27,AW103,$N103,$K103,$L103,$AE103,0.1))</f>
        <v>0</v>
      </c>
      <c r="BA103" s="44" t="n">
        <f aca="false">IF(AV103=0,0,bsd(2,BA$27,AW103,$N103,$K103,$L103,$AE103,0.1))</f>
        <v>0</v>
      </c>
      <c r="BB103" s="44" t="n">
        <f aca="false">IF(AV103=0,0,bsd(BA$28,BA$27,AW103,$N103,$K103,$L103,$AE103,0.1))</f>
        <v>0</v>
      </c>
      <c r="BC103" s="45" t="n">
        <f aca="false">AV103*AZ103</f>
        <v>0</v>
      </c>
      <c r="BD103" s="45" t="n">
        <f aca="false">AV103*BA103</f>
        <v>0</v>
      </c>
      <c r="BE103" s="45" t="n">
        <f aca="false">AV103*BB103</f>
        <v>0</v>
      </c>
      <c r="BG103" s="9" t="n">
        <f aca="false">IF($A103&gt;=BH$25,IF($A103&lt;=BH$26,$AF103,0),0)</f>
        <v>0</v>
      </c>
      <c r="BH103" s="221" t="e">
        <f aca="false">BJ103/BG103</f>
        <v>#DIV/0!</v>
      </c>
      <c r="BI103" s="1" t="n">
        <f aca="false">BG103*($B103+F$13)</f>
        <v>0</v>
      </c>
      <c r="BJ103" s="33" t="n">
        <f aca="false">IF(ISNUMBER(((BI103/BG103)+F$14+$P103)*BG103),((BI103/BG103)+F$14+$P103)*BG103,0)</f>
        <v>0</v>
      </c>
      <c r="BK103" s="44" t="n">
        <f aca="false">IF(BG103=0,0,bsd(1,BL$27,BH103,$T103,$Q103,$R103,$AE103,0.1))</f>
        <v>0</v>
      </c>
      <c r="BL103" s="44" t="n">
        <f aca="false">IF(BG103=0,0,bsd(2,BL$27,BH103,$T103,$Q103,$R103,$AE103,0.1))</f>
        <v>0</v>
      </c>
      <c r="BM103" s="44" t="n">
        <f aca="false">IF(BG103=0,0,bsd(BL$28,BL$27,BH103,$T103,$Q103,$R103,$AE103,0.1))</f>
        <v>0</v>
      </c>
      <c r="BN103" s="45" t="n">
        <f aca="false">BG103*BK103</f>
        <v>0</v>
      </c>
      <c r="BO103" s="45" t="n">
        <f aca="false">BG103*BL103</f>
        <v>0</v>
      </c>
      <c r="BP103" s="45" t="n">
        <f aca="false">BG103*BM103</f>
        <v>0</v>
      </c>
      <c r="BR103" s="9" t="n">
        <f aca="false">IF($A103&gt;=BS$25,IF($A103&lt;=BS$26,$AF103,0),0)</f>
        <v>0</v>
      </c>
      <c r="BS103" s="221" t="e">
        <f aca="false">BU103/BR103</f>
        <v>#DIV/0!</v>
      </c>
      <c r="BT103" s="1" t="n">
        <f aca="false">BR103*($B103+H$13)</f>
        <v>0</v>
      </c>
      <c r="BU103" s="33" t="n">
        <f aca="false">IF(ISNUMBER(((BT103/BR103)+H$14+$V103)*BR103),((BT103/BR103)+H$14+$V103)*BR103,0)</f>
        <v>0</v>
      </c>
      <c r="BV103" s="44" t="n">
        <f aca="false">IF(BR103=0,0,bsd(1,BW$27,BS103,$Z103,$W103,$X103,$AE103,0.1))</f>
        <v>0</v>
      </c>
      <c r="BW103" s="44" t="n">
        <f aca="false">IF(BR103=0,0,bsd(2,BW$27,BS103,$Z103,$W103,$X103,$AE103,0.1))</f>
        <v>0</v>
      </c>
      <c r="BX103" s="44" t="n">
        <f aca="false">IF(BR103=0,0,bsd(BW$28,BW$27,BS103,$Z103,$W103,$X103,$AE103,0.1))</f>
        <v>0</v>
      </c>
      <c r="BY103" s="45" t="n">
        <f aca="false">BR103*BV103</f>
        <v>0</v>
      </c>
      <c r="BZ103" s="45" t="n">
        <f aca="false">BR103*BW103</f>
        <v>0</v>
      </c>
      <c r="CA103" s="45" t="n">
        <f aca="false">BR103*BX103</f>
        <v>0</v>
      </c>
    </row>
    <row r="104" customFormat="false" ht="12.75" hidden="false" customHeight="false" outlineLevel="0" collapsed="false">
      <c r="A104" s="48" t="n">
        <f aca="false">DATE(YEAR(A103),MONTH(A103)+1,1)</f>
        <v>39508</v>
      </c>
      <c r="B104" s="40" t="n">
        <f aca="false">VLOOKUP(A104,STRADDLE,5,FALSE())</f>
        <v>3.45</v>
      </c>
      <c r="C104" s="4" t="e">
        <f aca="false">VLOOKUP(A104,STRADDLE,6,FALSE())</f>
        <v>#VALUE!</v>
      </c>
      <c r="D104" s="40" t="n">
        <f aca="false">IF(D$28="nymex",0,VLOOKUP($A104,curvesettle,HLOOKUP(D$28,curvesettle,2,FALSE())))</f>
        <v>0</v>
      </c>
      <c r="E104" s="219" t="n">
        <f aca="false">IF(D$28="NYMEX",$AD104,$AC104)</f>
        <v>-6422</v>
      </c>
      <c r="F104" s="4" t="e">
        <f aca="false">($C104+G104)+B$15</f>
        <v>#DIV/0!</v>
      </c>
      <c r="G104" s="4" t="e">
        <f aca="false">IF(B$16=1,xCalcSkew(A104,H104-AL104,b)/100,0)</f>
        <v>#DIV/0!</v>
      </c>
      <c r="H104" s="41" t="n">
        <f aca="false">IF($B$19=4,$AL104,$B$18)</f>
        <v>2.44</v>
      </c>
      <c r="J104" s="40" t="n">
        <f aca="false">IF(J$28="nymex",0,VLOOKUP($A104,curvesettle,HLOOKUP(J$28,curvesettle,2,FALSE())))</f>
        <v>0</v>
      </c>
      <c r="K104" s="219" t="n">
        <f aca="false">IF(J$28="NYMEX",$AD104,$AC104)</f>
        <v>-6422</v>
      </c>
      <c r="L104" s="220" t="e">
        <f aca="false">($C104+M104)+D$15</f>
        <v>#DIV/0!</v>
      </c>
      <c r="M104" s="4" t="e">
        <f aca="false">IF(D$16=1,xCalcSkew($A104,N104-AW104,b)/100,0)</f>
        <v>#DIV/0!</v>
      </c>
      <c r="N104" s="41" t="n">
        <f aca="false">IF($D$19=4,$AW104,$D$18)</f>
        <v>2.44</v>
      </c>
      <c r="P104" s="40" t="n">
        <f aca="false">IF(P$28="nymex",0,VLOOKUP($A104,curvesettle,HLOOKUP(P$28,curvesettle,2,FALSE())))</f>
        <v>0</v>
      </c>
      <c r="Q104" s="219" t="n">
        <f aca="false">IF(P$28="NYMEX",$AD104,$AC104)</f>
        <v>-6422</v>
      </c>
      <c r="R104" s="220" t="e">
        <f aca="false">($C104+S104)+F$15</f>
        <v>#DIV/0!</v>
      </c>
      <c r="S104" s="4" t="e">
        <f aca="false">IF(F$16=1,xCalcSkew($A104,T104-BH104,b)/100,0)</f>
        <v>#DIV/0!</v>
      </c>
      <c r="T104" s="41" t="n">
        <f aca="false">IF($F$19=4,$BH104,$F$18)</f>
        <v>2.44</v>
      </c>
      <c r="V104" s="40" t="n">
        <f aca="false">IF(V$28="nymex",0,VLOOKUP($A104,curvesettle,HLOOKUP(V$28,curvesettle,2,FALSE())))</f>
        <v>0</v>
      </c>
      <c r="W104" s="219" t="n">
        <f aca="false">IF(V$28="NYMEX",$AD104,$AC104)</f>
        <v>-6422</v>
      </c>
      <c r="X104" s="4" t="e">
        <f aca="false">($C104+Y104)+H$15</f>
        <v>#DIV/0!</v>
      </c>
      <c r="Y104" s="4" t="e">
        <f aca="false">IF(H$16=1,xCalcSkew($A104,Z104-BS104,b)/100,0)</f>
        <v>#DIV/0!</v>
      </c>
      <c r="Z104" s="41" t="n">
        <f aca="false">IF($H$19=4,$BS104,$H$18)</f>
        <v>2.44</v>
      </c>
      <c r="AC104" s="219" t="n">
        <f aca="false">VLOOKUP($A104,expiration,2,FALSE())-$B$2</f>
        <v>-6421</v>
      </c>
      <c r="AD104" s="219" t="n">
        <f aca="false">VLOOKUP($A104,expiration,3,FALSE())-$B$2</f>
        <v>-6422</v>
      </c>
      <c r="AE104" s="4" t="n">
        <f aca="false">VLOOKUP($A104,STRADDLE,15,FALSE())</f>
        <v>0.0537105483925497</v>
      </c>
      <c r="AF104" s="43" t="n">
        <f aca="false">A105-A104</f>
        <v>31</v>
      </c>
      <c r="AI104" s="219"/>
      <c r="AJ104" s="9"/>
      <c r="AK104" s="9" t="n">
        <f aca="false">IF($A104&gt;=AL$25,IF($A104&lt;=AL$26,$AF104,0),0)</f>
        <v>0</v>
      </c>
      <c r="AL104" s="221" t="e">
        <f aca="false">AN104/AK104</f>
        <v>#DIV/0!</v>
      </c>
      <c r="AM104" s="1" t="n">
        <f aca="false">AK104*($B104+B$13)</f>
        <v>0</v>
      </c>
      <c r="AN104" s="33" t="n">
        <f aca="false">IF(ISNUMBER(((AM104/AK104)+B$14+$D104)*AK104),((AM104/AK104)+B$14+$D104)*AK104,0)</f>
        <v>0</v>
      </c>
      <c r="AO104" s="44" t="n">
        <f aca="false">IF(AK104=0,0,bsd(1,AP$27,AL104,$H104,$E104,$F104,$AE104,0.1))</f>
        <v>0</v>
      </c>
      <c r="AP104" s="44" t="n">
        <f aca="false">IF(AK104=0,0,bsd(2,AP$27,AL104,$H104,$E104,$F104,$AE104,0.1))</f>
        <v>0</v>
      </c>
      <c r="AQ104" s="44" t="n">
        <f aca="false">IF(AK104=0,0,bsd(AP$28,AP$27,AL104,$H104,$E104,$F104,$AE104,0.1))</f>
        <v>0</v>
      </c>
      <c r="AR104" s="45" t="n">
        <f aca="false">AK104*AO104</f>
        <v>0</v>
      </c>
      <c r="AS104" s="45" t="n">
        <f aca="false">AK104*AP104</f>
        <v>0</v>
      </c>
      <c r="AT104" s="45" t="n">
        <f aca="false">AK104*AQ104</f>
        <v>0</v>
      </c>
      <c r="AV104" s="9" t="n">
        <f aca="false">IF($A104&gt;=AW$25,IF($A104&lt;=AW$26,$AF104,0),0)</f>
        <v>0</v>
      </c>
      <c r="AW104" s="221" t="e">
        <f aca="false">AY104/AV104</f>
        <v>#DIV/0!</v>
      </c>
      <c r="AX104" s="1" t="n">
        <f aca="false">AV104*($B104+D$13)</f>
        <v>0</v>
      </c>
      <c r="AY104" s="33" t="n">
        <f aca="false">IF(ISNUMBER(((AX104/AV104)+D$14+$J104)*AV104),((AX104/AV104)+D$14+$J104)*AV104,0)</f>
        <v>0</v>
      </c>
      <c r="AZ104" s="44" t="n">
        <f aca="false">IF(AV104=0,0,bsd(1,BA$27,AW104,$N104,$K104,$L104,$AE104,0.1))</f>
        <v>0</v>
      </c>
      <c r="BA104" s="44" t="n">
        <f aca="false">IF(AV104=0,0,bsd(2,BA$27,AW104,$N104,$K104,$L104,$AE104,0.1))</f>
        <v>0</v>
      </c>
      <c r="BB104" s="44" t="n">
        <f aca="false">IF(AV104=0,0,bsd(BA$28,BA$27,AW104,$N104,$K104,$L104,$AE104,0.1))</f>
        <v>0</v>
      </c>
      <c r="BC104" s="45" t="n">
        <f aca="false">AV104*AZ104</f>
        <v>0</v>
      </c>
      <c r="BD104" s="45" t="n">
        <f aca="false">AV104*BA104</f>
        <v>0</v>
      </c>
      <c r="BE104" s="45" t="n">
        <f aca="false">AV104*BB104</f>
        <v>0</v>
      </c>
      <c r="BG104" s="9" t="n">
        <f aca="false">IF($A104&gt;=BH$25,IF($A104&lt;=BH$26,$AF104,0),0)</f>
        <v>0</v>
      </c>
      <c r="BH104" s="221" t="e">
        <f aca="false">BJ104/BG104</f>
        <v>#DIV/0!</v>
      </c>
      <c r="BI104" s="1" t="n">
        <f aca="false">BG104*($B104+F$13)</f>
        <v>0</v>
      </c>
      <c r="BJ104" s="33" t="n">
        <f aca="false">IF(ISNUMBER(((BI104/BG104)+F$14+$P104)*BG104),((BI104/BG104)+F$14+$P104)*BG104,0)</f>
        <v>0</v>
      </c>
      <c r="BK104" s="44" t="n">
        <f aca="false">IF(BG104=0,0,bsd(1,BL$27,BH104,$T104,$Q104,$R104,$AE104,0.1))</f>
        <v>0</v>
      </c>
      <c r="BL104" s="44" t="n">
        <f aca="false">IF(BG104=0,0,bsd(2,BL$27,BH104,$T104,$Q104,$R104,$AE104,0.1))</f>
        <v>0</v>
      </c>
      <c r="BM104" s="44" t="n">
        <f aca="false">IF(BG104=0,0,bsd(BL$28,BL$27,BH104,$T104,$Q104,$R104,$AE104,0.1))</f>
        <v>0</v>
      </c>
      <c r="BN104" s="45" t="n">
        <f aca="false">BG104*BK104</f>
        <v>0</v>
      </c>
      <c r="BO104" s="45" t="n">
        <f aca="false">BG104*BL104</f>
        <v>0</v>
      </c>
      <c r="BP104" s="45" t="n">
        <f aca="false">BG104*BM104</f>
        <v>0</v>
      </c>
      <c r="BR104" s="9" t="n">
        <f aca="false">IF($A104&gt;=BS$25,IF($A104&lt;=BS$26,$AF104,0),0)</f>
        <v>0</v>
      </c>
      <c r="BS104" s="221" t="e">
        <f aca="false">BU104/BR104</f>
        <v>#DIV/0!</v>
      </c>
      <c r="BT104" s="1" t="n">
        <f aca="false">BR104*($B104+H$13)</f>
        <v>0</v>
      </c>
      <c r="BU104" s="33" t="n">
        <f aca="false">IF(ISNUMBER(((BT104/BR104)+H$14+$V104)*BR104),((BT104/BR104)+H$14+$V104)*BR104,0)</f>
        <v>0</v>
      </c>
      <c r="BV104" s="44" t="n">
        <f aca="false">IF(BR104=0,0,bsd(1,BW$27,BS104,$Z104,$W104,$X104,$AE104,0.1))</f>
        <v>0</v>
      </c>
      <c r="BW104" s="44" t="n">
        <f aca="false">IF(BR104=0,0,bsd(2,BW$27,BS104,$Z104,$W104,$X104,$AE104,0.1))</f>
        <v>0</v>
      </c>
      <c r="BX104" s="44" t="n">
        <f aca="false">IF(BR104=0,0,bsd(BW$28,BW$27,BS104,$Z104,$W104,$X104,$AE104,0.1))</f>
        <v>0</v>
      </c>
      <c r="BY104" s="45" t="n">
        <f aca="false">BR104*BV104</f>
        <v>0</v>
      </c>
      <c r="BZ104" s="45" t="n">
        <f aca="false">BR104*BW104</f>
        <v>0</v>
      </c>
      <c r="CA104" s="45" t="n">
        <f aca="false">BR104*BX104</f>
        <v>0</v>
      </c>
    </row>
    <row r="105" customFormat="false" ht="12.75" hidden="false" customHeight="false" outlineLevel="0" collapsed="false">
      <c r="A105" s="48" t="n">
        <f aca="false">DATE(YEAR(A104),MONTH(A104)+1,1)</f>
        <v>39539</v>
      </c>
      <c r="B105" s="40" t="n">
        <f aca="false">VLOOKUP(A105,STRADDLE,5,FALSE())</f>
        <v>3.231</v>
      </c>
      <c r="C105" s="4" t="e">
        <f aca="false">VLOOKUP(A105,STRADDLE,6,FALSE())</f>
        <v>#VALUE!</v>
      </c>
      <c r="D105" s="40" t="n">
        <f aca="false">IF(D$28="nymex",0,VLOOKUP($A105,curvesettle,HLOOKUP(D$28,curvesettle,2,FALSE())))</f>
        <v>0</v>
      </c>
      <c r="E105" s="219" t="n">
        <f aca="false">IF(D$28="NYMEX",$AD105,$AC105)</f>
        <v>-6393</v>
      </c>
      <c r="F105" s="4" t="e">
        <f aca="false">($C105+G105)+B$15</f>
        <v>#DIV/0!</v>
      </c>
      <c r="G105" s="4" t="e">
        <f aca="false">IF(B$16=1,xCalcSkew(A105,H105-AL105,b)/100,0)</f>
        <v>#DIV/0!</v>
      </c>
      <c r="H105" s="41" t="n">
        <f aca="false">IF($B$19=4,$AL105,$B$18)</f>
        <v>2.44</v>
      </c>
      <c r="J105" s="40" t="n">
        <f aca="false">IF(J$28="nymex",0,VLOOKUP($A105,curvesettle,HLOOKUP(J$28,curvesettle,2,FALSE())))</f>
        <v>0</v>
      </c>
      <c r="K105" s="219" t="n">
        <f aca="false">IF(J$28="NYMEX",$AD105,$AC105)</f>
        <v>-6393</v>
      </c>
      <c r="L105" s="220" t="e">
        <f aca="false">($C105+M105)+D$15</f>
        <v>#DIV/0!</v>
      </c>
      <c r="M105" s="4" t="e">
        <f aca="false">IF(D$16=1,xCalcSkew($A105,N105-AW105,b)/100,0)</f>
        <v>#DIV/0!</v>
      </c>
      <c r="N105" s="41" t="n">
        <f aca="false">IF($D$19=4,$AW105,$D$18)</f>
        <v>2.44</v>
      </c>
      <c r="P105" s="40" t="n">
        <f aca="false">IF(P$28="nymex",0,VLOOKUP($A105,curvesettle,HLOOKUP(P$28,curvesettle,2,FALSE())))</f>
        <v>0</v>
      </c>
      <c r="Q105" s="219" t="n">
        <f aca="false">IF(P$28="NYMEX",$AD105,$AC105)</f>
        <v>-6393</v>
      </c>
      <c r="R105" s="220" t="e">
        <f aca="false">($C105+S105)+F$15</f>
        <v>#DIV/0!</v>
      </c>
      <c r="S105" s="4" t="e">
        <f aca="false">IF(F$16=1,xCalcSkew($A105,T105-BH105,b)/100,0)</f>
        <v>#DIV/0!</v>
      </c>
      <c r="T105" s="41" t="n">
        <f aca="false">IF($F$19=4,$BH105,$F$18)</f>
        <v>2.44</v>
      </c>
      <c r="V105" s="40" t="n">
        <f aca="false">IF(V$28="nymex",0,VLOOKUP($A105,curvesettle,HLOOKUP(V$28,curvesettle,2,FALSE())))</f>
        <v>0</v>
      </c>
      <c r="W105" s="219" t="n">
        <f aca="false">IF(V$28="NYMEX",$AD105,$AC105)</f>
        <v>-6393</v>
      </c>
      <c r="X105" s="4" t="e">
        <f aca="false">($C105+Y105)+H$15</f>
        <v>#DIV/0!</v>
      </c>
      <c r="Y105" s="4" t="e">
        <f aca="false">IF(H$16=1,xCalcSkew($A105,Z105-BS105,b)/100,0)</f>
        <v>#DIV/0!</v>
      </c>
      <c r="Z105" s="41" t="n">
        <f aca="false">IF($H$19=4,$BS105,$H$18)</f>
        <v>2.44</v>
      </c>
      <c r="AC105" s="219" t="n">
        <f aca="false">VLOOKUP($A105,expiration,2,FALSE())-$B$2</f>
        <v>-6392</v>
      </c>
      <c r="AD105" s="219" t="n">
        <f aca="false">VLOOKUP($A105,expiration,3,FALSE())-$B$2</f>
        <v>-6393</v>
      </c>
      <c r="AE105" s="4" t="n">
        <f aca="false">VLOOKUP($A105,STRADDLE,15,FALSE())</f>
        <v>0.0538803515741155</v>
      </c>
      <c r="AF105" s="43" t="n">
        <f aca="false">A106-A105</f>
        <v>30</v>
      </c>
      <c r="AI105" s="219"/>
      <c r="AJ105" s="9"/>
      <c r="AK105" s="9" t="n">
        <f aca="false">IF($A105&gt;=AL$25,IF($A105&lt;=AL$26,$AF105,0),0)</f>
        <v>0</v>
      </c>
      <c r="AL105" s="221" t="e">
        <f aca="false">AN105/AK105</f>
        <v>#DIV/0!</v>
      </c>
      <c r="AM105" s="1" t="n">
        <f aca="false">AK105*($B105+B$13)</f>
        <v>0</v>
      </c>
      <c r="AN105" s="33" t="n">
        <f aca="false">IF(ISNUMBER(((AM105/AK105)+B$14+$D105)*AK105),((AM105/AK105)+B$14+$D105)*AK105,0)</f>
        <v>0</v>
      </c>
      <c r="AO105" s="44" t="n">
        <f aca="false">IF(AK105=0,0,bsd(1,AP$27,AL105,$H105,$E105,$F105,$AE105,0.1))</f>
        <v>0</v>
      </c>
      <c r="AP105" s="44" t="n">
        <f aca="false">IF(AK105=0,0,bsd(2,AP$27,AL105,$H105,$E105,$F105,$AE105,0.1))</f>
        <v>0</v>
      </c>
      <c r="AQ105" s="44" t="n">
        <f aca="false">IF(AK105=0,0,bsd(AP$28,AP$27,AL105,$H105,$E105,$F105,$AE105,0.1))</f>
        <v>0</v>
      </c>
      <c r="AR105" s="45" t="n">
        <f aca="false">AK105*AO105</f>
        <v>0</v>
      </c>
      <c r="AS105" s="45" t="n">
        <f aca="false">AK105*AP105</f>
        <v>0</v>
      </c>
      <c r="AT105" s="45" t="n">
        <f aca="false">AK105*AQ105</f>
        <v>0</v>
      </c>
      <c r="AV105" s="9" t="n">
        <f aca="false">IF($A105&gt;=AW$25,IF($A105&lt;=AW$26,$AF105,0),0)</f>
        <v>0</v>
      </c>
      <c r="AW105" s="221" t="e">
        <f aca="false">AY105/AV105</f>
        <v>#DIV/0!</v>
      </c>
      <c r="AX105" s="1" t="n">
        <f aca="false">AV105*($B105+D$13)</f>
        <v>0</v>
      </c>
      <c r="AY105" s="33" t="n">
        <f aca="false">IF(ISNUMBER(((AX105/AV105)+D$14+$J105)*AV105),((AX105/AV105)+D$14+$J105)*AV105,0)</f>
        <v>0</v>
      </c>
      <c r="AZ105" s="44" t="n">
        <f aca="false">IF(AV105=0,0,bsd(1,BA$27,AW105,$N105,$K105,$L105,$AE105,0.1))</f>
        <v>0</v>
      </c>
      <c r="BA105" s="44" t="n">
        <f aca="false">IF(AV105=0,0,bsd(2,BA$27,AW105,$N105,$K105,$L105,$AE105,0.1))</f>
        <v>0</v>
      </c>
      <c r="BB105" s="44" t="n">
        <f aca="false">IF(AV105=0,0,bsd(BA$28,BA$27,AW105,$N105,$K105,$L105,$AE105,0.1))</f>
        <v>0</v>
      </c>
      <c r="BC105" s="45" t="n">
        <f aca="false">AV105*AZ105</f>
        <v>0</v>
      </c>
      <c r="BD105" s="45" t="n">
        <f aca="false">AV105*BA105</f>
        <v>0</v>
      </c>
      <c r="BE105" s="45" t="n">
        <f aca="false">AV105*BB105</f>
        <v>0</v>
      </c>
      <c r="BG105" s="9" t="n">
        <f aca="false">IF($A105&gt;=BH$25,IF($A105&lt;=BH$26,$AF105,0),0)</f>
        <v>0</v>
      </c>
      <c r="BH105" s="221" t="e">
        <f aca="false">BJ105/BG105</f>
        <v>#DIV/0!</v>
      </c>
      <c r="BI105" s="1" t="n">
        <f aca="false">BG105*($B105+F$13)</f>
        <v>0</v>
      </c>
      <c r="BJ105" s="33" t="n">
        <f aca="false">IF(ISNUMBER(((BI105/BG105)+F$14+$P105)*BG105),((BI105/BG105)+F$14+$P105)*BG105,0)</f>
        <v>0</v>
      </c>
      <c r="BK105" s="44" t="n">
        <f aca="false">IF(BG105=0,0,bsd(1,BL$27,BH105,$T105,$Q105,$R105,$AE105,0.1))</f>
        <v>0</v>
      </c>
      <c r="BL105" s="44" t="n">
        <f aca="false">IF(BG105=0,0,bsd(2,BL$27,BH105,$T105,$Q105,$R105,$AE105,0.1))</f>
        <v>0</v>
      </c>
      <c r="BM105" s="44" t="n">
        <f aca="false">IF(BG105=0,0,bsd(BL$28,BL$27,BH105,$T105,$Q105,$R105,$AE105,0.1))</f>
        <v>0</v>
      </c>
      <c r="BN105" s="45" t="n">
        <f aca="false">BG105*BK105</f>
        <v>0</v>
      </c>
      <c r="BO105" s="45" t="n">
        <f aca="false">BG105*BL105</f>
        <v>0</v>
      </c>
      <c r="BP105" s="45" t="n">
        <f aca="false">BG105*BM105</f>
        <v>0</v>
      </c>
      <c r="BR105" s="9" t="n">
        <f aca="false">IF($A105&gt;=BS$25,IF($A105&lt;=BS$26,$AF105,0),0)</f>
        <v>0</v>
      </c>
      <c r="BS105" s="221" t="e">
        <f aca="false">BU105/BR105</f>
        <v>#DIV/0!</v>
      </c>
      <c r="BT105" s="1" t="n">
        <f aca="false">BR105*($B105+H$13)</f>
        <v>0</v>
      </c>
      <c r="BU105" s="33" t="n">
        <f aca="false">IF(ISNUMBER(((BT105/BR105)+H$14+$V105)*BR105),((BT105/BR105)+H$14+$V105)*BR105,0)</f>
        <v>0</v>
      </c>
      <c r="BV105" s="44" t="n">
        <f aca="false">IF(BR105=0,0,bsd(1,BW$27,BS105,$Z105,$W105,$X105,$AE105,0.1))</f>
        <v>0</v>
      </c>
      <c r="BW105" s="44" t="n">
        <f aca="false">IF(BR105=0,0,bsd(2,BW$27,BS105,$Z105,$W105,$X105,$AE105,0.1))</f>
        <v>0</v>
      </c>
      <c r="BX105" s="44" t="n">
        <f aca="false">IF(BR105=0,0,bsd(BW$28,BW$27,BS105,$Z105,$W105,$X105,$AE105,0.1))</f>
        <v>0</v>
      </c>
      <c r="BY105" s="45" t="n">
        <f aca="false">BR105*BV105</f>
        <v>0</v>
      </c>
      <c r="BZ105" s="45" t="n">
        <f aca="false">BR105*BW105</f>
        <v>0</v>
      </c>
      <c r="CA105" s="45" t="n">
        <f aca="false">BR105*BX105</f>
        <v>0</v>
      </c>
    </row>
    <row r="106" customFormat="false" ht="12.75" hidden="false" customHeight="false" outlineLevel="0" collapsed="false">
      <c r="A106" s="48" t="n">
        <f aca="false">DATE(YEAR(A105),MONTH(A105)+1,1)</f>
        <v>39569</v>
      </c>
      <c r="B106" s="40" t="n">
        <f aca="false">VLOOKUP(A106,STRADDLE,5,FALSE())</f>
        <v>3.234</v>
      </c>
      <c r="C106" s="4" t="e">
        <f aca="false">VLOOKUP(A106,STRADDLE,6,FALSE())</f>
        <v>#VALUE!</v>
      </c>
      <c r="D106" s="40" t="n">
        <f aca="false">IF(D$28="nymex",0,VLOOKUP($A106,curvesettle,HLOOKUP(D$28,curvesettle,2,FALSE())))</f>
        <v>0</v>
      </c>
      <c r="E106" s="219" t="n">
        <f aca="false">IF(D$28="NYMEX",$AD106,$AC106)</f>
        <v>-6363</v>
      </c>
      <c r="F106" s="4" t="e">
        <f aca="false">($C106+G106)+B$15</f>
        <v>#DIV/0!</v>
      </c>
      <c r="G106" s="4" t="e">
        <f aca="false">IF(B$16=1,xCalcSkew(A106,H106-AL106,b)/100,0)</f>
        <v>#DIV/0!</v>
      </c>
      <c r="H106" s="41" t="n">
        <f aca="false">IF($B$19=4,$AL106,$B$18)</f>
        <v>2.44</v>
      </c>
      <c r="J106" s="40" t="n">
        <f aca="false">IF(J$28="nymex",0,VLOOKUP($A106,curvesettle,HLOOKUP(J$28,curvesettle,2,FALSE())))</f>
        <v>0</v>
      </c>
      <c r="K106" s="219" t="n">
        <f aca="false">IF(J$28="NYMEX",$AD106,$AC106)</f>
        <v>-6363</v>
      </c>
      <c r="L106" s="220" t="e">
        <f aca="false">($C106+M106)+D$15</f>
        <v>#DIV/0!</v>
      </c>
      <c r="M106" s="4" t="e">
        <f aca="false">IF(D$16=1,xCalcSkew($A106,N106-AW106,b)/100,0)</f>
        <v>#DIV/0!</v>
      </c>
      <c r="N106" s="41" t="n">
        <f aca="false">IF($D$19=4,$AW106,$D$18)</f>
        <v>2.44</v>
      </c>
      <c r="P106" s="40" t="n">
        <f aca="false">IF(P$28="nymex",0,VLOOKUP($A106,curvesettle,HLOOKUP(P$28,curvesettle,2,FALSE())))</f>
        <v>0</v>
      </c>
      <c r="Q106" s="219" t="n">
        <f aca="false">IF(P$28="NYMEX",$AD106,$AC106)</f>
        <v>-6363</v>
      </c>
      <c r="R106" s="220" t="e">
        <f aca="false">($C106+S106)+F$15</f>
        <v>#DIV/0!</v>
      </c>
      <c r="S106" s="4" t="e">
        <f aca="false">IF(F$16=1,xCalcSkew($A106,T106-BH106,b)/100,0)</f>
        <v>#DIV/0!</v>
      </c>
      <c r="T106" s="41" t="n">
        <f aca="false">IF($F$19=4,$BH106,$F$18)</f>
        <v>2.44</v>
      </c>
      <c r="V106" s="40" t="n">
        <f aca="false">IF(V$28="nymex",0,VLOOKUP($A106,curvesettle,HLOOKUP(V$28,curvesettle,2,FALSE())))</f>
        <v>0</v>
      </c>
      <c r="W106" s="219" t="n">
        <f aca="false">IF(V$28="NYMEX",$AD106,$AC106)</f>
        <v>-6363</v>
      </c>
      <c r="X106" s="4" t="e">
        <f aca="false">($C106+Y106)+H$15</f>
        <v>#DIV/0!</v>
      </c>
      <c r="Y106" s="4" t="e">
        <f aca="false">IF(H$16=1,xCalcSkew($A106,Z106-BS106,b)/100,0)</f>
        <v>#DIV/0!</v>
      </c>
      <c r="Z106" s="41" t="n">
        <f aca="false">IF($H$19=4,$BS106,$H$18)</f>
        <v>2.44</v>
      </c>
      <c r="AC106" s="219" t="n">
        <f aca="false">VLOOKUP($A106,expiration,2,FALSE())-$B$2</f>
        <v>-6360</v>
      </c>
      <c r="AD106" s="219" t="n">
        <f aca="false">VLOOKUP($A106,expiration,3,FALSE())-$B$2</f>
        <v>-6363</v>
      </c>
      <c r="AE106" s="4" t="n">
        <f aca="false">VLOOKUP($A106,STRADDLE,15,FALSE())</f>
        <v>0.0540618653305529</v>
      </c>
      <c r="AF106" s="43" t="n">
        <f aca="false">A107-A106</f>
        <v>31</v>
      </c>
      <c r="AI106" s="219"/>
      <c r="AJ106" s="9"/>
      <c r="AK106" s="9" t="n">
        <f aca="false">IF($A106&gt;=AL$25,IF($A106&lt;=AL$26,$AF106,0),0)</f>
        <v>0</v>
      </c>
      <c r="AL106" s="221" t="e">
        <f aca="false">AN106/AK106</f>
        <v>#DIV/0!</v>
      </c>
      <c r="AM106" s="1" t="n">
        <f aca="false">AK106*($B106+B$13)</f>
        <v>0</v>
      </c>
      <c r="AN106" s="33" t="n">
        <f aca="false">IF(ISNUMBER(((AM106/AK106)+B$14+$D106)*AK106),((AM106/AK106)+B$14+$D106)*AK106,0)</f>
        <v>0</v>
      </c>
      <c r="AO106" s="44" t="n">
        <f aca="false">IF(AK106=0,0,bsd(1,AP$27,AL106,$H106,$E106,$F106,$AE106,0.1))</f>
        <v>0</v>
      </c>
      <c r="AP106" s="44" t="n">
        <f aca="false">IF(AK106=0,0,bsd(2,AP$27,AL106,$H106,$E106,$F106,$AE106,0.1))</f>
        <v>0</v>
      </c>
      <c r="AQ106" s="44" t="n">
        <f aca="false">IF(AK106=0,0,bsd(AP$28,AP$27,AL106,$H106,$E106,$F106,$AE106,0.1))</f>
        <v>0</v>
      </c>
      <c r="AR106" s="45" t="n">
        <f aca="false">AK106*AO106</f>
        <v>0</v>
      </c>
      <c r="AS106" s="45" t="n">
        <f aca="false">AK106*AP106</f>
        <v>0</v>
      </c>
      <c r="AT106" s="45" t="n">
        <f aca="false">AK106*AQ106</f>
        <v>0</v>
      </c>
      <c r="AV106" s="9" t="n">
        <f aca="false">IF($A106&gt;=AW$25,IF($A106&lt;=AW$26,$AF106,0),0)</f>
        <v>0</v>
      </c>
      <c r="AW106" s="221" t="e">
        <f aca="false">AY106/AV106</f>
        <v>#DIV/0!</v>
      </c>
      <c r="AX106" s="1" t="n">
        <f aca="false">AV106*($B106+D$13)</f>
        <v>0</v>
      </c>
      <c r="AY106" s="33" t="n">
        <f aca="false">IF(ISNUMBER(((AX106/AV106)+D$14+$J106)*AV106),((AX106/AV106)+D$14+$J106)*AV106,0)</f>
        <v>0</v>
      </c>
      <c r="AZ106" s="44" t="n">
        <f aca="false">IF(AV106=0,0,bsd(1,BA$27,AW106,$N106,$K106,$L106,$AE106,0.1))</f>
        <v>0</v>
      </c>
      <c r="BA106" s="44" t="n">
        <f aca="false">IF(AV106=0,0,bsd(2,BA$27,AW106,$N106,$K106,$L106,$AE106,0.1))</f>
        <v>0</v>
      </c>
      <c r="BB106" s="44" t="n">
        <f aca="false">IF(AV106=0,0,bsd(BA$28,BA$27,AW106,$N106,$K106,$L106,$AE106,0.1))</f>
        <v>0</v>
      </c>
      <c r="BC106" s="45" t="n">
        <f aca="false">AV106*AZ106</f>
        <v>0</v>
      </c>
      <c r="BD106" s="45" t="n">
        <f aca="false">AV106*BA106</f>
        <v>0</v>
      </c>
      <c r="BE106" s="45" t="n">
        <f aca="false">AV106*BB106</f>
        <v>0</v>
      </c>
      <c r="BG106" s="9" t="n">
        <f aca="false">IF($A106&gt;=BH$25,IF($A106&lt;=BH$26,$AF106,0),0)</f>
        <v>0</v>
      </c>
      <c r="BH106" s="221" t="e">
        <f aca="false">BJ106/BG106</f>
        <v>#DIV/0!</v>
      </c>
      <c r="BI106" s="1" t="n">
        <f aca="false">BG106*($B106+F$13)</f>
        <v>0</v>
      </c>
      <c r="BJ106" s="33" t="n">
        <f aca="false">IF(ISNUMBER(((BI106/BG106)+F$14+$P106)*BG106),((BI106/BG106)+F$14+$P106)*BG106,0)</f>
        <v>0</v>
      </c>
      <c r="BK106" s="44" t="n">
        <f aca="false">IF(BG106=0,0,bsd(1,BL$27,BH106,$T106,$Q106,$R106,$AE106,0.1))</f>
        <v>0</v>
      </c>
      <c r="BL106" s="44" t="n">
        <f aca="false">IF(BG106=0,0,bsd(2,BL$27,BH106,$T106,$Q106,$R106,$AE106,0.1))</f>
        <v>0</v>
      </c>
      <c r="BM106" s="44" t="n">
        <f aca="false">IF(BG106=0,0,bsd(BL$28,BL$27,BH106,$T106,$Q106,$R106,$AE106,0.1))</f>
        <v>0</v>
      </c>
      <c r="BN106" s="45" t="n">
        <f aca="false">BG106*BK106</f>
        <v>0</v>
      </c>
      <c r="BO106" s="45" t="n">
        <f aca="false">BG106*BL106</f>
        <v>0</v>
      </c>
      <c r="BP106" s="45" t="n">
        <f aca="false">BG106*BM106</f>
        <v>0</v>
      </c>
      <c r="BR106" s="9" t="n">
        <f aca="false">IF($A106&gt;=BS$25,IF($A106&lt;=BS$26,$AF106,0),0)</f>
        <v>0</v>
      </c>
      <c r="BS106" s="221" t="e">
        <f aca="false">BU106/BR106</f>
        <v>#DIV/0!</v>
      </c>
      <c r="BT106" s="1" t="n">
        <f aca="false">BR106*($B106+H$13)</f>
        <v>0</v>
      </c>
      <c r="BU106" s="33" t="n">
        <f aca="false">IF(ISNUMBER(((BT106/BR106)+H$14+$V106)*BR106),((BT106/BR106)+H$14+$V106)*BR106,0)</f>
        <v>0</v>
      </c>
      <c r="BV106" s="44" t="n">
        <f aca="false">IF(BR106=0,0,bsd(1,BW$27,BS106,$Z106,$W106,$X106,$AE106,0.1))</f>
        <v>0</v>
      </c>
      <c r="BW106" s="44" t="n">
        <f aca="false">IF(BR106=0,0,bsd(2,BW$27,BS106,$Z106,$W106,$X106,$AE106,0.1))</f>
        <v>0</v>
      </c>
      <c r="BX106" s="44" t="n">
        <f aca="false">IF(BR106=0,0,bsd(BW$28,BW$27,BS106,$Z106,$W106,$X106,$AE106,0.1))</f>
        <v>0</v>
      </c>
      <c r="BY106" s="45" t="n">
        <f aca="false">BR106*BV106</f>
        <v>0</v>
      </c>
      <c r="BZ106" s="45" t="n">
        <f aca="false">BR106*BW106</f>
        <v>0</v>
      </c>
      <c r="CA106" s="45" t="n">
        <f aca="false">BR106*BX106</f>
        <v>0</v>
      </c>
    </row>
    <row r="107" customFormat="false" ht="12.75" hidden="false" customHeight="false" outlineLevel="0" collapsed="false">
      <c r="A107" s="48" t="n">
        <f aca="false">DATE(YEAR(A106),MONTH(A106)+1,1)</f>
        <v>39600</v>
      </c>
      <c r="B107" s="40" t="n">
        <f aca="false">VLOOKUP(A107,STRADDLE,5,FALSE())</f>
        <v>3.274</v>
      </c>
      <c r="C107" s="4" t="e">
        <f aca="false">VLOOKUP(A107,STRADDLE,6,FALSE())</f>
        <v>#VALUE!</v>
      </c>
      <c r="D107" s="40" t="n">
        <f aca="false">IF(D$28="nymex",0,VLOOKUP($A107,curvesettle,HLOOKUP(D$28,curvesettle,2,FALSE())))</f>
        <v>0</v>
      </c>
      <c r="E107" s="219" t="n">
        <f aca="false">IF(D$28="NYMEX",$AD107,$AC107)</f>
        <v>-6331</v>
      </c>
      <c r="F107" s="4" t="e">
        <f aca="false">($C107+G107)+B$15</f>
        <v>#DIV/0!</v>
      </c>
      <c r="G107" s="4" t="e">
        <f aca="false">IF(B$16=1,xCalcSkew(A107,H107-AL107,b)/100,0)</f>
        <v>#DIV/0!</v>
      </c>
      <c r="H107" s="41" t="n">
        <f aca="false">IF($B$19=4,$AL107,$B$18)</f>
        <v>2.44</v>
      </c>
      <c r="J107" s="40" t="n">
        <f aca="false">IF(J$28="nymex",0,VLOOKUP($A107,curvesettle,HLOOKUP(J$28,curvesettle,2,FALSE())))</f>
        <v>0</v>
      </c>
      <c r="K107" s="219" t="n">
        <f aca="false">IF(J$28="NYMEX",$AD107,$AC107)</f>
        <v>-6331</v>
      </c>
      <c r="L107" s="220" t="e">
        <f aca="false">($C107+M107)+D$15</f>
        <v>#DIV/0!</v>
      </c>
      <c r="M107" s="4" t="e">
        <f aca="false">IF(D$16=1,xCalcSkew($A107,N107-AW107,b)/100,0)</f>
        <v>#DIV/0!</v>
      </c>
      <c r="N107" s="41" t="n">
        <f aca="false">IF($D$19=4,$AW107,$D$18)</f>
        <v>2.44</v>
      </c>
      <c r="P107" s="40" t="n">
        <f aca="false">IF(P$28="nymex",0,VLOOKUP($A107,curvesettle,HLOOKUP(P$28,curvesettle,2,FALSE())))</f>
        <v>0</v>
      </c>
      <c r="Q107" s="219" t="n">
        <f aca="false">IF(P$28="NYMEX",$AD107,$AC107)</f>
        <v>-6331</v>
      </c>
      <c r="R107" s="220" t="e">
        <f aca="false">($C107+S107)+F$15</f>
        <v>#DIV/0!</v>
      </c>
      <c r="S107" s="4" t="e">
        <f aca="false">IF(F$16=1,xCalcSkew($A107,T107-BH107,b)/100,0)</f>
        <v>#DIV/0!</v>
      </c>
      <c r="T107" s="41" t="n">
        <f aca="false">IF($F$19=4,$BH107,$F$18)</f>
        <v>2.44</v>
      </c>
      <c r="V107" s="40" t="n">
        <f aca="false">IF(V$28="nymex",0,VLOOKUP($A107,curvesettle,HLOOKUP(V$28,curvesettle,2,FALSE())))</f>
        <v>0</v>
      </c>
      <c r="W107" s="219" t="n">
        <f aca="false">IF(V$28="NYMEX",$AD107,$AC107)</f>
        <v>-6331</v>
      </c>
      <c r="X107" s="4" t="e">
        <f aca="false">($C107+Y107)+H$15</f>
        <v>#DIV/0!</v>
      </c>
      <c r="Y107" s="4" t="e">
        <f aca="false">IF(H$16=1,xCalcSkew($A107,Z107-BS107,b)/100,0)</f>
        <v>#DIV/0!</v>
      </c>
      <c r="Z107" s="41" t="n">
        <f aca="false">IF($H$19=4,$BS107,$H$18)</f>
        <v>2.44</v>
      </c>
      <c r="AC107" s="219" t="n">
        <f aca="false">VLOOKUP($A107,expiration,2,FALSE())-$B$2</f>
        <v>-6330</v>
      </c>
      <c r="AD107" s="219" t="n">
        <f aca="false">VLOOKUP($A107,expiration,3,FALSE())-$B$2</f>
        <v>-6331</v>
      </c>
      <c r="AE107" s="4" t="n">
        <f aca="false">VLOOKUP($A107,STRADDLE,15,FALSE())</f>
        <v>0.0542375238149777</v>
      </c>
      <c r="AF107" s="43" t="n">
        <f aca="false">A108-A107</f>
        <v>30</v>
      </c>
      <c r="AI107" s="219"/>
      <c r="AJ107" s="9"/>
      <c r="AK107" s="9" t="n">
        <f aca="false">IF($A107&gt;=AL$25,IF($A107&lt;=AL$26,$AF107,0),0)</f>
        <v>0</v>
      </c>
      <c r="AL107" s="221" t="e">
        <f aca="false">AN107/AK107</f>
        <v>#DIV/0!</v>
      </c>
      <c r="AM107" s="1" t="n">
        <f aca="false">AK107*($B107+B$13)</f>
        <v>0</v>
      </c>
      <c r="AN107" s="33" t="n">
        <f aca="false">IF(ISNUMBER(((AM107/AK107)+B$14+$D107)*AK107),((AM107/AK107)+B$14+$D107)*AK107,0)</f>
        <v>0</v>
      </c>
      <c r="AO107" s="44" t="n">
        <f aca="false">IF(AK107=0,0,bsd(1,AP$27,AL107,$H107,$E107,$F107,$AE107,0.1))</f>
        <v>0</v>
      </c>
      <c r="AP107" s="44" t="n">
        <f aca="false">IF(AK107=0,0,bsd(2,AP$27,AL107,$H107,$E107,$F107,$AE107,0.1))</f>
        <v>0</v>
      </c>
      <c r="AQ107" s="44" t="n">
        <f aca="false">IF(AK107=0,0,bsd(AP$28,AP$27,AL107,$H107,$E107,$F107,$AE107,0.1))</f>
        <v>0</v>
      </c>
      <c r="AR107" s="45" t="n">
        <f aca="false">AK107*AO107</f>
        <v>0</v>
      </c>
      <c r="AS107" s="45" t="n">
        <f aca="false">AK107*AP107</f>
        <v>0</v>
      </c>
      <c r="AT107" s="45" t="n">
        <f aca="false">AK107*AQ107</f>
        <v>0</v>
      </c>
      <c r="AV107" s="9" t="n">
        <f aca="false">IF($A107&gt;=AW$25,IF($A107&lt;=AW$26,$AF107,0),0)</f>
        <v>0</v>
      </c>
      <c r="AW107" s="221" t="e">
        <f aca="false">AY107/AV107</f>
        <v>#DIV/0!</v>
      </c>
      <c r="AX107" s="1" t="n">
        <f aca="false">AV107*($B107+D$13)</f>
        <v>0</v>
      </c>
      <c r="AY107" s="33" t="n">
        <f aca="false">IF(ISNUMBER(((AX107/AV107)+D$14+$J107)*AV107),((AX107/AV107)+D$14+$J107)*AV107,0)</f>
        <v>0</v>
      </c>
      <c r="AZ107" s="44" t="n">
        <f aca="false">IF(AV107=0,0,bsd(1,BA$27,AW107,$N107,$K107,$L107,$AE107,0.1))</f>
        <v>0</v>
      </c>
      <c r="BA107" s="44" t="n">
        <f aca="false">IF(AV107=0,0,bsd(2,BA$27,AW107,$N107,$K107,$L107,$AE107,0.1))</f>
        <v>0</v>
      </c>
      <c r="BB107" s="44" t="n">
        <f aca="false">IF(AV107=0,0,bsd(BA$28,BA$27,AW107,$N107,$K107,$L107,$AE107,0.1))</f>
        <v>0</v>
      </c>
      <c r="BC107" s="45" t="n">
        <f aca="false">AV107*AZ107</f>
        <v>0</v>
      </c>
      <c r="BD107" s="45" t="n">
        <f aca="false">AV107*BA107</f>
        <v>0</v>
      </c>
      <c r="BE107" s="45" t="n">
        <f aca="false">AV107*BB107</f>
        <v>0</v>
      </c>
      <c r="BG107" s="9" t="n">
        <f aca="false">IF($A107&gt;=BH$25,IF($A107&lt;=BH$26,$AF107,0),0)</f>
        <v>0</v>
      </c>
      <c r="BH107" s="221" t="e">
        <f aca="false">BJ107/BG107</f>
        <v>#DIV/0!</v>
      </c>
      <c r="BI107" s="1" t="n">
        <f aca="false">BG107*($B107+F$13)</f>
        <v>0</v>
      </c>
      <c r="BJ107" s="33" t="n">
        <f aca="false">IF(ISNUMBER(((BI107/BG107)+F$14+$P107)*BG107),((BI107/BG107)+F$14+$P107)*BG107,0)</f>
        <v>0</v>
      </c>
      <c r="BK107" s="44" t="n">
        <f aca="false">IF(BG107=0,0,bsd(1,BL$27,BH107,$T107,$Q107,$R107,$AE107,0.1))</f>
        <v>0</v>
      </c>
      <c r="BL107" s="44" t="n">
        <f aca="false">IF(BG107=0,0,bsd(2,BL$27,BH107,$T107,$Q107,$R107,$AE107,0.1))</f>
        <v>0</v>
      </c>
      <c r="BM107" s="44" t="n">
        <f aca="false">IF(BG107=0,0,bsd(BL$28,BL$27,BH107,$T107,$Q107,$R107,$AE107,0.1))</f>
        <v>0</v>
      </c>
      <c r="BN107" s="45" t="n">
        <f aca="false">BG107*BK107</f>
        <v>0</v>
      </c>
      <c r="BO107" s="45" t="n">
        <f aca="false">BG107*BL107</f>
        <v>0</v>
      </c>
      <c r="BP107" s="45" t="n">
        <f aca="false">BG107*BM107</f>
        <v>0</v>
      </c>
      <c r="BR107" s="9" t="n">
        <f aca="false">IF($A107&gt;=BS$25,IF($A107&lt;=BS$26,$AF107,0),0)</f>
        <v>0</v>
      </c>
      <c r="BS107" s="221" t="e">
        <f aca="false">BU107/BR107</f>
        <v>#DIV/0!</v>
      </c>
      <c r="BT107" s="1" t="n">
        <f aca="false">BR107*($B107+H$13)</f>
        <v>0</v>
      </c>
      <c r="BU107" s="33" t="n">
        <f aca="false">IF(ISNUMBER(((BT107/BR107)+H$14+$V107)*BR107),((BT107/BR107)+H$14+$V107)*BR107,0)</f>
        <v>0</v>
      </c>
      <c r="BV107" s="44" t="n">
        <f aca="false">IF(BR107=0,0,bsd(1,BW$27,BS107,$Z107,$W107,$X107,$AE107,0.1))</f>
        <v>0</v>
      </c>
      <c r="BW107" s="44" t="n">
        <f aca="false">IF(BR107=0,0,bsd(2,BW$27,BS107,$Z107,$W107,$X107,$AE107,0.1))</f>
        <v>0</v>
      </c>
      <c r="BX107" s="44" t="n">
        <f aca="false">IF(BR107=0,0,bsd(BW$28,BW$27,BS107,$Z107,$W107,$X107,$AE107,0.1))</f>
        <v>0</v>
      </c>
      <c r="BY107" s="45" t="n">
        <f aca="false">BR107*BV107</f>
        <v>0</v>
      </c>
      <c r="BZ107" s="45" t="n">
        <f aca="false">BR107*BW107</f>
        <v>0</v>
      </c>
      <c r="CA107" s="45" t="n">
        <f aca="false">BR107*BX107</f>
        <v>0</v>
      </c>
    </row>
    <row r="108" customFormat="false" ht="12.75" hidden="false" customHeight="false" outlineLevel="0" collapsed="false">
      <c r="A108" s="48" t="n">
        <f aca="false">DATE(YEAR(A107),MONTH(A107)+1,1)</f>
        <v>39630</v>
      </c>
      <c r="B108" s="40" t="n">
        <f aca="false">VLOOKUP(A108,STRADDLE,5,FALSE())</f>
        <v>3.314</v>
      </c>
      <c r="C108" s="4" t="e">
        <f aca="false">VLOOKUP(A108,STRADDLE,6,FALSE())</f>
        <v>#VALUE!</v>
      </c>
      <c r="D108" s="40" t="n">
        <f aca="false">IF(D$28="nymex",0,VLOOKUP($A108,curvesettle,HLOOKUP(D$28,curvesettle,2,FALSE())))</f>
        <v>0</v>
      </c>
      <c r="E108" s="219" t="n">
        <f aca="false">IF(D$28="NYMEX",$AD108,$AC108)</f>
        <v>-6302</v>
      </c>
      <c r="F108" s="4" t="e">
        <f aca="false">($C108+G108)+B$15</f>
        <v>#DIV/0!</v>
      </c>
      <c r="G108" s="4" t="e">
        <f aca="false">IF(B$16=1,xCalcSkew(A108,H108-AL108,b)/100,0)</f>
        <v>#DIV/0!</v>
      </c>
      <c r="H108" s="41" t="n">
        <f aca="false">IF($B$19=4,$AL108,$B$18)</f>
        <v>2.44</v>
      </c>
      <c r="J108" s="40" t="n">
        <f aca="false">IF(J$28="nymex",0,VLOOKUP($A108,curvesettle,HLOOKUP(J$28,curvesettle,2,FALSE())))</f>
        <v>0</v>
      </c>
      <c r="K108" s="219" t="n">
        <f aca="false">IF(J$28="NYMEX",$AD108,$AC108)</f>
        <v>-6302</v>
      </c>
      <c r="L108" s="220" t="e">
        <f aca="false">($C108+M108)+D$15</f>
        <v>#DIV/0!</v>
      </c>
      <c r="M108" s="4" t="e">
        <f aca="false">IF(D$16=1,xCalcSkew($A108,N108-AW108,b)/100,0)</f>
        <v>#DIV/0!</v>
      </c>
      <c r="N108" s="41" t="n">
        <f aca="false">IF($D$19=4,$AW108,$D$18)</f>
        <v>2.44</v>
      </c>
      <c r="P108" s="40" t="n">
        <f aca="false">IF(P$28="nymex",0,VLOOKUP($A108,curvesettle,HLOOKUP(P$28,curvesettle,2,FALSE())))</f>
        <v>0</v>
      </c>
      <c r="Q108" s="219" t="n">
        <f aca="false">IF(P$28="NYMEX",$AD108,$AC108)</f>
        <v>-6302</v>
      </c>
      <c r="R108" s="220" t="e">
        <f aca="false">($C108+S108)+F$15</f>
        <v>#DIV/0!</v>
      </c>
      <c r="S108" s="4" t="e">
        <f aca="false">IF(F$16=1,xCalcSkew($A108,T108-BH108,b)/100,0)</f>
        <v>#DIV/0!</v>
      </c>
      <c r="T108" s="41" t="n">
        <f aca="false">IF($F$19=4,$BH108,$F$18)</f>
        <v>2.44</v>
      </c>
      <c r="V108" s="40" t="n">
        <f aca="false">IF(V$28="nymex",0,VLOOKUP($A108,curvesettle,HLOOKUP(V$28,curvesettle,2,FALSE())))</f>
        <v>0</v>
      </c>
      <c r="W108" s="219" t="n">
        <f aca="false">IF(V$28="NYMEX",$AD108,$AC108)</f>
        <v>-6302</v>
      </c>
      <c r="X108" s="4" t="e">
        <f aca="false">($C108+Y108)+H$15</f>
        <v>#DIV/0!</v>
      </c>
      <c r="Y108" s="4" t="e">
        <f aca="false">IF(H$16=1,xCalcSkew($A108,Z108-BS108,b)/100,0)</f>
        <v>#DIV/0!</v>
      </c>
      <c r="Z108" s="41" t="n">
        <f aca="false">IF($H$19=4,$BS108,$H$18)</f>
        <v>2.44</v>
      </c>
      <c r="AC108" s="219" t="n">
        <f aca="false">VLOOKUP($A108,expiration,2,FALSE())-$B$2</f>
        <v>-6301</v>
      </c>
      <c r="AD108" s="219" t="n">
        <f aca="false">VLOOKUP($A108,expiration,3,FALSE())-$B$2</f>
        <v>-6302</v>
      </c>
      <c r="AE108" s="4" t="n">
        <f aca="false">VLOOKUP($A108,STRADDLE,15,FALSE())</f>
        <v>0.0544190375930174</v>
      </c>
      <c r="AF108" s="43" t="n">
        <f aca="false">A109-A108</f>
        <v>31</v>
      </c>
      <c r="AI108" s="219"/>
      <c r="AJ108" s="9"/>
      <c r="AK108" s="9" t="n">
        <f aca="false">IF($A108&gt;=AL$25,IF($A108&lt;=AL$26,$AF108,0),0)</f>
        <v>0</v>
      </c>
      <c r="AL108" s="221" t="e">
        <f aca="false">AN108/AK108</f>
        <v>#DIV/0!</v>
      </c>
      <c r="AM108" s="1" t="n">
        <f aca="false">AK108*($B108+B$13)</f>
        <v>0</v>
      </c>
      <c r="AN108" s="33" t="n">
        <f aca="false">IF(ISNUMBER(((AM108/AK108)+B$14+$D108)*AK108),((AM108/AK108)+B$14+$D108)*AK108,0)</f>
        <v>0</v>
      </c>
      <c r="AO108" s="44" t="n">
        <f aca="false">IF(AK108=0,0,bsd(1,AP$27,AL108,$H108,$E108,$F108,$AE108,0.1))</f>
        <v>0</v>
      </c>
      <c r="AP108" s="44" t="n">
        <f aca="false">IF(AK108=0,0,bsd(2,AP$27,AL108,$H108,$E108,$F108,$AE108,0.1))</f>
        <v>0</v>
      </c>
      <c r="AQ108" s="44" t="n">
        <f aca="false">IF(AK108=0,0,bsd(AP$28,AP$27,AL108,$H108,$E108,$F108,$AE108,0.1))</f>
        <v>0</v>
      </c>
      <c r="AR108" s="45" t="n">
        <f aca="false">AK108*AO108</f>
        <v>0</v>
      </c>
      <c r="AS108" s="45" t="n">
        <f aca="false">AK108*AP108</f>
        <v>0</v>
      </c>
      <c r="AT108" s="45" t="n">
        <f aca="false">AK108*AQ108</f>
        <v>0</v>
      </c>
      <c r="AV108" s="9" t="n">
        <f aca="false">IF($A108&gt;=AW$25,IF($A108&lt;=AW$26,$AF108,0),0)</f>
        <v>0</v>
      </c>
      <c r="AW108" s="221" t="e">
        <f aca="false">AY108/AV108</f>
        <v>#DIV/0!</v>
      </c>
      <c r="AX108" s="1" t="n">
        <f aca="false">AV108*($B108+D$13)</f>
        <v>0</v>
      </c>
      <c r="AY108" s="33" t="n">
        <f aca="false">IF(ISNUMBER(((AX108/AV108)+D$14+$J108)*AV108),((AX108/AV108)+D$14+$J108)*AV108,0)</f>
        <v>0</v>
      </c>
      <c r="AZ108" s="44" t="n">
        <f aca="false">IF(AV108=0,0,bsd(1,BA$27,AW108,$N108,$K108,$L108,$AE108,0.1))</f>
        <v>0</v>
      </c>
      <c r="BA108" s="44" t="n">
        <f aca="false">IF(AV108=0,0,bsd(2,BA$27,AW108,$N108,$K108,$L108,$AE108,0.1))</f>
        <v>0</v>
      </c>
      <c r="BB108" s="44" t="n">
        <f aca="false">IF(AV108=0,0,bsd(BA$28,BA$27,AW108,$N108,$K108,$L108,$AE108,0.1))</f>
        <v>0</v>
      </c>
      <c r="BC108" s="45" t="n">
        <f aca="false">AV108*AZ108</f>
        <v>0</v>
      </c>
      <c r="BD108" s="45" t="n">
        <f aca="false">AV108*BA108</f>
        <v>0</v>
      </c>
      <c r="BE108" s="45" t="n">
        <f aca="false">AV108*BB108</f>
        <v>0</v>
      </c>
      <c r="BG108" s="9" t="n">
        <f aca="false">IF($A108&gt;=BH$25,IF($A108&lt;=BH$26,$AF108,0),0)</f>
        <v>0</v>
      </c>
      <c r="BH108" s="221" t="e">
        <f aca="false">BJ108/BG108</f>
        <v>#DIV/0!</v>
      </c>
      <c r="BI108" s="1" t="n">
        <f aca="false">BG108*($B108+F$13)</f>
        <v>0</v>
      </c>
      <c r="BJ108" s="33" t="n">
        <f aca="false">IF(ISNUMBER(((BI108/BG108)+F$14+$P108)*BG108),((BI108/BG108)+F$14+$P108)*BG108,0)</f>
        <v>0</v>
      </c>
      <c r="BK108" s="44" t="n">
        <f aca="false">IF(BG108=0,0,bsd(1,BL$27,BH108,$T108,$Q108,$R108,$AE108,0.1))</f>
        <v>0</v>
      </c>
      <c r="BL108" s="44" t="n">
        <f aca="false">IF(BG108=0,0,bsd(2,BL$27,BH108,$T108,$Q108,$R108,$AE108,0.1))</f>
        <v>0</v>
      </c>
      <c r="BM108" s="44" t="n">
        <f aca="false">IF(BG108=0,0,bsd(BL$28,BL$27,BH108,$T108,$Q108,$R108,$AE108,0.1))</f>
        <v>0</v>
      </c>
      <c r="BN108" s="45" t="n">
        <f aca="false">BG108*BK108</f>
        <v>0</v>
      </c>
      <c r="BO108" s="45" t="n">
        <f aca="false">BG108*BL108</f>
        <v>0</v>
      </c>
      <c r="BP108" s="45" t="n">
        <f aca="false">BG108*BM108</f>
        <v>0</v>
      </c>
      <c r="BR108" s="9" t="n">
        <f aca="false">IF($A108&gt;=BS$25,IF($A108&lt;=BS$26,$AF108,0),0)</f>
        <v>0</v>
      </c>
      <c r="BS108" s="221" t="e">
        <f aca="false">BU108/BR108</f>
        <v>#DIV/0!</v>
      </c>
      <c r="BT108" s="1" t="n">
        <f aca="false">BR108*($B108+H$13)</f>
        <v>0</v>
      </c>
      <c r="BU108" s="33" t="n">
        <f aca="false">IF(ISNUMBER(((BT108/BR108)+H$14+$V108)*BR108),((BT108/BR108)+H$14+$V108)*BR108,0)</f>
        <v>0</v>
      </c>
      <c r="BV108" s="44" t="n">
        <f aca="false">IF(BR108=0,0,bsd(1,BW$27,BS108,$Z108,$W108,$X108,$AE108,0.1))</f>
        <v>0</v>
      </c>
      <c r="BW108" s="44" t="n">
        <f aca="false">IF(BR108=0,0,bsd(2,BW$27,BS108,$Z108,$W108,$X108,$AE108,0.1))</f>
        <v>0</v>
      </c>
      <c r="BX108" s="44" t="n">
        <f aca="false">IF(BR108=0,0,bsd(BW$28,BW$27,BS108,$Z108,$W108,$X108,$AE108,0.1))</f>
        <v>0</v>
      </c>
      <c r="BY108" s="45" t="n">
        <f aca="false">BR108*BV108</f>
        <v>0</v>
      </c>
      <c r="BZ108" s="45" t="n">
        <f aca="false">BR108*BW108</f>
        <v>0</v>
      </c>
      <c r="CA108" s="45" t="n">
        <f aca="false">BR108*BX108</f>
        <v>0</v>
      </c>
    </row>
    <row r="109" customFormat="false" ht="12.75" hidden="false" customHeight="false" outlineLevel="0" collapsed="false">
      <c r="A109" s="48" t="n">
        <f aca="false">DATE(YEAR(A108),MONTH(A108)+1,1)</f>
        <v>39661</v>
      </c>
      <c r="B109" s="40" t="n">
        <f aca="false">VLOOKUP(A109,STRADDLE,5,FALSE())</f>
        <v>3.364</v>
      </c>
      <c r="C109" s="4" t="e">
        <f aca="false">VLOOKUP(A109,STRADDLE,6,FALSE())</f>
        <v>#VALUE!</v>
      </c>
      <c r="D109" s="40" t="n">
        <f aca="false">IF(D$28="nymex",0,VLOOKUP($A109,curvesettle,HLOOKUP(D$28,curvesettle,2,FALSE())))</f>
        <v>0</v>
      </c>
      <c r="E109" s="219" t="n">
        <f aca="false">IF(D$28="NYMEX",$AD109,$AC109)</f>
        <v>-6269</v>
      </c>
      <c r="F109" s="4" t="e">
        <f aca="false">($C109+G109)+B$15</f>
        <v>#DIV/0!</v>
      </c>
      <c r="G109" s="4" t="e">
        <f aca="false">IF(B$16=1,xCalcSkew(A109,H109-AL109,b)/100,0)</f>
        <v>#DIV/0!</v>
      </c>
      <c r="H109" s="41" t="n">
        <f aca="false">IF($B$19=4,$AL109,$B$18)</f>
        <v>2.44</v>
      </c>
      <c r="J109" s="40" t="n">
        <f aca="false">IF(J$28="nymex",0,VLOOKUP($A109,curvesettle,HLOOKUP(J$28,curvesettle,2,FALSE())))</f>
        <v>0</v>
      </c>
      <c r="K109" s="219" t="n">
        <f aca="false">IF(J$28="NYMEX",$AD109,$AC109)</f>
        <v>-6269</v>
      </c>
      <c r="L109" s="220" t="e">
        <f aca="false">($C109+M109)+D$15</f>
        <v>#DIV/0!</v>
      </c>
      <c r="M109" s="4" t="e">
        <f aca="false">IF(D$16=1,xCalcSkew($A109,N109-AW109,b)/100,0)</f>
        <v>#DIV/0!</v>
      </c>
      <c r="N109" s="41" t="n">
        <f aca="false">IF($D$19=4,$AW109,$D$18)</f>
        <v>2.44</v>
      </c>
      <c r="P109" s="40" t="n">
        <f aca="false">IF(P$28="nymex",0,VLOOKUP($A109,curvesettle,HLOOKUP(P$28,curvesettle,2,FALSE())))</f>
        <v>0</v>
      </c>
      <c r="Q109" s="219" t="n">
        <f aca="false">IF(P$28="NYMEX",$AD109,$AC109)</f>
        <v>-6269</v>
      </c>
      <c r="R109" s="220" t="e">
        <f aca="false">($C109+S109)+F$15</f>
        <v>#DIV/0!</v>
      </c>
      <c r="S109" s="4" t="e">
        <f aca="false">IF(F$16=1,xCalcSkew($A109,T109-BH109,b)/100,0)</f>
        <v>#DIV/0!</v>
      </c>
      <c r="T109" s="41" t="n">
        <f aca="false">IF($F$19=4,$BH109,$F$18)</f>
        <v>2.44</v>
      </c>
      <c r="V109" s="40" t="n">
        <f aca="false">IF(V$28="nymex",0,VLOOKUP($A109,curvesettle,HLOOKUP(V$28,curvesettle,2,FALSE())))</f>
        <v>0</v>
      </c>
      <c r="W109" s="219" t="n">
        <f aca="false">IF(V$28="NYMEX",$AD109,$AC109)</f>
        <v>-6269</v>
      </c>
      <c r="X109" s="4" t="e">
        <f aca="false">($C109+Y109)+H$15</f>
        <v>#DIV/0!</v>
      </c>
      <c r="Y109" s="4" t="e">
        <f aca="false">IF(H$16=1,xCalcSkew($A109,Z109-BS109,b)/100,0)</f>
        <v>#DIV/0!</v>
      </c>
      <c r="Z109" s="41" t="n">
        <f aca="false">IF($H$19=4,$BS109,$H$18)</f>
        <v>2.44</v>
      </c>
      <c r="AC109" s="219" t="n">
        <f aca="false">VLOOKUP($A109,expiration,2,FALSE())-$B$2</f>
        <v>-6268</v>
      </c>
      <c r="AD109" s="219" t="n">
        <f aca="false">VLOOKUP($A109,expiration,3,FALSE())-$B$2</f>
        <v>-6269</v>
      </c>
      <c r="AE109" s="4" t="n">
        <f aca="false">VLOOKUP($A109,STRADDLE,15,FALSE())</f>
        <v>0.0545946960983459</v>
      </c>
      <c r="AF109" s="43" t="n">
        <f aca="false">A110-A109</f>
        <v>31</v>
      </c>
      <c r="AI109" s="219"/>
      <c r="AJ109" s="9"/>
      <c r="AK109" s="9" t="n">
        <f aca="false">IF($A109&gt;=AL$25,IF($A109&lt;=AL$26,$AF109,0),0)</f>
        <v>0</v>
      </c>
      <c r="AL109" s="221" t="e">
        <f aca="false">AN109/AK109</f>
        <v>#DIV/0!</v>
      </c>
      <c r="AM109" s="1" t="n">
        <f aca="false">AK109*($B109+B$13)</f>
        <v>0</v>
      </c>
      <c r="AN109" s="33" t="n">
        <f aca="false">IF(ISNUMBER(((AM109/AK109)+B$14+$D109)*AK109),((AM109/AK109)+B$14+$D109)*AK109,0)</f>
        <v>0</v>
      </c>
      <c r="AO109" s="44" t="n">
        <f aca="false">IF(AK109=0,0,bsd(1,AP$27,AL109,$H109,$E109,$F109,$AE109,0.1))</f>
        <v>0</v>
      </c>
      <c r="AP109" s="44" t="n">
        <f aca="false">IF(AK109=0,0,bsd(2,AP$27,AL109,$H109,$E109,$F109,$AE109,0.1))</f>
        <v>0</v>
      </c>
      <c r="AQ109" s="44" t="n">
        <f aca="false">IF(AK109=0,0,bsd(AP$28,AP$27,AL109,$H109,$E109,$F109,$AE109,0.1))</f>
        <v>0</v>
      </c>
      <c r="AR109" s="45" t="n">
        <f aca="false">AK109*AO109</f>
        <v>0</v>
      </c>
      <c r="AS109" s="45" t="n">
        <f aca="false">AK109*AP109</f>
        <v>0</v>
      </c>
      <c r="AT109" s="45" t="n">
        <f aca="false">AK109*AQ109</f>
        <v>0</v>
      </c>
      <c r="AV109" s="9" t="n">
        <f aca="false">IF($A109&gt;=AW$25,IF($A109&lt;=AW$26,$AF109,0),0)</f>
        <v>0</v>
      </c>
      <c r="AW109" s="221" t="e">
        <f aca="false">AY109/AV109</f>
        <v>#DIV/0!</v>
      </c>
      <c r="AX109" s="1" t="n">
        <f aca="false">AV109*($B109+D$13)</f>
        <v>0</v>
      </c>
      <c r="AY109" s="33" t="n">
        <f aca="false">IF(ISNUMBER(((AX109/AV109)+D$14+$J109)*AV109),((AX109/AV109)+D$14+$J109)*AV109,0)</f>
        <v>0</v>
      </c>
      <c r="AZ109" s="44" t="n">
        <f aca="false">IF(AV109=0,0,bsd(1,BA$27,AW109,$N109,$K109,$L109,$AE109,0.1))</f>
        <v>0</v>
      </c>
      <c r="BA109" s="44" t="n">
        <f aca="false">IF(AV109=0,0,bsd(2,BA$27,AW109,$N109,$K109,$L109,$AE109,0.1))</f>
        <v>0</v>
      </c>
      <c r="BB109" s="44" t="n">
        <f aca="false">IF(AV109=0,0,bsd(BA$28,BA$27,AW109,$N109,$K109,$L109,$AE109,0.1))</f>
        <v>0</v>
      </c>
      <c r="BC109" s="45" t="n">
        <f aca="false">AV109*AZ109</f>
        <v>0</v>
      </c>
      <c r="BD109" s="45" t="n">
        <f aca="false">AV109*BA109</f>
        <v>0</v>
      </c>
      <c r="BE109" s="45" t="n">
        <f aca="false">AV109*BB109</f>
        <v>0</v>
      </c>
      <c r="BG109" s="9" t="n">
        <f aca="false">IF($A109&gt;=BH$25,IF($A109&lt;=BH$26,$AF109,0),0)</f>
        <v>0</v>
      </c>
      <c r="BH109" s="221" t="e">
        <f aca="false">BJ109/BG109</f>
        <v>#DIV/0!</v>
      </c>
      <c r="BI109" s="1" t="n">
        <f aca="false">BG109*($B109+F$13)</f>
        <v>0</v>
      </c>
      <c r="BJ109" s="33" t="n">
        <f aca="false">IF(ISNUMBER(((BI109/BG109)+F$14+$P109)*BG109),((BI109/BG109)+F$14+$P109)*BG109,0)</f>
        <v>0</v>
      </c>
      <c r="BK109" s="44" t="n">
        <f aca="false">IF(BG109=0,0,bsd(1,BL$27,BH109,$T109,$Q109,$R109,$AE109,0.1))</f>
        <v>0</v>
      </c>
      <c r="BL109" s="44" t="n">
        <f aca="false">IF(BG109=0,0,bsd(2,BL$27,BH109,$T109,$Q109,$R109,$AE109,0.1))</f>
        <v>0</v>
      </c>
      <c r="BM109" s="44" t="n">
        <f aca="false">IF(BG109=0,0,bsd(BL$28,BL$27,BH109,$T109,$Q109,$R109,$AE109,0.1))</f>
        <v>0</v>
      </c>
      <c r="BN109" s="45" t="n">
        <f aca="false">BG109*BK109</f>
        <v>0</v>
      </c>
      <c r="BO109" s="45" t="n">
        <f aca="false">BG109*BL109</f>
        <v>0</v>
      </c>
      <c r="BP109" s="45" t="n">
        <f aca="false">BG109*BM109</f>
        <v>0</v>
      </c>
      <c r="BR109" s="9" t="n">
        <f aca="false">IF($A109&gt;=BS$25,IF($A109&lt;=BS$26,$AF109,0),0)</f>
        <v>0</v>
      </c>
      <c r="BS109" s="221" t="e">
        <f aca="false">BU109/BR109</f>
        <v>#DIV/0!</v>
      </c>
      <c r="BT109" s="1" t="n">
        <f aca="false">BR109*($B109+H$13)</f>
        <v>0</v>
      </c>
      <c r="BU109" s="33" t="n">
        <f aca="false">IF(ISNUMBER(((BT109/BR109)+H$14+$V109)*BR109),((BT109/BR109)+H$14+$V109)*BR109,0)</f>
        <v>0</v>
      </c>
      <c r="BV109" s="44" t="n">
        <f aca="false">IF(BR109=0,0,bsd(1,BW$27,BS109,$Z109,$W109,$X109,$AE109,0.1))</f>
        <v>0</v>
      </c>
      <c r="BW109" s="44" t="n">
        <f aca="false">IF(BR109=0,0,bsd(2,BW$27,BS109,$Z109,$W109,$X109,$AE109,0.1))</f>
        <v>0</v>
      </c>
      <c r="BX109" s="44" t="n">
        <f aca="false">IF(BR109=0,0,bsd(BW$28,BW$27,BS109,$Z109,$W109,$X109,$AE109,0.1))</f>
        <v>0</v>
      </c>
      <c r="BY109" s="45" t="n">
        <f aca="false">BR109*BV109</f>
        <v>0</v>
      </c>
      <c r="BZ109" s="45" t="n">
        <f aca="false">BR109*BW109</f>
        <v>0</v>
      </c>
      <c r="CA109" s="45" t="n">
        <f aca="false">BR109*BX109</f>
        <v>0</v>
      </c>
    </row>
    <row r="110" customFormat="false" ht="12.75" hidden="false" customHeight="false" outlineLevel="0" collapsed="false">
      <c r="A110" s="48" t="n">
        <f aca="false">DATE(YEAR(A109),MONTH(A109)+1,1)</f>
        <v>39692</v>
      </c>
      <c r="B110" s="40" t="n">
        <f aca="false">VLOOKUP(A110,STRADDLE,5,FALSE())</f>
        <v>3.349</v>
      </c>
      <c r="C110" s="4" t="e">
        <f aca="false">VLOOKUP(A110,STRADDLE,6,FALSE())</f>
        <v>#VALUE!</v>
      </c>
      <c r="D110" s="40" t="n">
        <f aca="false">IF(D$28="nymex",0,VLOOKUP($A110,curvesettle,HLOOKUP(D$28,curvesettle,2,FALSE())))</f>
        <v>0</v>
      </c>
      <c r="E110" s="219" t="n">
        <f aca="false">IF(D$28="NYMEX",$AD110,$AC110)</f>
        <v>-6240</v>
      </c>
      <c r="F110" s="4" t="e">
        <f aca="false">($C110+G110)+B$15</f>
        <v>#DIV/0!</v>
      </c>
      <c r="G110" s="4" t="e">
        <f aca="false">IF(B$16=1,xCalcSkew(A110,H110-AL110,b)/100,0)</f>
        <v>#DIV/0!</v>
      </c>
      <c r="H110" s="41" t="n">
        <f aca="false">IF($B$19=4,$AL110,$B$18)</f>
        <v>2.44</v>
      </c>
      <c r="J110" s="40" t="n">
        <f aca="false">IF(J$28="nymex",0,VLOOKUP($A110,curvesettle,HLOOKUP(J$28,curvesettle,2,FALSE())))</f>
        <v>0</v>
      </c>
      <c r="K110" s="219" t="n">
        <f aca="false">IF(J$28="NYMEX",$AD110,$AC110)</f>
        <v>-6240</v>
      </c>
      <c r="L110" s="220" t="e">
        <f aca="false">($C110+M110)+D$15</f>
        <v>#DIV/0!</v>
      </c>
      <c r="M110" s="4" t="e">
        <f aca="false">IF(D$16=1,xCalcSkew($A110,N110-AW110,b)/100,0)</f>
        <v>#DIV/0!</v>
      </c>
      <c r="N110" s="41" t="n">
        <f aca="false">IF($D$19=4,$AW110,$D$18)</f>
        <v>2.44</v>
      </c>
      <c r="P110" s="40" t="n">
        <f aca="false">IF(P$28="nymex",0,VLOOKUP($A110,curvesettle,HLOOKUP(P$28,curvesettle,2,FALSE())))</f>
        <v>0</v>
      </c>
      <c r="Q110" s="219" t="n">
        <f aca="false">IF(P$28="NYMEX",$AD110,$AC110)</f>
        <v>-6240</v>
      </c>
      <c r="R110" s="220" t="e">
        <f aca="false">($C110+S110)+F$15</f>
        <v>#DIV/0!</v>
      </c>
      <c r="S110" s="4" t="e">
        <f aca="false">IF(F$16=1,xCalcSkew($A110,T110-BH110,b)/100,0)</f>
        <v>#DIV/0!</v>
      </c>
      <c r="T110" s="41" t="n">
        <f aca="false">IF($F$19=4,$BH110,$F$18)</f>
        <v>2.44</v>
      </c>
      <c r="V110" s="40" t="n">
        <f aca="false">IF(V$28="nymex",0,VLOOKUP($A110,curvesettle,HLOOKUP(V$28,curvesettle,2,FALSE())))</f>
        <v>0</v>
      </c>
      <c r="W110" s="219" t="n">
        <f aca="false">IF(V$28="NYMEX",$AD110,$AC110)</f>
        <v>-6240</v>
      </c>
      <c r="X110" s="4" t="e">
        <f aca="false">($C110+Y110)+H$15</f>
        <v>#DIV/0!</v>
      </c>
      <c r="Y110" s="4" t="e">
        <f aca="false">IF(H$16=1,xCalcSkew($A110,Z110-BS110,b)/100,0)</f>
        <v>#DIV/0!</v>
      </c>
      <c r="Z110" s="41" t="n">
        <f aca="false">IF($H$19=4,$BS110,$H$18)</f>
        <v>2.44</v>
      </c>
      <c r="AC110" s="219" t="n">
        <f aca="false">VLOOKUP($A110,expiration,2,FALSE())-$B$2</f>
        <v>-6239</v>
      </c>
      <c r="AD110" s="219" t="n">
        <f aca="false">VLOOKUP($A110,expiration,3,FALSE())-$B$2</f>
        <v>-6240</v>
      </c>
      <c r="AE110" s="4" t="n">
        <f aca="false">VLOOKUP($A110,STRADDLE,15,FALSE())</f>
        <v>0.0547762098979847</v>
      </c>
      <c r="AF110" s="43" t="n">
        <f aca="false">A111-A110</f>
        <v>30</v>
      </c>
      <c r="AI110" s="219"/>
      <c r="AJ110" s="9"/>
      <c r="AK110" s="9" t="n">
        <f aca="false">IF($A110&gt;=AL$25,IF($A110&lt;=AL$26,$AF110,0),0)</f>
        <v>0</v>
      </c>
      <c r="AL110" s="221" t="e">
        <f aca="false">AN110/AK110</f>
        <v>#DIV/0!</v>
      </c>
      <c r="AM110" s="1" t="n">
        <f aca="false">AK110*($B110+B$13)</f>
        <v>0</v>
      </c>
      <c r="AN110" s="33" t="n">
        <f aca="false">IF(ISNUMBER(((AM110/AK110)+B$14+$D110)*AK110),((AM110/AK110)+B$14+$D110)*AK110,0)</f>
        <v>0</v>
      </c>
      <c r="AO110" s="44" t="n">
        <f aca="false">IF(AK110=0,0,bsd(1,AP$27,AL110,$H110,$E110,$F110,$AE110,0.1))</f>
        <v>0</v>
      </c>
      <c r="AP110" s="44" t="n">
        <f aca="false">IF(AK110=0,0,bsd(2,AP$27,AL110,$H110,$E110,$F110,$AE110,0.1))</f>
        <v>0</v>
      </c>
      <c r="AQ110" s="44" t="n">
        <f aca="false">IF(AK110=0,0,bsd(AP$28,AP$27,AL110,$H110,$E110,$F110,$AE110,0.1))</f>
        <v>0</v>
      </c>
      <c r="AR110" s="45" t="n">
        <f aca="false">AK110*AO110</f>
        <v>0</v>
      </c>
      <c r="AS110" s="45" t="n">
        <f aca="false">AK110*AP110</f>
        <v>0</v>
      </c>
      <c r="AT110" s="45" t="n">
        <f aca="false">AK110*AQ110</f>
        <v>0</v>
      </c>
      <c r="AV110" s="9" t="n">
        <f aca="false">IF($A110&gt;=AW$25,IF($A110&lt;=AW$26,$AF110,0),0)</f>
        <v>0</v>
      </c>
      <c r="AW110" s="221" t="e">
        <f aca="false">AY110/AV110</f>
        <v>#DIV/0!</v>
      </c>
      <c r="AX110" s="1" t="n">
        <f aca="false">AV110*($B110+D$13)</f>
        <v>0</v>
      </c>
      <c r="AY110" s="33" t="n">
        <f aca="false">IF(ISNUMBER(((AX110/AV110)+D$14+$J110)*AV110),((AX110/AV110)+D$14+$J110)*AV110,0)</f>
        <v>0</v>
      </c>
      <c r="AZ110" s="44" t="n">
        <f aca="false">IF(AV110=0,0,bsd(1,BA$27,AW110,$N110,$K110,$L110,$AE110,0.1))</f>
        <v>0</v>
      </c>
      <c r="BA110" s="44" t="n">
        <f aca="false">IF(AV110=0,0,bsd(2,BA$27,AW110,$N110,$K110,$L110,$AE110,0.1))</f>
        <v>0</v>
      </c>
      <c r="BB110" s="44" t="n">
        <f aca="false">IF(AV110=0,0,bsd(BA$28,BA$27,AW110,$N110,$K110,$L110,$AE110,0.1))</f>
        <v>0</v>
      </c>
      <c r="BC110" s="45" t="n">
        <f aca="false">AV110*AZ110</f>
        <v>0</v>
      </c>
      <c r="BD110" s="45" t="n">
        <f aca="false">AV110*BA110</f>
        <v>0</v>
      </c>
      <c r="BE110" s="45" t="n">
        <f aca="false">AV110*BB110</f>
        <v>0</v>
      </c>
      <c r="BG110" s="9" t="n">
        <f aca="false">IF($A110&gt;=BH$25,IF($A110&lt;=BH$26,$AF110,0),0)</f>
        <v>0</v>
      </c>
      <c r="BH110" s="221" t="e">
        <f aca="false">BJ110/BG110</f>
        <v>#DIV/0!</v>
      </c>
      <c r="BI110" s="1" t="n">
        <f aca="false">BG110*($B110+F$13)</f>
        <v>0</v>
      </c>
      <c r="BJ110" s="33" t="n">
        <f aca="false">IF(ISNUMBER(((BI110/BG110)+F$14+$P110)*BG110),((BI110/BG110)+F$14+$P110)*BG110,0)</f>
        <v>0</v>
      </c>
      <c r="BK110" s="44" t="n">
        <f aca="false">IF(BG110=0,0,bsd(1,BL$27,BH110,$T110,$Q110,$R110,$AE110,0.1))</f>
        <v>0</v>
      </c>
      <c r="BL110" s="44" t="n">
        <f aca="false">IF(BG110=0,0,bsd(2,BL$27,BH110,$T110,$Q110,$R110,$AE110,0.1))</f>
        <v>0</v>
      </c>
      <c r="BM110" s="44" t="n">
        <f aca="false">IF(BG110=0,0,bsd(BL$28,BL$27,BH110,$T110,$Q110,$R110,$AE110,0.1))</f>
        <v>0</v>
      </c>
      <c r="BN110" s="45" t="n">
        <f aca="false">BG110*BK110</f>
        <v>0</v>
      </c>
      <c r="BO110" s="45" t="n">
        <f aca="false">BG110*BL110</f>
        <v>0</v>
      </c>
      <c r="BP110" s="45" t="n">
        <f aca="false">BG110*BM110</f>
        <v>0</v>
      </c>
      <c r="BR110" s="9" t="n">
        <f aca="false">IF($A110&gt;=BS$25,IF($A110&lt;=BS$26,$AF110,0),0)</f>
        <v>0</v>
      </c>
      <c r="BS110" s="221" t="e">
        <f aca="false">BU110/BR110</f>
        <v>#DIV/0!</v>
      </c>
      <c r="BT110" s="1" t="n">
        <f aca="false">BR110*($B110+H$13)</f>
        <v>0</v>
      </c>
      <c r="BU110" s="33" t="n">
        <f aca="false">IF(ISNUMBER(((BT110/BR110)+H$14+$V110)*BR110),((BT110/BR110)+H$14+$V110)*BR110,0)</f>
        <v>0</v>
      </c>
      <c r="BV110" s="44" t="n">
        <f aca="false">IF(BR110=0,0,bsd(1,BW$27,BS110,$Z110,$W110,$X110,$AE110,0.1))</f>
        <v>0</v>
      </c>
      <c r="BW110" s="44" t="n">
        <f aca="false">IF(BR110=0,0,bsd(2,BW$27,BS110,$Z110,$W110,$X110,$AE110,0.1))</f>
        <v>0</v>
      </c>
      <c r="BX110" s="44" t="n">
        <f aca="false">IF(BR110=0,0,bsd(BW$28,BW$27,BS110,$Z110,$W110,$X110,$AE110,0.1))</f>
        <v>0</v>
      </c>
      <c r="BY110" s="45" t="n">
        <f aca="false">BR110*BV110</f>
        <v>0</v>
      </c>
      <c r="BZ110" s="45" t="n">
        <f aca="false">BR110*BW110</f>
        <v>0</v>
      </c>
      <c r="CA110" s="45" t="n">
        <f aca="false">BR110*BX110</f>
        <v>0</v>
      </c>
    </row>
    <row r="111" customFormat="false" ht="12.75" hidden="false" customHeight="false" outlineLevel="0" collapsed="false">
      <c r="A111" s="48" t="n">
        <f aca="false">DATE(YEAR(A110),MONTH(A110)+1,1)</f>
        <v>39722</v>
      </c>
      <c r="B111" s="40" t="n">
        <f aca="false">VLOOKUP(A111,STRADDLE,5,FALSE())</f>
        <v>3.364</v>
      </c>
      <c r="C111" s="4" t="e">
        <f aca="false">VLOOKUP(A111,STRADDLE,6,FALSE())</f>
        <v>#VALUE!</v>
      </c>
      <c r="D111" s="40" t="n">
        <f aca="false">IF(D$28="nymex",0,VLOOKUP($A111,curvesettle,HLOOKUP(D$28,curvesettle,2,FALSE())))</f>
        <v>0</v>
      </c>
      <c r="E111" s="219" t="n">
        <f aca="false">IF(D$28="NYMEX",$AD111,$AC111)</f>
        <v>-6210</v>
      </c>
      <c r="F111" s="4" t="e">
        <f aca="false">($C111+G111)+B$15</f>
        <v>#DIV/0!</v>
      </c>
      <c r="G111" s="4" t="e">
        <f aca="false">IF(B$16=1,xCalcSkew(A111,H111-AL111,b)/100,0)</f>
        <v>#DIV/0!</v>
      </c>
      <c r="H111" s="41" t="n">
        <f aca="false">IF($B$19=4,$AL111,$B$18)</f>
        <v>2.44</v>
      </c>
      <c r="J111" s="40" t="n">
        <f aca="false">IF(J$28="nymex",0,VLOOKUP($A111,curvesettle,HLOOKUP(J$28,curvesettle,2,FALSE())))</f>
        <v>0</v>
      </c>
      <c r="K111" s="219" t="n">
        <f aca="false">IF(J$28="NYMEX",$AD111,$AC111)</f>
        <v>-6210</v>
      </c>
      <c r="L111" s="220" t="e">
        <f aca="false">($C111+M111)+D$15</f>
        <v>#DIV/0!</v>
      </c>
      <c r="M111" s="4" t="e">
        <f aca="false">IF(D$16=1,xCalcSkew($A111,N111-AW111,b)/100,0)</f>
        <v>#DIV/0!</v>
      </c>
      <c r="N111" s="41" t="n">
        <f aca="false">IF($D$19=4,$AW111,$D$18)</f>
        <v>2.44</v>
      </c>
      <c r="P111" s="40" t="n">
        <f aca="false">IF(P$28="nymex",0,VLOOKUP($A111,curvesettle,HLOOKUP(P$28,curvesettle,2,FALSE())))</f>
        <v>0</v>
      </c>
      <c r="Q111" s="219" t="n">
        <f aca="false">IF(P$28="NYMEX",$AD111,$AC111)</f>
        <v>-6210</v>
      </c>
      <c r="R111" s="220" t="e">
        <f aca="false">($C111+S111)+F$15</f>
        <v>#DIV/0!</v>
      </c>
      <c r="S111" s="4" t="e">
        <f aca="false">IF(F$16=1,xCalcSkew($A111,T111-BH111,b)/100,0)</f>
        <v>#DIV/0!</v>
      </c>
      <c r="T111" s="41" t="n">
        <f aca="false">IF($F$19=4,$BH111,$F$18)</f>
        <v>2.44</v>
      </c>
      <c r="V111" s="40" t="n">
        <f aca="false">IF(V$28="nymex",0,VLOOKUP($A111,curvesettle,HLOOKUP(V$28,curvesettle,2,FALSE())))</f>
        <v>0</v>
      </c>
      <c r="W111" s="219" t="n">
        <f aca="false">IF(V$28="NYMEX",$AD111,$AC111)</f>
        <v>-6210</v>
      </c>
      <c r="X111" s="4" t="e">
        <f aca="false">($C111+Y111)+H$15</f>
        <v>#DIV/0!</v>
      </c>
      <c r="Y111" s="4" t="e">
        <f aca="false">IF(H$16=1,xCalcSkew($A111,Z111-BS111,b)/100,0)</f>
        <v>#DIV/0!</v>
      </c>
      <c r="Z111" s="41" t="n">
        <f aca="false">IF($H$19=4,$BS111,$H$18)</f>
        <v>2.44</v>
      </c>
      <c r="AC111" s="219" t="n">
        <f aca="false">VLOOKUP($A111,expiration,2,FALSE())-$B$2</f>
        <v>-6209</v>
      </c>
      <c r="AD111" s="219" t="n">
        <f aca="false">VLOOKUP($A111,expiration,3,FALSE())-$B$2</f>
        <v>-6210</v>
      </c>
      <c r="AE111" s="4" t="n">
        <f aca="false">VLOOKUP($A111,STRADDLE,15,FALSE())</f>
        <v>0.0549577237085983</v>
      </c>
      <c r="AF111" s="43" t="n">
        <f aca="false">A112-A111</f>
        <v>31</v>
      </c>
      <c r="AI111" s="219"/>
      <c r="AJ111" s="9"/>
      <c r="AK111" s="9" t="n">
        <f aca="false">IF($A111&gt;=AL$25,IF($A111&lt;=AL$26,$AF111,0),0)</f>
        <v>0</v>
      </c>
      <c r="AL111" s="221" t="e">
        <f aca="false">AN111/AK111</f>
        <v>#DIV/0!</v>
      </c>
      <c r="AM111" s="1" t="n">
        <f aca="false">AK111*($B111+B$13)</f>
        <v>0</v>
      </c>
      <c r="AN111" s="33" t="n">
        <f aca="false">IF(ISNUMBER(((AM111/AK111)+B$14+$D111)*AK111),((AM111/AK111)+B$14+$D111)*AK111,0)</f>
        <v>0</v>
      </c>
      <c r="AO111" s="44" t="n">
        <f aca="false">IF(AK111=0,0,bsd(1,AP$27,AL111,$H111,$E111,$F111,$AE111,0.1))</f>
        <v>0</v>
      </c>
      <c r="AP111" s="44" t="n">
        <f aca="false">IF(AK111=0,0,bsd(2,AP$27,AL111,$H111,$E111,$F111,$AE111,0.1))</f>
        <v>0</v>
      </c>
      <c r="AQ111" s="44" t="n">
        <f aca="false">IF(AK111=0,0,bsd(AP$28,AP$27,AL111,$H111,$E111,$F111,$AE111,0.1))</f>
        <v>0</v>
      </c>
      <c r="AR111" s="45" t="n">
        <f aca="false">AK111*AO111</f>
        <v>0</v>
      </c>
      <c r="AS111" s="45" t="n">
        <f aca="false">AK111*AP111</f>
        <v>0</v>
      </c>
      <c r="AT111" s="45" t="n">
        <f aca="false">AK111*AQ111</f>
        <v>0</v>
      </c>
      <c r="AV111" s="9" t="n">
        <f aca="false">IF($A111&gt;=AW$25,IF($A111&lt;=AW$26,$AF111,0),0)</f>
        <v>0</v>
      </c>
      <c r="AW111" s="221" t="e">
        <f aca="false">AY111/AV111</f>
        <v>#DIV/0!</v>
      </c>
      <c r="AX111" s="1" t="n">
        <f aca="false">AV111*($B111+D$13)</f>
        <v>0</v>
      </c>
      <c r="AY111" s="33" t="n">
        <f aca="false">IF(ISNUMBER(((AX111/AV111)+D$14+$J111)*AV111),((AX111/AV111)+D$14+$J111)*AV111,0)</f>
        <v>0</v>
      </c>
      <c r="AZ111" s="44" t="n">
        <f aca="false">IF(AV111=0,0,bsd(1,BA$27,AW111,$N111,$K111,$L111,$AE111,0.1))</f>
        <v>0</v>
      </c>
      <c r="BA111" s="44" t="n">
        <f aca="false">IF(AV111=0,0,bsd(2,BA$27,AW111,$N111,$K111,$L111,$AE111,0.1))</f>
        <v>0</v>
      </c>
      <c r="BB111" s="44" t="n">
        <f aca="false">IF(AV111=0,0,bsd(BA$28,BA$27,AW111,$N111,$K111,$L111,$AE111,0.1))</f>
        <v>0</v>
      </c>
      <c r="BC111" s="45" t="n">
        <f aca="false">AV111*AZ111</f>
        <v>0</v>
      </c>
      <c r="BD111" s="45" t="n">
        <f aca="false">AV111*BA111</f>
        <v>0</v>
      </c>
      <c r="BE111" s="45" t="n">
        <f aca="false">AV111*BB111</f>
        <v>0</v>
      </c>
      <c r="BG111" s="9" t="n">
        <f aca="false">IF($A111&gt;=BH$25,IF($A111&lt;=BH$26,$AF111,0),0)</f>
        <v>0</v>
      </c>
      <c r="BH111" s="221" t="e">
        <f aca="false">BJ111/BG111</f>
        <v>#DIV/0!</v>
      </c>
      <c r="BI111" s="1" t="n">
        <f aca="false">BG111*($B111+F$13)</f>
        <v>0</v>
      </c>
      <c r="BJ111" s="33" t="n">
        <f aca="false">IF(ISNUMBER(((BI111/BG111)+F$14+$P111)*BG111),((BI111/BG111)+F$14+$P111)*BG111,0)</f>
        <v>0</v>
      </c>
      <c r="BK111" s="44" t="n">
        <f aca="false">IF(BG111=0,0,bsd(1,BL$27,BH111,$T111,$Q111,$R111,$AE111,0.1))</f>
        <v>0</v>
      </c>
      <c r="BL111" s="44" t="n">
        <f aca="false">IF(BG111=0,0,bsd(2,BL$27,BH111,$T111,$Q111,$R111,$AE111,0.1))</f>
        <v>0</v>
      </c>
      <c r="BM111" s="44" t="n">
        <f aca="false">IF(BG111=0,0,bsd(BL$28,BL$27,BH111,$T111,$Q111,$R111,$AE111,0.1))</f>
        <v>0</v>
      </c>
      <c r="BN111" s="45" t="n">
        <f aca="false">BG111*BK111</f>
        <v>0</v>
      </c>
      <c r="BO111" s="45" t="n">
        <f aca="false">BG111*BL111</f>
        <v>0</v>
      </c>
      <c r="BP111" s="45" t="n">
        <f aca="false">BG111*BM111</f>
        <v>0</v>
      </c>
      <c r="BR111" s="9" t="n">
        <f aca="false">IF($A111&gt;=BS$25,IF($A111&lt;=BS$26,$AF111,0),0)</f>
        <v>0</v>
      </c>
      <c r="BS111" s="221" t="e">
        <f aca="false">BU111/BR111</f>
        <v>#DIV/0!</v>
      </c>
      <c r="BT111" s="1" t="n">
        <f aca="false">BR111*($B111+H$13)</f>
        <v>0</v>
      </c>
      <c r="BU111" s="33" t="n">
        <f aca="false">IF(ISNUMBER(((BT111/BR111)+H$14+$V111)*BR111),((BT111/BR111)+H$14+$V111)*BR111,0)</f>
        <v>0</v>
      </c>
      <c r="BV111" s="44" t="n">
        <f aca="false">IF(BR111=0,0,bsd(1,BW$27,BS111,$Z111,$W111,$X111,$AE111,0.1))</f>
        <v>0</v>
      </c>
      <c r="BW111" s="44" t="n">
        <f aca="false">IF(BR111=0,0,bsd(2,BW$27,BS111,$Z111,$W111,$X111,$AE111,0.1))</f>
        <v>0</v>
      </c>
      <c r="BX111" s="44" t="n">
        <f aca="false">IF(BR111=0,0,bsd(BW$28,BW$27,BS111,$Z111,$W111,$X111,$AE111,0.1))</f>
        <v>0</v>
      </c>
      <c r="BY111" s="45" t="n">
        <f aca="false">BR111*BV111</f>
        <v>0</v>
      </c>
      <c r="BZ111" s="45" t="n">
        <f aca="false">BR111*BW111</f>
        <v>0</v>
      </c>
      <c r="CA111" s="45" t="n">
        <f aca="false">BR111*BX111</f>
        <v>0</v>
      </c>
    </row>
    <row r="112" customFormat="false" ht="12.75" hidden="false" customHeight="false" outlineLevel="0" collapsed="false">
      <c r="A112" s="48" t="n">
        <f aca="false">DATE(YEAR(A111),MONTH(A111)+1,1)</f>
        <v>39753</v>
      </c>
      <c r="B112" s="40" t="n">
        <f aca="false">VLOOKUP(A112,STRADDLE,5,FALSE())</f>
        <v>3.509</v>
      </c>
      <c r="C112" s="4" t="e">
        <f aca="false">VLOOKUP(A112,STRADDLE,6,FALSE())</f>
        <v>#VALUE!</v>
      </c>
      <c r="D112" s="40" t="n">
        <f aca="false">IF(D$28="nymex",0,VLOOKUP($A112,curvesettle,HLOOKUP(D$28,curvesettle,2,FALSE())))</f>
        <v>0</v>
      </c>
      <c r="E112" s="219" t="n">
        <f aca="false">IF(D$28="NYMEX",$AD112,$AC112)</f>
        <v>-6177</v>
      </c>
      <c r="F112" s="4" t="e">
        <f aca="false">($C112+G112)+B$15</f>
        <v>#DIV/0!</v>
      </c>
      <c r="G112" s="4" t="e">
        <f aca="false">IF(B$16=1,xCalcSkew(A112,H112-AL112,b)/100,0)</f>
        <v>#DIV/0!</v>
      </c>
      <c r="H112" s="41" t="n">
        <f aca="false">IF($B$19=4,$AL112,$B$18)</f>
        <v>2.44</v>
      </c>
      <c r="J112" s="40" t="n">
        <f aca="false">IF(J$28="nymex",0,VLOOKUP($A112,curvesettle,HLOOKUP(J$28,curvesettle,2,FALSE())))</f>
        <v>0</v>
      </c>
      <c r="K112" s="219" t="n">
        <f aca="false">IF(J$28="NYMEX",$AD112,$AC112)</f>
        <v>-6177</v>
      </c>
      <c r="L112" s="220" t="e">
        <f aca="false">($C112+M112)+D$15</f>
        <v>#DIV/0!</v>
      </c>
      <c r="M112" s="4" t="e">
        <f aca="false">IF(D$16=1,xCalcSkew($A112,N112-AW112,b)/100,0)</f>
        <v>#DIV/0!</v>
      </c>
      <c r="N112" s="41" t="n">
        <f aca="false">IF($D$19=4,$AW112,$D$18)</f>
        <v>2.44</v>
      </c>
      <c r="P112" s="40" t="n">
        <f aca="false">IF(P$28="nymex",0,VLOOKUP($A112,curvesettle,HLOOKUP(P$28,curvesettle,2,FALSE())))</f>
        <v>0</v>
      </c>
      <c r="Q112" s="219" t="n">
        <f aca="false">IF(P$28="NYMEX",$AD112,$AC112)</f>
        <v>-6177</v>
      </c>
      <c r="R112" s="220" t="e">
        <f aca="false">($C112+S112)+F$15</f>
        <v>#DIV/0!</v>
      </c>
      <c r="S112" s="4" t="e">
        <f aca="false">IF(F$16=1,xCalcSkew($A112,T112-BH112,b)/100,0)</f>
        <v>#DIV/0!</v>
      </c>
      <c r="T112" s="41" t="n">
        <f aca="false">IF($F$19=4,$BH112,$F$18)</f>
        <v>2.44</v>
      </c>
      <c r="V112" s="40" t="n">
        <f aca="false">IF(V$28="nymex",0,VLOOKUP($A112,curvesettle,HLOOKUP(V$28,curvesettle,2,FALSE())))</f>
        <v>0</v>
      </c>
      <c r="W112" s="219" t="n">
        <f aca="false">IF(V$28="NYMEX",$AD112,$AC112)</f>
        <v>-6177</v>
      </c>
      <c r="X112" s="4" t="e">
        <f aca="false">($C112+Y112)+H$15</f>
        <v>#DIV/0!</v>
      </c>
      <c r="Y112" s="4" t="e">
        <f aca="false">IF(H$16=1,xCalcSkew($A112,Z112-BS112,b)/100,0)</f>
        <v>#DIV/0!</v>
      </c>
      <c r="Z112" s="41" t="n">
        <f aca="false">IF($H$19=4,$BS112,$H$18)</f>
        <v>2.44</v>
      </c>
      <c r="AC112" s="219" t="n">
        <f aca="false">VLOOKUP($A112,expiration,2,FALSE())-$B$2</f>
        <v>-6176</v>
      </c>
      <c r="AD112" s="219" t="n">
        <f aca="false">VLOOKUP($A112,expiration,3,FALSE())-$B$2</f>
        <v>-6177</v>
      </c>
      <c r="AE112" s="4" t="n">
        <f aca="false">VLOOKUP($A112,STRADDLE,15,FALSE())</f>
        <v>0.0551333822454474</v>
      </c>
      <c r="AF112" s="43" t="n">
        <f aca="false">A113-A112</f>
        <v>30</v>
      </c>
      <c r="AI112" s="219"/>
      <c r="AJ112" s="9"/>
      <c r="AK112" s="9" t="n">
        <f aca="false">IF($A112&gt;=AL$25,IF($A112&lt;=AL$26,$AF112,0),0)</f>
        <v>0</v>
      </c>
      <c r="AL112" s="221" t="e">
        <f aca="false">AN112/AK112</f>
        <v>#DIV/0!</v>
      </c>
      <c r="AM112" s="1" t="n">
        <f aca="false">AK112*($B112+B$13)</f>
        <v>0</v>
      </c>
      <c r="AN112" s="33" t="n">
        <f aca="false">IF(ISNUMBER(((AM112/AK112)+B$14+$D112)*AK112),((AM112/AK112)+B$14+$D112)*AK112,0)</f>
        <v>0</v>
      </c>
      <c r="AO112" s="44" t="n">
        <f aca="false">IF(AK112=0,0,bsd(1,AP$27,AL112,$H112,$E112,$F112,$AE112,0.1))</f>
        <v>0</v>
      </c>
      <c r="AP112" s="44" t="n">
        <f aca="false">IF(AK112=0,0,bsd(2,AP$27,AL112,$H112,$E112,$F112,$AE112,0.1))</f>
        <v>0</v>
      </c>
      <c r="AQ112" s="44" t="n">
        <f aca="false">IF(AK112=0,0,bsd(AP$28,AP$27,AL112,$H112,$E112,$F112,$AE112,0.1))</f>
        <v>0</v>
      </c>
      <c r="AR112" s="45" t="n">
        <f aca="false">AK112*AO112</f>
        <v>0</v>
      </c>
      <c r="AS112" s="45" t="n">
        <f aca="false">AK112*AP112</f>
        <v>0</v>
      </c>
      <c r="AT112" s="45" t="n">
        <f aca="false">AK112*AQ112</f>
        <v>0</v>
      </c>
      <c r="AV112" s="9" t="n">
        <f aca="false">IF($A112&gt;=AW$25,IF($A112&lt;=AW$26,$AF112,0),0)</f>
        <v>0</v>
      </c>
      <c r="AW112" s="221" t="e">
        <f aca="false">AY112/AV112</f>
        <v>#DIV/0!</v>
      </c>
      <c r="AX112" s="1" t="n">
        <f aca="false">AV112*($B112+D$13)</f>
        <v>0</v>
      </c>
      <c r="AY112" s="33" t="n">
        <f aca="false">IF(ISNUMBER(((AX112/AV112)+D$14+$J112)*AV112),((AX112/AV112)+D$14+$J112)*AV112,0)</f>
        <v>0</v>
      </c>
      <c r="AZ112" s="44" t="n">
        <f aca="false">IF(AV112=0,0,bsd(1,BA$27,AW112,$N112,$K112,$L112,$AE112,0.1))</f>
        <v>0</v>
      </c>
      <c r="BA112" s="44" t="n">
        <f aca="false">IF(AV112=0,0,bsd(2,BA$27,AW112,$N112,$K112,$L112,$AE112,0.1))</f>
        <v>0</v>
      </c>
      <c r="BB112" s="44" t="n">
        <f aca="false">IF(AV112=0,0,bsd(BA$28,BA$27,AW112,$N112,$K112,$L112,$AE112,0.1))</f>
        <v>0</v>
      </c>
      <c r="BC112" s="45" t="n">
        <f aca="false">AV112*AZ112</f>
        <v>0</v>
      </c>
      <c r="BD112" s="45" t="n">
        <f aca="false">AV112*BA112</f>
        <v>0</v>
      </c>
      <c r="BE112" s="45" t="n">
        <f aca="false">AV112*BB112</f>
        <v>0</v>
      </c>
      <c r="BG112" s="9" t="n">
        <f aca="false">IF($A112&gt;=BH$25,IF($A112&lt;=BH$26,$AF112,0),0)</f>
        <v>0</v>
      </c>
      <c r="BH112" s="221" t="e">
        <f aca="false">BJ112/BG112</f>
        <v>#DIV/0!</v>
      </c>
      <c r="BI112" s="1" t="n">
        <f aca="false">BG112*($B112+F$13)</f>
        <v>0</v>
      </c>
      <c r="BJ112" s="33" t="n">
        <f aca="false">IF(ISNUMBER(((BI112/BG112)+F$14+$P112)*BG112),((BI112/BG112)+F$14+$P112)*BG112,0)</f>
        <v>0</v>
      </c>
      <c r="BK112" s="44" t="n">
        <f aca="false">IF(BG112=0,0,bsd(1,BL$27,BH112,$T112,$Q112,$R112,$AE112,0.1))</f>
        <v>0</v>
      </c>
      <c r="BL112" s="44" t="n">
        <f aca="false">IF(BG112=0,0,bsd(2,BL$27,BH112,$T112,$Q112,$R112,$AE112,0.1))</f>
        <v>0</v>
      </c>
      <c r="BM112" s="44" t="n">
        <f aca="false">IF(BG112=0,0,bsd(BL$28,BL$27,BH112,$T112,$Q112,$R112,$AE112,0.1))</f>
        <v>0</v>
      </c>
      <c r="BN112" s="45" t="n">
        <f aca="false">BG112*BK112</f>
        <v>0</v>
      </c>
      <c r="BO112" s="45" t="n">
        <f aca="false">BG112*BL112</f>
        <v>0</v>
      </c>
      <c r="BP112" s="45" t="n">
        <f aca="false">BG112*BM112</f>
        <v>0</v>
      </c>
      <c r="BR112" s="9" t="n">
        <f aca="false">IF($A112&gt;=BS$25,IF($A112&lt;=BS$26,$AF112,0),0)</f>
        <v>0</v>
      </c>
      <c r="BS112" s="221" t="e">
        <f aca="false">BU112/BR112</f>
        <v>#DIV/0!</v>
      </c>
      <c r="BT112" s="1" t="n">
        <f aca="false">BR112*($B112+H$13)</f>
        <v>0</v>
      </c>
      <c r="BU112" s="33" t="n">
        <f aca="false">IF(ISNUMBER(((BT112/BR112)+H$14+$V112)*BR112),((BT112/BR112)+H$14+$V112)*BR112,0)</f>
        <v>0</v>
      </c>
      <c r="BV112" s="44" t="n">
        <f aca="false">IF(BR112=0,0,bsd(1,BW$27,BS112,$Z112,$W112,$X112,$AE112,0.1))</f>
        <v>0</v>
      </c>
      <c r="BW112" s="44" t="n">
        <f aca="false">IF(BR112=0,0,bsd(2,BW$27,BS112,$Z112,$W112,$X112,$AE112,0.1))</f>
        <v>0</v>
      </c>
      <c r="BX112" s="44" t="n">
        <f aca="false">IF(BR112=0,0,bsd(BW$28,BW$27,BS112,$Z112,$W112,$X112,$AE112,0.1))</f>
        <v>0</v>
      </c>
      <c r="BY112" s="45" t="n">
        <f aca="false">BR112*BV112</f>
        <v>0</v>
      </c>
      <c r="BZ112" s="45" t="n">
        <f aca="false">BR112*BW112</f>
        <v>0</v>
      </c>
      <c r="CA112" s="45" t="n">
        <f aca="false">BR112*BX112</f>
        <v>0</v>
      </c>
    </row>
    <row r="113" customFormat="false" ht="12.75" hidden="false" customHeight="false" outlineLevel="0" collapsed="false">
      <c r="A113" s="48" t="n">
        <f aca="false">DATE(YEAR(A112),MONTH(A112)+1,1)</f>
        <v>39783</v>
      </c>
      <c r="B113" s="40" t="n">
        <f aca="false">VLOOKUP(A113,STRADDLE,5,FALSE())</f>
        <v>3.644</v>
      </c>
      <c r="C113" s="4" t="e">
        <f aca="false">VLOOKUP(A113,STRADDLE,6,FALSE())</f>
        <v>#VALUE!</v>
      </c>
      <c r="D113" s="40" t="n">
        <f aca="false">IF(D$28="nymex",0,VLOOKUP($A113,curvesettle,HLOOKUP(D$28,curvesettle,2,FALSE())))</f>
        <v>0</v>
      </c>
      <c r="E113" s="219" t="n">
        <f aca="false">IF(D$28="NYMEX",$AD113,$AC113)</f>
        <v>-6150</v>
      </c>
      <c r="F113" s="4" t="e">
        <f aca="false">($C113+G113)+B$15</f>
        <v>#DIV/0!</v>
      </c>
      <c r="G113" s="4" t="e">
        <f aca="false">IF(B$16=1,xCalcSkew(A113,H113-AL113,b)/100,0)</f>
        <v>#DIV/0!</v>
      </c>
      <c r="H113" s="41" t="n">
        <f aca="false">IF($B$19=4,$AL113,$B$18)</f>
        <v>2.44</v>
      </c>
      <c r="J113" s="40" t="n">
        <f aca="false">IF(J$28="nymex",0,VLOOKUP($A113,curvesettle,HLOOKUP(J$28,curvesettle,2,FALSE())))</f>
        <v>0</v>
      </c>
      <c r="K113" s="219" t="n">
        <f aca="false">IF(J$28="NYMEX",$AD113,$AC113)</f>
        <v>-6150</v>
      </c>
      <c r="L113" s="220" t="e">
        <f aca="false">($C113+M113)+D$15</f>
        <v>#DIV/0!</v>
      </c>
      <c r="M113" s="4" t="e">
        <f aca="false">IF(D$16=1,xCalcSkew($A113,N113-AW113,b)/100,0)</f>
        <v>#DIV/0!</v>
      </c>
      <c r="N113" s="41" t="n">
        <f aca="false">IF($D$19=4,$AW113,$D$18)</f>
        <v>2.44</v>
      </c>
      <c r="P113" s="40" t="n">
        <f aca="false">IF(P$28="nymex",0,VLOOKUP($A113,curvesettle,HLOOKUP(P$28,curvesettle,2,FALSE())))</f>
        <v>0</v>
      </c>
      <c r="Q113" s="219" t="n">
        <f aca="false">IF(P$28="NYMEX",$AD113,$AC113)</f>
        <v>-6150</v>
      </c>
      <c r="R113" s="220" t="e">
        <f aca="false">($C113+S113)+F$15</f>
        <v>#DIV/0!</v>
      </c>
      <c r="S113" s="4" t="e">
        <f aca="false">IF(F$16=1,xCalcSkew($A113,T113-BH113,b)/100,0)</f>
        <v>#DIV/0!</v>
      </c>
      <c r="T113" s="41" t="n">
        <f aca="false">IF($F$19=4,$BH113,$F$18)</f>
        <v>2.44</v>
      </c>
      <c r="V113" s="40" t="n">
        <f aca="false">IF(V$28="nymex",0,VLOOKUP($A113,curvesettle,HLOOKUP(V$28,curvesettle,2,FALSE())))</f>
        <v>0</v>
      </c>
      <c r="W113" s="219" t="n">
        <f aca="false">IF(V$28="NYMEX",$AD113,$AC113)</f>
        <v>-6150</v>
      </c>
      <c r="X113" s="4" t="e">
        <f aca="false">($C113+Y113)+H$15</f>
        <v>#DIV/0!</v>
      </c>
      <c r="Y113" s="4" t="e">
        <f aca="false">IF(H$16=1,xCalcSkew($A113,Z113-BS113,b)/100,0)</f>
        <v>#DIV/0!</v>
      </c>
      <c r="Z113" s="41" t="n">
        <f aca="false">IF($H$19=4,$BS113,$H$18)</f>
        <v>2.44</v>
      </c>
      <c r="AC113" s="219" t="n">
        <f aca="false">VLOOKUP($A113,expiration,2,FALSE())-$B$2</f>
        <v>-6149</v>
      </c>
      <c r="AD113" s="219" t="n">
        <f aca="false">VLOOKUP($A113,expiration,3,FALSE())-$B$2</f>
        <v>-6150</v>
      </c>
      <c r="AE113" s="4" t="n">
        <f aca="false">VLOOKUP($A113,STRADDLE,15,FALSE())</f>
        <v>0.0553148960776539</v>
      </c>
      <c r="AF113" s="43" t="n">
        <f aca="false">A114-A113</f>
        <v>31</v>
      </c>
      <c r="AI113" s="219"/>
      <c r="AJ113" s="9"/>
      <c r="AK113" s="9" t="n">
        <f aca="false">IF($A113&gt;=AL$25,IF($A113&lt;=AL$26,$AF113,0),0)</f>
        <v>0</v>
      </c>
      <c r="AL113" s="221" t="e">
        <f aca="false">AN113/AK113</f>
        <v>#DIV/0!</v>
      </c>
      <c r="AM113" s="1" t="n">
        <f aca="false">AK113*($B113+B$13)</f>
        <v>0</v>
      </c>
      <c r="AN113" s="33" t="n">
        <f aca="false">IF(ISNUMBER(((AM113/AK113)+B$14+$D113)*AK113),((AM113/AK113)+B$14+$D113)*AK113,0)</f>
        <v>0</v>
      </c>
      <c r="AO113" s="44" t="n">
        <f aca="false">IF(AK113=0,0,bsd(1,AP$27,AL113,$H113,$E113,$F113,$AE113,0.1))</f>
        <v>0</v>
      </c>
      <c r="AP113" s="44" t="n">
        <f aca="false">IF(AK113=0,0,bsd(2,AP$27,AL113,$H113,$E113,$F113,$AE113,0.1))</f>
        <v>0</v>
      </c>
      <c r="AQ113" s="44" t="n">
        <f aca="false">IF(AK113=0,0,bsd(AP$28,AP$27,AL113,$H113,$E113,$F113,$AE113,0.1))</f>
        <v>0</v>
      </c>
      <c r="AR113" s="45" t="n">
        <f aca="false">AK113*AO113</f>
        <v>0</v>
      </c>
      <c r="AS113" s="45" t="n">
        <f aca="false">AK113*AP113</f>
        <v>0</v>
      </c>
      <c r="AT113" s="45" t="n">
        <f aca="false">AK113*AQ113</f>
        <v>0</v>
      </c>
      <c r="AV113" s="9" t="n">
        <f aca="false">IF($A113&gt;=AW$25,IF($A113&lt;=AW$26,$AF113,0),0)</f>
        <v>0</v>
      </c>
      <c r="AW113" s="221" t="e">
        <f aca="false">AY113/AV113</f>
        <v>#DIV/0!</v>
      </c>
      <c r="AX113" s="1" t="n">
        <f aca="false">AV113*($B113+D$13)</f>
        <v>0</v>
      </c>
      <c r="AY113" s="33" t="n">
        <f aca="false">IF(ISNUMBER(((AX113/AV113)+D$14+$J113)*AV113),((AX113/AV113)+D$14+$J113)*AV113,0)</f>
        <v>0</v>
      </c>
      <c r="AZ113" s="44" t="n">
        <f aca="false">IF(AV113=0,0,bsd(1,BA$27,AW113,$N113,$K113,$L113,$AE113,0.1))</f>
        <v>0</v>
      </c>
      <c r="BA113" s="44" t="n">
        <f aca="false">IF(AV113=0,0,bsd(2,BA$27,AW113,$N113,$K113,$L113,$AE113,0.1))</f>
        <v>0</v>
      </c>
      <c r="BB113" s="44" t="n">
        <f aca="false">IF(AV113=0,0,bsd(BA$28,BA$27,AW113,$N113,$K113,$L113,$AE113,0.1))</f>
        <v>0</v>
      </c>
      <c r="BC113" s="45" t="n">
        <f aca="false">AV113*AZ113</f>
        <v>0</v>
      </c>
      <c r="BD113" s="45" t="n">
        <f aca="false">AV113*BA113</f>
        <v>0</v>
      </c>
      <c r="BE113" s="45" t="n">
        <f aca="false">AV113*BB113</f>
        <v>0</v>
      </c>
      <c r="BG113" s="9" t="n">
        <f aca="false">IF($A113&gt;=BH$25,IF($A113&lt;=BH$26,$AF113,0),0)</f>
        <v>0</v>
      </c>
      <c r="BH113" s="221" t="e">
        <f aca="false">BJ113/BG113</f>
        <v>#DIV/0!</v>
      </c>
      <c r="BI113" s="1" t="n">
        <f aca="false">BG113*($B113+F$13)</f>
        <v>0</v>
      </c>
      <c r="BJ113" s="33" t="n">
        <f aca="false">IF(ISNUMBER(((BI113/BG113)+F$14+$P113)*BG113),((BI113/BG113)+F$14+$P113)*BG113,0)</f>
        <v>0</v>
      </c>
      <c r="BK113" s="44" t="n">
        <f aca="false">IF(BG113=0,0,bsd(1,BL$27,BH113,$T113,$Q113,$R113,$AE113,0.1))</f>
        <v>0</v>
      </c>
      <c r="BL113" s="44" t="n">
        <f aca="false">IF(BG113=0,0,bsd(2,BL$27,BH113,$T113,$Q113,$R113,$AE113,0.1))</f>
        <v>0</v>
      </c>
      <c r="BM113" s="44" t="n">
        <f aca="false">IF(BG113=0,0,bsd(BL$28,BL$27,BH113,$T113,$Q113,$R113,$AE113,0.1))</f>
        <v>0</v>
      </c>
      <c r="BN113" s="45" t="n">
        <f aca="false">BG113*BK113</f>
        <v>0</v>
      </c>
      <c r="BO113" s="45" t="n">
        <f aca="false">BG113*BL113</f>
        <v>0</v>
      </c>
      <c r="BP113" s="45" t="n">
        <f aca="false">BG113*BM113</f>
        <v>0</v>
      </c>
      <c r="BR113" s="9" t="n">
        <f aca="false">IF($A113&gt;=BS$25,IF($A113&lt;=BS$26,$AF113,0),0)</f>
        <v>0</v>
      </c>
      <c r="BS113" s="221" t="e">
        <f aca="false">BU113/BR113</f>
        <v>#DIV/0!</v>
      </c>
      <c r="BT113" s="1" t="n">
        <f aca="false">BR113*($B113+H$13)</f>
        <v>0</v>
      </c>
      <c r="BU113" s="33" t="n">
        <f aca="false">IF(ISNUMBER(((BT113/BR113)+H$14+$V113)*BR113),((BT113/BR113)+H$14+$V113)*BR113,0)</f>
        <v>0</v>
      </c>
      <c r="BV113" s="44" t="n">
        <f aca="false">IF(BR113=0,0,bsd(1,BW$27,BS113,$Z113,$W113,$X113,$AE113,0.1))</f>
        <v>0</v>
      </c>
      <c r="BW113" s="44" t="n">
        <f aca="false">IF(BR113=0,0,bsd(2,BW$27,BS113,$Z113,$W113,$X113,$AE113,0.1))</f>
        <v>0</v>
      </c>
      <c r="BX113" s="44" t="n">
        <f aca="false">IF(BR113=0,0,bsd(BW$28,BW$27,BS113,$Z113,$W113,$X113,$AE113,0.1))</f>
        <v>0</v>
      </c>
      <c r="BY113" s="45" t="n">
        <f aca="false">BR113*BV113</f>
        <v>0</v>
      </c>
      <c r="BZ113" s="45" t="n">
        <f aca="false">BR113*BW113</f>
        <v>0</v>
      </c>
      <c r="CA113" s="45" t="n">
        <f aca="false">BR113*BX113</f>
        <v>0</v>
      </c>
    </row>
    <row r="114" customFormat="false" ht="12.75" hidden="false" customHeight="false" outlineLevel="0" collapsed="false">
      <c r="A114" s="48" t="n">
        <f aca="false">DATE(YEAR(A113),MONTH(A113)+1,1)</f>
        <v>39814</v>
      </c>
      <c r="B114" s="40" t="n">
        <f aca="false">VLOOKUP(A114,STRADDLE,5,FALSE())</f>
        <v>3.699</v>
      </c>
      <c r="C114" s="4" t="e">
        <f aca="false">VLOOKUP(A114,STRADDLE,6,FALSE())</f>
        <v>#VALUE!</v>
      </c>
      <c r="D114" s="40" t="n">
        <f aca="false">IF(D$28="nymex",0,VLOOKUP($A114,curvesettle,HLOOKUP(D$28,curvesettle,2,FALSE())))</f>
        <v>0</v>
      </c>
      <c r="E114" s="219" t="n">
        <f aca="false">IF(D$28="NYMEX",$AD114,$AC114)</f>
        <v>-6118</v>
      </c>
      <c r="F114" s="4" t="e">
        <f aca="false">($C114+G114)+B$15</f>
        <v>#DIV/0!</v>
      </c>
      <c r="G114" s="4" t="e">
        <f aca="false">IF(B$16=1,xCalcSkew(A114,H114-AL114,b)/100,0)</f>
        <v>#DIV/0!</v>
      </c>
      <c r="H114" s="41" t="n">
        <f aca="false">IF($B$19=4,$AL114,$B$18)</f>
        <v>2.44</v>
      </c>
      <c r="J114" s="40" t="n">
        <f aca="false">IF(J$28="nymex",0,VLOOKUP($A114,curvesettle,HLOOKUP(J$28,curvesettle,2,FALSE())))</f>
        <v>0</v>
      </c>
      <c r="K114" s="219" t="n">
        <f aca="false">IF(J$28="NYMEX",$AD114,$AC114)</f>
        <v>-6118</v>
      </c>
      <c r="L114" s="220" t="e">
        <f aca="false">($C114+M114)+D$15</f>
        <v>#DIV/0!</v>
      </c>
      <c r="M114" s="4" t="e">
        <f aca="false">IF(D$16=1,xCalcSkew($A114,N114-AW114,b)/100,0)</f>
        <v>#DIV/0!</v>
      </c>
      <c r="N114" s="41" t="n">
        <f aca="false">IF($D$19=4,$AW114,$D$18)</f>
        <v>2.44</v>
      </c>
      <c r="P114" s="40" t="n">
        <f aca="false">IF(P$28="nymex",0,VLOOKUP($A114,curvesettle,HLOOKUP(P$28,curvesettle,2,FALSE())))</f>
        <v>0</v>
      </c>
      <c r="Q114" s="219" t="n">
        <f aca="false">IF(P$28="NYMEX",$AD114,$AC114)</f>
        <v>-6118</v>
      </c>
      <c r="R114" s="220" t="e">
        <f aca="false">($C114+S114)+F$15</f>
        <v>#DIV/0!</v>
      </c>
      <c r="S114" s="4" t="e">
        <f aca="false">IF(F$16=1,xCalcSkew($A114,T114-BH114,b)/100,0)</f>
        <v>#DIV/0!</v>
      </c>
      <c r="T114" s="41" t="n">
        <f aca="false">IF($F$19=4,$BH114,$F$18)</f>
        <v>2.44</v>
      </c>
      <c r="V114" s="40" t="n">
        <f aca="false">IF(V$28="nymex",0,VLOOKUP($A114,curvesettle,HLOOKUP(V$28,curvesettle,2,FALSE())))</f>
        <v>0</v>
      </c>
      <c r="W114" s="219" t="n">
        <f aca="false">IF(V$28="NYMEX",$AD114,$AC114)</f>
        <v>-6118</v>
      </c>
      <c r="X114" s="4" t="e">
        <f aca="false">($C114+Y114)+H$15</f>
        <v>#DIV/0!</v>
      </c>
      <c r="Y114" s="4" t="e">
        <f aca="false">IF(H$16=1,xCalcSkew($A114,Z114-BS114,b)/100,0)</f>
        <v>#DIV/0!</v>
      </c>
      <c r="Z114" s="41" t="n">
        <f aca="false">IF($H$19=4,$BS114,$H$18)</f>
        <v>2.44</v>
      </c>
      <c r="AC114" s="219" t="n">
        <f aca="false">VLOOKUP($A114,expiration,2,FALSE())-$B$2</f>
        <v>-6115</v>
      </c>
      <c r="AD114" s="219" t="n">
        <f aca="false">VLOOKUP($A114,expiration,3,FALSE())-$B$2</f>
        <v>-6118</v>
      </c>
      <c r="AE114" s="4" t="n">
        <f aca="false">VLOOKUP($A114,STRADDLE,15,FALSE())</f>
        <v>0.0554905546353979</v>
      </c>
      <c r="AF114" s="43" t="n">
        <f aca="false">A115-A114</f>
        <v>31</v>
      </c>
      <c r="AI114" s="219"/>
      <c r="AJ114" s="9"/>
      <c r="AK114" s="9" t="n">
        <f aca="false">IF($A114&gt;=AL$25,IF($A114&lt;=AL$26,$AF114,0),0)</f>
        <v>0</v>
      </c>
      <c r="AL114" s="221" t="e">
        <f aca="false">AN114/AK114</f>
        <v>#DIV/0!</v>
      </c>
      <c r="AM114" s="1" t="n">
        <f aca="false">AK114*($B114+B$13)</f>
        <v>0</v>
      </c>
      <c r="AN114" s="33" t="n">
        <f aca="false">IF(ISNUMBER(((AM114/AK114)+B$14+$D114)*AK114),((AM114/AK114)+B$14+$D114)*AK114,0)</f>
        <v>0</v>
      </c>
      <c r="AO114" s="44" t="n">
        <f aca="false">IF(AK114=0,0,bsd(1,AP$27,AL114,$H114,$E114,$F114,$AE114,0.1))</f>
        <v>0</v>
      </c>
      <c r="AP114" s="44" t="n">
        <f aca="false">IF(AK114=0,0,bsd(2,AP$27,AL114,$H114,$E114,$F114,$AE114,0.1))</f>
        <v>0</v>
      </c>
      <c r="AQ114" s="44" t="n">
        <f aca="false">IF(AK114=0,0,bsd(AP$28,AP$27,AL114,$H114,$E114,$F114,$AE114,0.1))</f>
        <v>0</v>
      </c>
      <c r="AR114" s="45" t="n">
        <f aca="false">AK114*AO114</f>
        <v>0</v>
      </c>
      <c r="AS114" s="45" t="n">
        <f aca="false">AK114*AP114</f>
        <v>0</v>
      </c>
      <c r="AT114" s="45" t="n">
        <f aca="false">AK114*AQ114</f>
        <v>0</v>
      </c>
      <c r="AV114" s="9" t="n">
        <f aca="false">IF($A114&gt;=AW$25,IF($A114&lt;=AW$26,$AF114,0),0)</f>
        <v>0</v>
      </c>
      <c r="AW114" s="221" t="e">
        <f aca="false">AY114/AV114</f>
        <v>#DIV/0!</v>
      </c>
      <c r="AX114" s="1" t="n">
        <f aca="false">AV114*($B114+D$13)</f>
        <v>0</v>
      </c>
      <c r="AY114" s="33" t="n">
        <f aca="false">IF(ISNUMBER(((AX114/AV114)+D$14+$J114)*AV114),((AX114/AV114)+D$14+$J114)*AV114,0)</f>
        <v>0</v>
      </c>
      <c r="AZ114" s="44" t="n">
        <f aca="false">IF(AV114=0,0,bsd(1,BA$27,AW114,$N114,$K114,$L114,$AE114,0.1))</f>
        <v>0</v>
      </c>
      <c r="BA114" s="44" t="n">
        <f aca="false">IF(AV114=0,0,bsd(2,BA$27,AW114,$N114,$K114,$L114,$AE114,0.1))</f>
        <v>0</v>
      </c>
      <c r="BB114" s="44" t="n">
        <f aca="false">IF(AV114=0,0,bsd(BA$28,BA$27,AW114,$N114,$K114,$L114,$AE114,0.1))</f>
        <v>0</v>
      </c>
      <c r="BC114" s="45" t="n">
        <f aca="false">AV114*AZ114</f>
        <v>0</v>
      </c>
      <c r="BD114" s="45" t="n">
        <f aca="false">AV114*BA114</f>
        <v>0</v>
      </c>
      <c r="BE114" s="45" t="n">
        <f aca="false">AV114*BB114</f>
        <v>0</v>
      </c>
      <c r="BG114" s="9" t="n">
        <f aca="false">IF($A114&gt;=BH$25,IF($A114&lt;=BH$26,$AF114,0),0)</f>
        <v>0</v>
      </c>
      <c r="BH114" s="221" t="e">
        <f aca="false">BJ114/BG114</f>
        <v>#DIV/0!</v>
      </c>
      <c r="BI114" s="1" t="n">
        <f aca="false">BG114*($B114+F$13)</f>
        <v>0</v>
      </c>
      <c r="BJ114" s="33" t="n">
        <f aca="false">IF(ISNUMBER(((BI114/BG114)+F$14+$P114)*BG114),((BI114/BG114)+F$14+$P114)*BG114,0)</f>
        <v>0</v>
      </c>
      <c r="BK114" s="44" t="n">
        <f aca="false">IF(BG114=0,0,bsd(1,BL$27,BH114,$T114,$Q114,$R114,$AE114,0.1))</f>
        <v>0</v>
      </c>
      <c r="BL114" s="44" t="n">
        <f aca="false">IF(BG114=0,0,bsd(2,BL$27,BH114,$T114,$Q114,$R114,$AE114,0.1))</f>
        <v>0</v>
      </c>
      <c r="BM114" s="44" t="n">
        <f aca="false">IF(BG114=0,0,bsd(BL$28,BL$27,BH114,$T114,$Q114,$R114,$AE114,0.1))</f>
        <v>0</v>
      </c>
      <c r="BN114" s="45" t="n">
        <f aca="false">BG114*BK114</f>
        <v>0</v>
      </c>
      <c r="BO114" s="45" t="n">
        <f aca="false">BG114*BL114</f>
        <v>0</v>
      </c>
      <c r="BP114" s="45" t="n">
        <f aca="false">BG114*BM114</f>
        <v>0</v>
      </c>
      <c r="BR114" s="9" t="n">
        <f aca="false">IF($A114&gt;=BS$25,IF($A114&lt;=BS$26,$AF114,0),0)</f>
        <v>0</v>
      </c>
      <c r="BS114" s="221" t="e">
        <f aca="false">BU114/BR114</f>
        <v>#DIV/0!</v>
      </c>
      <c r="BT114" s="1" t="n">
        <f aca="false">BR114*($B114+H$13)</f>
        <v>0</v>
      </c>
      <c r="BU114" s="33" t="n">
        <f aca="false">IF(ISNUMBER(((BT114/BR114)+H$14+$V114)*BR114),((BT114/BR114)+H$14+$V114)*BR114,0)</f>
        <v>0</v>
      </c>
      <c r="BV114" s="44" t="n">
        <f aca="false">IF(BR114=0,0,bsd(1,BW$27,BS114,$Z114,$W114,$X114,$AE114,0.1))</f>
        <v>0</v>
      </c>
      <c r="BW114" s="44" t="n">
        <f aca="false">IF(BR114=0,0,bsd(2,BW$27,BS114,$Z114,$W114,$X114,$AE114,0.1))</f>
        <v>0</v>
      </c>
      <c r="BX114" s="44" t="n">
        <f aca="false">IF(BR114=0,0,bsd(BW$28,BW$27,BS114,$Z114,$W114,$X114,$AE114,0.1))</f>
        <v>0</v>
      </c>
      <c r="BY114" s="45" t="n">
        <f aca="false">BR114*BV114</f>
        <v>0</v>
      </c>
      <c r="BZ114" s="45" t="n">
        <f aca="false">BR114*BW114</f>
        <v>0</v>
      </c>
      <c r="CA114" s="45" t="n">
        <f aca="false">BR114*BX114</f>
        <v>0</v>
      </c>
    </row>
    <row r="115" customFormat="false" ht="12.75" hidden="false" customHeight="false" outlineLevel="0" collapsed="false">
      <c r="A115" s="48" t="n">
        <f aca="false">DATE(YEAR(A114),MONTH(A114)+1,1)</f>
        <v>39845</v>
      </c>
      <c r="B115" s="40" t="n">
        <f aca="false">VLOOKUP(A115,STRADDLE,5,FALSE())</f>
        <v>3.551</v>
      </c>
      <c r="C115" s="4" t="e">
        <f aca="false">VLOOKUP(A115,STRADDLE,6,FALSE())</f>
        <v>#VALUE!</v>
      </c>
      <c r="D115" s="40" t="n">
        <f aca="false">IF(D$28="nymex",0,VLOOKUP($A115,curvesettle,HLOOKUP(D$28,curvesettle,2,FALSE())))</f>
        <v>0</v>
      </c>
      <c r="E115" s="219" t="n">
        <f aca="false">IF(D$28="NYMEX",$AD115,$AC115)</f>
        <v>-6086</v>
      </c>
      <c r="F115" s="4" t="e">
        <f aca="false">($C115+G115)+B$15</f>
        <v>#DIV/0!</v>
      </c>
      <c r="G115" s="4" t="e">
        <f aca="false">IF(B$16=1,xCalcSkew(A115,H115-AL115,b)/100,0)</f>
        <v>#DIV/0!</v>
      </c>
      <c r="H115" s="41" t="n">
        <f aca="false">IF($B$19=4,$AL115,$B$18)</f>
        <v>2.44</v>
      </c>
      <c r="J115" s="40" t="n">
        <f aca="false">IF(J$28="nymex",0,VLOOKUP($A115,curvesettle,HLOOKUP(J$28,curvesettle,2,FALSE())))</f>
        <v>0</v>
      </c>
      <c r="K115" s="219" t="n">
        <f aca="false">IF(J$28="NYMEX",$AD115,$AC115)</f>
        <v>-6086</v>
      </c>
      <c r="L115" s="220" t="e">
        <f aca="false">($C115+M115)+D$15</f>
        <v>#DIV/0!</v>
      </c>
      <c r="M115" s="4" t="e">
        <f aca="false">IF(D$16=1,xCalcSkew($A115,N115-AW115,b)/100,0)</f>
        <v>#DIV/0!</v>
      </c>
      <c r="N115" s="41" t="n">
        <f aca="false">IF($D$19=4,$AW115,$D$18)</f>
        <v>2.44</v>
      </c>
      <c r="P115" s="40" t="n">
        <f aca="false">IF(P$28="nymex",0,VLOOKUP($A115,curvesettle,HLOOKUP(P$28,curvesettle,2,FALSE())))</f>
        <v>0</v>
      </c>
      <c r="Q115" s="219" t="n">
        <f aca="false">IF(P$28="NYMEX",$AD115,$AC115)</f>
        <v>-6086</v>
      </c>
      <c r="R115" s="220" t="e">
        <f aca="false">($C115+S115)+F$15</f>
        <v>#DIV/0!</v>
      </c>
      <c r="S115" s="4" t="e">
        <f aca="false">IF(F$16=1,xCalcSkew($A115,T115-BH115,b)/100,0)</f>
        <v>#DIV/0!</v>
      </c>
      <c r="T115" s="41" t="n">
        <f aca="false">IF($F$19=4,$BH115,$F$18)</f>
        <v>2.44</v>
      </c>
      <c r="V115" s="40" t="n">
        <f aca="false">IF(V$28="nymex",0,VLOOKUP($A115,curvesettle,HLOOKUP(V$28,curvesettle,2,FALSE())))</f>
        <v>0</v>
      </c>
      <c r="W115" s="219" t="n">
        <f aca="false">IF(V$28="NYMEX",$AD115,$AC115)</f>
        <v>-6086</v>
      </c>
      <c r="X115" s="4" t="e">
        <f aca="false">($C115+Y115)+H$15</f>
        <v>#DIV/0!</v>
      </c>
      <c r="Y115" s="4" t="e">
        <f aca="false">IF(H$16=1,xCalcSkew($A115,Z115-BS115,b)/100,0)</f>
        <v>#DIV/0!</v>
      </c>
      <c r="Z115" s="41" t="n">
        <f aca="false">IF($H$19=4,$BS115,$H$18)</f>
        <v>2.44</v>
      </c>
      <c r="AC115" s="219" t="n">
        <f aca="false">VLOOKUP($A115,expiration,2,FALSE())-$B$2</f>
        <v>-6085</v>
      </c>
      <c r="AD115" s="219" t="n">
        <f aca="false">VLOOKUP($A115,expiration,3,FALSE())-$B$2</f>
        <v>-6086</v>
      </c>
      <c r="AE115" s="4" t="n">
        <f aca="false">VLOOKUP($A115,STRADDLE,15,FALSE())</f>
        <v>0.0556292858091121</v>
      </c>
      <c r="AF115" s="43" t="n">
        <f aca="false">A116-A115</f>
        <v>28</v>
      </c>
      <c r="AI115" s="219"/>
      <c r="AJ115" s="9"/>
      <c r="AK115" s="9" t="n">
        <f aca="false">IF($A115&gt;=AL$25,IF($A115&lt;=AL$26,$AF115,0),0)</f>
        <v>0</v>
      </c>
      <c r="AL115" s="221" t="e">
        <f aca="false">AN115/AK115</f>
        <v>#DIV/0!</v>
      </c>
      <c r="AM115" s="1" t="n">
        <f aca="false">AK115*($B115+B$13)</f>
        <v>0</v>
      </c>
      <c r="AN115" s="33" t="n">
        <f aca="false">IF(ISNUMBER(((AM115/AK115)+B$14+$D115)*AK115),((AM115/AK115)+B$14+$D115)*AK115,0)</f>
        <v>0</v>
      </c>
      <c r="AO115" s="44" t="n">
        <f aca="false">IF(AK115=0,0,bsd(1,AP$27,AL115,$H115,$E115,$F115,$AE115,0.1))</f>
        <v>0</v>
      </c>
      <c r="AP115" s="44" t="n">
        <f aca="false">IF(AK115=0,0,bsd(2,AP$27,AL115,$H115,$E115,$F115,$AE115,0.1))</f>
        <v>0</v>
      </c>
      <c r="AQ115" s="44" t="n">
        <f aca="false">IF(AK115=0,0,bsd(AP$28,AP$27,AL115,$H115,$E115,$F115,$AE115,0.1))</f>
        <v>0</v>
      </c>
      <c r="AR115" s="45" t="n">
        <f aca="false">AK115*AO115</f>
        <v>0</v>
      </c>
      <c r="AS115" s="45" t="n">
        <f aca="false">AK115*AP115</f>
        <v>0</v>
      </c>
      <c r="AT115" s="45" t="n">
        <f aca="false">AK115*AQ115</f>
        <v>0</v>
      </c>
      <c r="AV115" s="9" t="n">
        <f aca="false">IF($A115&gt;=AW$25,IF($A115&lt;=AW$26,$AF115,0),0)</f>
        <v>0</v>
      </c>
      <c r="AW115" s="221" t="e">
        <f aca="false">AY115/AV115</f>
        <v>#DIV/0!</v>
      </c>
      <c r="AX115" s="1" t="n">
        <f aca="false">AV115*($B115+D$13)</f>
        <v>0</v>
      </c>
      <c r="AY115" s="33" t="n">
        <f aca="false">IF(ISNUMBER(((AX115/AV115)+D$14+$J115)*AV115),((AX115/AV115)+D$14+$J115)*AV115,0)</f>
        <v>0</v>
      </c>
      <c r="AZ115" s="44" t="n">
        <f aca="false">IF(AV115=0,0,bsd(1,BA$27,AW115,$N115,$K115,$L115,$AE115,0.1))</f>
        <v>0</v>
      </c>
      <c r="BA115" s="44" t="n">
        <f aca="false">IF(AV115=0,0,bsd(2,BA$27,AW115,$N115,$K115,$L115,$AE115,0.1))</f>
        <v>0</v>
      </c>
      <c r="BB115" s="44" t="n">
        <f aca="false">IF(AV115=0,0,bsd(BA$28,BA$27,AW115,$N115,$K115,$L115,$AE115,0.1))</f>
        <v>0</v>
      </c>
      <c r="BC115" s="45" t="n">
        <f aca="false">AV115*AZ115</f>
        <v>0</v>
      </c>
      <c r="BD115" s="45" t="n">
        <f aca="false">AV115*BA115</f>
        <v>0</v>
      </c>
      <c r="BE115" s="45" t="n">
        <f aca="false">AV115*BB115</f>
        <v>0</v>
      </c>
      <c r="BG115" s="9" t="n">
        <f aca="false">IF($A115&gt;=BH$25,IF($A115&lt;=BH$26,$AF115,0),0)</f>
        <v>0</v>
      </c>
      <c r="BH115" s="221" t="e">
        <f aca="false">BJ115/BG115</f>
        <v>#DIV/0!</v>
      </c>
      <c r="BI115" s="1" t="n">
        <f aca="false">BG115*($B115+F$13)</f>
        <v>0</v>
      </c>
      <c r="BJ115" s="33" t="n">
        <f aca="false">IF(ISNUMBER(((BI115/BG115)+F$14+$P115)*BG115),((BI115/BG115)+F$14+$P115)*BG115,0)</f>
        <v>0</v>
      </c>
      <c r="BK115" s="44" t="n">
        <f aca="false">IF(BG115=0,0,bsd(1,BL$27,BH115,$T115,$Q115,$R115,$AE115,0.1))</f>
        <v>0</v>
      </c>
      <c r="BL115" s="44" t="n">
        <f aca="false">IF(BG115=0,0,bsd(2,BL$27,BH115,$T115,$Q115,$R115,$AE115,0.1))</f>
        <v>0</v>
      </c>
      <c r="BM115" s="44" t="n">
        <f aca="false">IF(BG115=0,0,bsd(BL$28,BL$27,BH115,$T115,$Q115,$R115,$AE115,0.1))</f>
        <v>0</v>
      </c>
      <c r="BN115" s="45" t="n">
        <f aca="false">BG115*BK115</f>
        <v>0</v>
      </c>
      <c r="BO115" s="45" t="n">
        <f aca="false">BG115*BL115</f>
        <v>0</v>
      </c>
      <c r="BP115" s="45" t="n">
        <f aca="false">BG115*BM115</f>
        <v>0</v>
      </c>
      <c r="BR115" s="9" t="n">
        <f aca="false">IF($A115&gt;=BS$25,IF($A115&lt;=BS$26,$AF115,0),0)</f>
        <v>0</v>
      </c>
      <c r="BS115" s="221" t="e">
        <f aca="false">BU115/BR115</f>
        <v>#DIV/0!</v>
      </c>
      <c r="BT115" s="1" t="n">
        <f aca="false">BR115*($B115+H$13)</f>
        <v>0</v>
      </c>
      <c r="BU115" s="33" t="n">
        <f aca="false">IF(ISNUMBER(((BT115/BR115)+H$14+$V115)*BR115),((BT115/BR115)+H$14+$V115)*BR115,0)</f>
        <v>0</v>
      </c>
      <c r="BV115" s="44" t="n">
        <f aca="false">IF(BR115=0,0,bsd(1,BW$27,BS115,$Z115,$W115,$X115,$AE115,0.1))</f>
        <v>0</v>
      </c>
      <c r="BW115" s="44" t="n">
        <f aca="false">IF(BR115=0,0,bsd(2,BW$27,BS115,$Z115,$W115,$X115,$AE115,0.1))</f>
        <v>0</v>
      </c>
      <c r="BX115" s="44" t="n">
        <f aca="false">IF(BR115=0,0,bsd(BW$28,BW$27,BS115,$Z115,$W115,$X115,$AE115,0.1))</f>
        <v>0</v>
      </c>
      <c r="BY115" s="45" t="n">
        <f aca="false">BR115*BV115</f>
        <v>0</v>
      </c>
      <c r="BZ115" s="45" t="n">
        <f aca="false">BR115*BW115</f>
        <v>0</v>
      </c>
      <c r="CA115" s="45" t="n">
        <f aca="false">BR115*BX115</f>
        <v>0</v>
      </c>
    </row>
    <row r="116" customFormat="false" ht="12.75" hidden="false" customHeight="false" outlineLevel="0" collapsed="false">
      <c r="A116" s="48" t="n">
        <f aca="false">DATE(YEAR(A115),MONTH(A115)+1,1)</f>
        <v>39873</v>
      </c>
      <c r="B116" s="40" t="n">
        <f aca="false">VLOOKUP(A116,STRADDLE,5,FALSE())</f>
        <v>3.5</v>
      </c>
      <c r="C116" s="4" t="e">
        <f aca="false">VLOOKUP(A116,STRADDLE,6,FALSE())</f>
        <v>#VALUE!</v>
      </c>
      <c r="D116" s="40" t="n">
        <f aca="false">IF(D$28="nymex",0,VLOOKUP($A116,curvesettle,HLOOKUP(D$28,curvesettle,2,FALSE())))</f>
        <v>0</v>
      </c>
      <c r="E116" s="219" t="n">
        <f aca="false">IF(D$28="NYMEX",$AD116,$AC116)</f>
        <v>-6058</v>
      </c>
      <c r="F116" s="4" t="e">
        <f aca="false">($C116+G116)+B$15</f>
        <v>#DIV/0!</v>
      </c>
      <c r="G116" s="4" t="e">
        <f aca="false">IF(B$16=1,xCalcSkew(A116,H116-AL116,b)/100,0)</f>
        <v>#DIV/0!</v>
      </c>
      <c r="H116" s="41" t="n">
        <f aca="false">IF($B$19=4,$AL116,$B$18)</f>
        <v>2.44</v>
      </c>
      <c r="J116" s="40" t="n">
        <f aca="false">IF(J$28="nymex",0,VLOOKUP($A116,curvesettle,HLOOKUP(J$28,curvesettle,2,FALSE())))</f>
        <v>0</v>
      </c>
      <c r="K116" s="219" t="n">
        <f aca="false">IF(J$28="NYMEX",$AD116,$AC116)</f>
        <v>-6058</v>
      </c>
      <c r="L116" s="220" t="e">
        <f aca="false">($C116+M116)+D$15</f>
        <v>#DIV/0!</v>
      </c>
      <c r="M116" s="4" t="e">
        <f aca="false">IF(D$16=1,xCalcSkew($A116,N116-AW116,b)/100,0)</f>
        <v>#DIV/0!</v>
      </c>
      <c r="N116" s="41" t="n">
        <f aca="false">IF($D$19=4,$AW116,$D$18)</f>
        <v>2.44</v>
      </c>
      <c r="P116" s="40" t="n">
        <f aca="false">IF(P$28="nymex",0,VLOOKUP($A116,curvesettle,HLOOKUP(P$28,curvesettle,2,FALSE())))</f>
        <v>0</v>
      </c>
      <c r="Q116" s="219" t="n">
        <f aca="false">IF(P$28="NYMEX",$AD116,$AC116)</f>
        <v>-6058</v>
      </c>
      <c r="R116" s="220" t="e">
        <f aca="false">($C116+S116)+F$15</f>
        <v>#DIV/0!</v>
      </c>
      <c r="S116" s="4" t="e">
        <f aca="false">IF(F$16=1,xCalcSkew($A116,T116-BH116,b)/100,0)</f>
        <v>#DIV/0!</v>
      </c>
      <c r="T116" s="41" t="n">
        <f aca="false">IF($F$19=4,$BH116,$F$18)</f>
        <v>2.44</v>
      </c>
      <c r="V116" s="40" t="n">
        <f aca="false">IF(V$28="nymex",0,VLOOKUP($A116,curvesettle,HLOOKUP(V$28,curvesettle,2,FALSE())))</f>
        <v>0</v>
      </c>
      <c r="W116" s="219" t="n">
        <f aca="false">IF(V$28="NYMEX",$AD116,$AC116)</f>
        <v>-6058</v>
      </c>
      <c r="X116" s="4" t="e">
        <f aca="false">($C116+Y116)+H$15</f>
        <v>#DIV/0!</v>
      </c>
      <c r="Y116" s="4" t="e">
        <f aca="false">IF(H$16=1,xCalcSkew($A116,Z116-BS116,b)/100,0)</f>
        <v>#DIV/0!</v>
      </c>
      <c r="Z116" s="41" t="n">
        <f aca="false">IF($H$19=4,$BS116,$H$18)</f>
        <v>2.44</v>
      </c>
      <c r="AC116" s="219" t="n">
        <f aca="false">VLOOKUP($A116,expiration,2,FALSE())-$B$2</f>
        <v>-6057</v>
      </c>
      <c r="AD116" s="219" t="n">
        <f aca="false">VLOOKUP($A116,expiration,3,FALSE())-$B$2</f>
        <v>-6058</v>
      </c>
      <c r="AE116" s="4" t="n">
        <f aca="false">VLOOKUP($A116,STRADDLE,15,FALSE())</f>
        <v>0.055732784192704</v>
      </c>
      <c r="AF116" s="43" t="n">
        <f aca="false">A117-A116</f>
        <v>31</v>
      </c>
      <c r="AI116" s="219"/>
      <c r="AJ116" s="9"/>
      <c r="AK116" s="9" t="n">
        <f aca="false">IF($A116&gt;=AL$25,IF($A116&lt;=AL$26,$AF116,0),0)</f>
        <v>0</v>
      </c>
      <c r="AL116" s="221" t="e">
        <f aca="false">AN116/AK116</f>
        <v>#DIV/0!</v>
      </c>
      <c r="AM116" s="1" t="n">
        <f aca="false">AK116*($B116+B$13)</f>
        <v>0</v>
      </c>
      <c r="AN116" s="33" t="n">
        <f aca="false">IF(ISNUMBER(((AM116/AK116)+B$14+$D116)*AK116),((AM116/AK116)+B$14+$D116)*AK116,0)</f>
        <v>0</v>
      </c>
      <c r="AO116" s="44" t="n">
        <f aca="false">IF(AK116=0,0,bsd(1,AP$27,AL116,$H116,$E116,$F116,$AE116,0.1))</f>
        <v>0</v>
      </c>
      <c r="AP116" s="44" t="n">
        <f aca="false">IF(AK116=0,0,bsd(2,AP$27,AL116,$H116,$E116,$F116,$AE116,0.1))</f>
        <v>0</v>
      </c>
      <c r="AQ116" s="44" t="n">
        <f aca="false">IF(AK116=0,0,bsd(AP$28,AP$27,AL116,$H116,$E116,$F116,$AE116,0.1))</f>
        <v>0</v>
      </c>
      <c r="AR116" s="45" t="n">
        <f aca="false">AK116*AO116</f>
        <v>0</v>
      </c>
      <c r="AS116" s="45" t="n">
        <f aca="false">AK116*AP116</f>
        <v>0</v>
      </c>
      <c r="AT116" s="45" t="n">
        <f aca="false">AK116*AQ116</f>
        <v>0</v>
      </c>
      <c r="AV116" s="9" t="n">
        <f aca="false">IF($A116&gt;=AW$25,IF($A116&lt;=AW$26,$AF116,0),0)</f>
        <v>0</v>
      </c>
      <c r="AW116" s="221" t="e">
        <f aca="false">AY116/AV116</f>
        <v>#DIV/0!</v>
      </c>
      <c r="AX116" s="1" t="n">
        <f aca="false">AV116*($B116+D$13)</f>
        <v>0</v>
      </c>
      <c r="AY116" s="33" t="n">
        <f aca="false">IF(ISNUMBER(((AX116/AV116)+D$14+$J116)*AV116),((AX116/AV116)+D$14+$J116)*AV116,0)</f>
        <v>0</v>
      </c>
      <c r="AZ116" s="44" t="n">
        <f aca="false">IF(AV116=0,0,bsd(1,BA$27,AW116,$N116,$K116,$L116,$AE116,0.1))</f>
        <v>0</v>
      </c>
      <c r="BA116" s="44" t="n">
        <f aca="false">IF(AV116=0,0,bsd(2,BA$27,AW116,$N116,$K116,$L116,$AE116,0.1))</f>
        <v>0</v>
      </c>
      <c r="BB116" s="44" t="n">
        <f aca="false">IF(AV116=0,0,bsd(BA$28,BA$27,AW116,$N116,$K116,$L116,$AE116,0.1))</f>
        <v>0</v>
      </c>
      <c r="BC116" s="45" t="n">
        <f aca="false">AV116*AZ116</f>
        <v>0</v>
      </c>
      <c r="BD116" s="45" t="n">
        <f aca="false">AV116*BA116</f>
        <v>0</v>
      </c>
      <c r="BE116" s="45" t="n">
        <f aca="false">AV116*BB116</f>
        <v>0</v>
      </c>
      <c r="BG116" s="9" t="n">
        <f aca="false">IF($A116&gt;=BH$25,IF($A116&lt;=BH$26,$AF116,0),0)</f>
        <v>0</v>
      </c>
      <c r="BH116" s="221" t="e">
        <f aca="false">BJ116/BG116</f>
        <v>#DIV/0!</v>
      </c>
      <c r="BI116" s="1" t="n">
        <f aca="false">BG116*($B116+F$13)</f>
        <v>0</v>
      </c>
      <c r="BJ116" s="33" t="n">
        <f aca="false">IF(ISNUMBER(((BI116/BG116)+F$14+$P116)*BG116),((BI116/BG116)+F$14+$P116)*BG116,0)</f>
        <v>0</v>
      </c>
      <c r="BK116" s="44" t="n">
        <f aca="false">IF(BG116=0,0,bsd(1,BL$27,BH116,$T116,$Q116,$R116,$AE116,0.1))</f>
        <v>0</v>
      </c>
      <c r="BL116" s="44" t="n">
        <f aca="false">IF(BG116=0,0,bsd(2,BL$27,BH116,$T116,$Q116,$R116,$AE116,0.1))</f>
        <v>0</v>
      </c>
      <c r="BM116" s="44" t="n">
        <f aca="false">IF(BG116=0,0,bsd(BL$28,BL$27,BH116,$T116,$Q116,$R116,$AE116,0.1))</f>
        <v>0</v>
      </c>
      <c r="BN116" s="45" t="n">
        <f aca="false">BG116*BK116</f>
        <v>0</v>
      </c>
      <c r="BO116" s="45" t="n">
        <f aca="false">BG116*BL116</f>
        <v>0</v>
      </c>
      <c r="BP116" s="45" t="n">
        <f aca="false">BG116*BM116</f>
        <v>0</v>
      </c>
      <c r="BR116" s="9" t="n">
        <f aca="false">IF($A116&gt;=BS$25,IF($A116&lt;=BS$26,$AF116,0),0)</f>
        <v>0</v>
      </c>
      <c r="BS116" s="221" t="e">
        <f aca="false">BU116/BR116</f>
        <v>#DIV/0!</v>
      </c>
      <c r="BT116" s="1" t="n">
        <f aca="false">BR116*($B116+H$13)</f>
        <v>0</v>
      </c>
      <c r="BU116" s="33" t="n">
        <f aca="false">IF(ISNUMBER(((BT116/BR116)+H$14+$V116)*BR116),((BT116/BR116)+H$14+$V116)*BR116,0)</f>
        <v>0</v>
      </c>
      <c r="BV116" s="44" t="n">
        <f aca="false">IF(BR116=0,0,bsd(1,BW$27,BS116,$Z116,$W116,$X116,$AE116,0.1))</f>
        <v>0</v>
      </c>
      <c r="BW116" s="44" t="n">
        <f aca="false">IF(BR116=0,0,bsd(2,BW$27,BS116,$Z116,$W116,$X116,$AE116,0.1))</f>
        <v>0</v>
      </c>
      <c r="BX116" s="44" t="n">
        <f aca="false">IF(BR116=0,0,bsd(BW$28,BW$27,BS116,$Z116,$W116,$X116,$AE116,0.1))</f>
        <v>0</v>
      </c>
      <c r="BY116" s="45" t="n">
        <f aca="false">BR116*BV116</f>
        <v>0</v>
      </c>
      <c r="BZ116" s="45" t="n">
        <f aca="false">BR116*BW116</f>
        <v>0</v>
      </c>
      <c r="CA116" s="45" t="n">
        <f aca="false">BR116*BX116</f>
        <v>0</v>
      </c>
    </row>
    <row r="117" customFormat="false" ht="12.75" hidden="false" customHeight="false" outlineLevel="0" collapsed="false">
      <c r="A117" s="48" t="n">
        <f aca="false">DATE(YEAR(A116),MONTH(A116)+1,1)</f>
        <v>39904</v>
      </c>
      <c r="B117" s="40" t="n">
        <f aca="false">VLOOKUP(A117,STRADDLE,5,FALSE())</f>
        <v>3.281</v>
      </c>
      <c r="C117" s="4" t="e">
        <f aca="false">VLOOKUP(A117,STRADDLE,6,FALSE())</f>
        <v>#VALUE!</v>
      </c>
      <c r="D117" s="40" t="n">
        <f aca="false">IF(D$28="nymex",0,VLOOKUP($A117,curvesettle,HLOOKUP(D$28,curvesettle,2,FALSE())))</f>
        <v>0</v>
      </c>
      <c r="E117" s="219" t="n">
        <f aca="false">IF(D$28="NYMEX",$AD117,$AC117)</f>
        <v>-6028</v>
      </c>
      <c r="F117" s="4" t="e">
        <f aca="false">($C117+G117)+B$15</f>
        <v>#DIV/0!</v>
      </c>
      <c r="G117" s="4" t="e">
        <f aca="false">IF(B$16=1,xCalcSkew(A117,H117-AL117,b)/100,0)</f>
        <v>#DIV/0!</v>
      </c>
      <c r="H117" s="41" t="n">
        <f aca="false">IF($B$19=4,$AL117,$B$18)</f>
        <v>2.44</v>
      </c>
      <c r="J117" s="40" t="n">
        <f aca="false">IF(J$28="nymex",0,VLOOKUP($A117,curvesettle,HLOOKUP(J$28,curvesettle,2,FALSE())))</f>
        <v>0</v>
      </c>
      <c r="K117" s="219" t="n">
        <f aca="false">IF(J$28="NYMEX",$AD117,$AC117)</f>
        <v>-6028</v>
      </c>
      <c r="L117" s="220" t="e">
        <f aca="false">($C117+M117)+D$15</f>
        <v>#DIV/0!</v>
      </c>
      <c r="M117" s="4" t="e">
        <f aca="false">IF(D$16=1,xCalcSkew($A117,N117-AW117,b)/100,0)</f>
        <v>#DIV/0!</v>
      </c>
      <c r="N117" s="41" t="n">
        <f aca="false">IF($D$19=4,$AW117,$D$18)</f>
        <v>2.44</v>
      </c>
      <c r="P117" s="40" t="n">
        <f aca="false">IF(P$28="nymex",0,VLOOKUP($A117,curvesettle,HLOOKUP(P$28,curvesettle,2,FALSE())))</f>
        <v>0</v>
      </c>
      <c r="Q117" s="219" t="n">
        <f aca="false">IF(P$28="NYMEX",$AD117,$AC117)</f>
        <v>-6028</v>
      </c>
      <c r="R117" s="220" t="e">
        <f aca="false">($C117+S117)+F$15</f>
        <v>#DIV/0!</v>
      </c>
      <c r="S117" s="4" t="e">
        <f aca="false">IF(F$16=1,xCalcSkew($A117,T117-BH117,b)/100,0)</f>
        <v>#DIV/0!</v>
      </c>
      <c r="T117" s="41" t="n">
        <f aca="false">IF($F$19=4,$BH117,$F$18)</f>
        <v>2.44</v>
      </c>
      <c r="V117" s="40" t="n">
        <f aca="false">IF(V$28="nymex",0,VLOOKUP($A117,curvesettle,HLOOKUP(V$28,curvesettle,2,FALSE())))</f>
        <v>0</v>
      </c>
      <c r="W117" s="219" t="n">
        <f aca="false">IF(V$28="NYMEX",$AD117,$AC117)</f>
        <v>-6028</v>
      </c>
      <c r="X117" s="4" t="e">
        <f aca="false">($C117+Y117)+H$15</f>
        <v>#DIV/0!</v>
      </c>
      <c r="Y117" s="4" t="e">
        <f aca="false">IF(H$16=1,xCalcSkew($A117,Z117-BS117,b)/100,0)</f>
        <v>#DIV/0!</v>
      </c>
      <c r="Z117" s="41" t="n">
        <f aca="false">IF($H$19=4,$BS117,$H$18)</f>
        <v>2.44</v>
      </c>
      <c r="AC117" s="219" t="n">
        <f aca="false">VLOOKUP($A117,expiration,2,FALSE())-$B$2</f>
        <v>-6027</v>
      </c>
      <c r="AD117" s="219" t="n">
        <f aca="false">VLOOKUP($A117,expiration,3,FALSE())-$B$2</f>
        <v>-6028</v>
      </c>
      <c r="AE117" s="4" t="n">
        <f aca="false">VLOOKUP($A117,STRADDLE,15,FALSE())</f>
        <v>0.0558262666067555</v>
      </c>
      <c r="AF117" s="43" t="n">
        <f aca="false">A118-A117</f>
        <v>30</v>
      </c>
      <c r="AI117" s="219"/>
      <c r="AJ117" s="9"/>
      <c r="AK117" s="9" t="n">
        <f aca="false">IF($A117&gt;=AL$25,IF($A117&lt;=AL$26,$AF117,0),0)</f>
        <v>0</v>
      </c>
      <c r="AL117" s="221" t="e">
        <f aca="false">AN117/AK117</f>
        <v>#DIV/0!</v>
      </c>
      <c r="AM117" s="1" t="n">
        <f aca="false">AK117*($B117+B$13)</f>
        <v>0</v>
      </c>
      <c r="AN117" s="33" t="n">
        <f aca="false">IF(ISNUMBER(((AM117/AK117)+B$14+$D117)*AK117),((AM117/AK117)+B$14+$D117)*AK117,0)</f>
        <v>0</v>
      </c>
      <c r="AO117" s="44" t="n">
        <f aca="false">IF(AK117=0,0,bsd(1,AP$27,AL117,$H117,$E117,$F117,$AE117,0.1))</f>
        <v>0</v>
      </c>
      <c r="AP117" s="44" t="n">
        <f aca="false">IF(AK117=0,0,bsd(2,AP$27,AL117,$H117,$E117,$F117,$AE117,0.1))</f>
        <v>0</v>
      </c>
      <c r="AQ117" s="44" t="n">
        <f aca="false">IF(AK117=0,0,bsd(AP$28,AP$27,AL117,$H117,$E117,$F117,$AE117,0.1))</f>
        <v>0</v>
      </c>
      <c r="AR117" s="45" t="n">
        <f aca="false">AK117*AO117</f>
        <v>0</v>
      </c>
      <c r="AS117" s="45" t="n">
        <f aca="false">AK117*AP117</f>
        <v>0</v>
      </c>
      <c r="AT117" s="45" t="n">
        <f aca="false">AK117*AQ117</f>
        <v>0</v>
      </c>
      <c r="AV117" s="9" t="n">
        <f aca="false">IF($A117&gt;=AW$25,IF($A117&lt;=AW$26,$AF117,0),0)</f>
        <v>0</v>
      </c>
      <c r="AW117" s="221" t="e">
        <f aca="false">AY117/AV117</f>
        <v>#DIV/0!</v>
      </c>
      <c r="AX117" s="1" t="n">
        <f aca="false">AV117*($B117+D$13)</f>
        <v>0</v>
      </c>
      <c r="AY117" s="33" t="n">
        <f aca="false">IF(ISNUMBER(((AX117/AV117)+D$14+$J117)*AV117),((AX117/AV117)+D$14+$J117)*AV117,0)</f>
        <v>0</v>
      </c>
      <c r="AZ117" s="44" t="n">
        <f aca="false">IF(AV117=0,0,bsd(1,BA$27,AW117,$N117,$K117,$L117,$AE117,0.1))</f>
        <v>0</v>
      </c>
      <c r="BA117" s="44" t="n">
        <f aca="false">IF(AV117=0,0,bsd(2,BA$27,AW117,$N117,$K117,$L117,$AE117,0.1))</f>
        <v>0</v>
      </c>
      <c r="BB117" s="44" t="n">
        <f aca="false">IF(AV117=0,0,bsd(BA$28,BA$27,AW117,$N117,$K117,$L117,$AE117,0.1))</f>
        <v>0</v>
      </c>
      <c r="BC117" s="45" t="n">
        <f aca="false">AV117*AZ117</f>
        <v>0</v>
      </c>
      <c r="BD117" s="45" t="n">
        <f aca="false">AV117*BA117</f>
        <v>0</v>
      </c>
      <c r="BE117" s="45" t="n">
        <f aca="false">AV117*BB117</f>
        <v>0</v>
      </c>
      <c r="BG117" s="9" t="n">
        <f aca="false">IF($A117&gt;=BH$25,IF($A117&lt;=BH$26,$AF117,0),0)</f>
        <v>0</v>
      </c>
      <c r="BH117" s="221" t="e">
        <f aca="false">BJ117/BG117</f>
        <v>#DIV/0!</v>
      </c>
      <c r="BI117" s="1" t="n">
        <f aca="false">BG117*($B117+F$13)</f>
        <v>0</v>
      </c>
      <c r="BJ117" s="33" t="n">
        <f aca="false">IF(ISNUMBER(((BI117/BG117)+F$14+$P117)*BG117),((BI117/BG117)+F$14+$P117)*BG117,0)</f>
        <v>0</v>
      </c>
      <c r="BK117" s="44" t="n">
        <f aca="false">IF(BG117=0,0,bsd(1,BL$27,BH117,$T117,$Q117,$R117,$AE117,0.1))</f>
        <v>0</v>
      </c>
      <c r="BL117" s="44" t="n">
        <f aca="false">IF(BG117=0,0,bsd(2,BL$27,BH117,$T117,$Q117,$R117,$AE117,0.1))</f>
        <v>0</v>
      </c>
      <c r="BM117" s="44" t="n">
        <f aca="false">IF(BG117=0,0,bsd(BL$28,BL$27,BH117,$T117,$Q117,$R117,$AE117,0.1))</f>
        <v>0</v>
      </c>
      <c r="BN117" s="45" t="n">
        <f aca="false">BG117*BK117</f>
        <v>0</v>
      </c>
      <c r="BO117" s="45" t="n">
        <f aca="false">BG117*BL117</f>
        <v>0</v>
      </c>
      <c r="BP117" s="45" t="n">
        <f aca="false">BG117*BM117</f>
        <v>0</v>
      </c>
      <c r="BR117" s="9" t="n">
        <f aca="false">IF($A117&gt;=BS$25,IF($A117&lt;=BS$26,$AF117,0),0)</f>
        <v>0</v>
      </c>
      <c r="BS117" s="221" t="e">
        <f aca="false">BU117/BR117</f>
        <v>#DIV/0!</v>
      </c>
      <c r="BT117" s="1" t="n">
        <f aca="false">BR117*($B117+H$13)</f>
        <v>0</v>
      </c>
      <c r="BU117" s="33" t="n">
        <f aca="false">IF(ISNUMBER(((BT117/BR117)+H$14+$V117)*BR117),((BT117/BR117)+H$14+$V117)*BR117,0)</f>
        <v>0</v>
      </c>
      <c r="BV117" s="44" t="n">
        <f aca="false">IF(BR117=0,0,bsd(1,BW$27,BS117,$Z117,$W117,$X117,$AE117,0.1))</f>
        <v>0</v>
      </c>
      <c r="BW117" s="44" t="n">
        <f aca="false">IF(BR117=0,0,bsd(2,BW$27,BS117,$Z117,$W117,$X117,$AE117,0.1))</f>
        <v>0</v>
      </c>
      <c r="BX117" s="44" t="n">
        <f aca="false">IF(BR117=0,0,bsd(BW$28,BW$27,BS117,$Z117,$W117,$X117,$AE117,0.1))</f>
        <v>0</v>
      </c>
      <c r="BY117" s="45" t="n">
        <f aca="false">BR117*BV117</f>
        <v>0</v>
      </c>
      <c r="BZ117" s="45" t="n">
        <f aca="false">BR117*BW117</f>
        <v>0</v>
      </c>
      <c r="CA117" s="45" t="n">
        <f aca="false">BR117*BX117</f>
        <v>0</v>
      </c>
    </row>
    <row r="118" customFormat="false" ht="12.75" hidden="false" customHeight="false" outlineLevel="0" collapsed="false">
      <c r="A118" s="48" t="n">
        <f aca="false">DATE(YEAR(A117),MONTH(A117)+1,1)</f>
        <v>39934</v>
      </c>
      <c r="B118" s="40" t="n">
        <f aca="false">VLOOKUP(A118,STRADDLE,5,FALSE())</f>
        <v>3.284</v>
      </c>
      <c r="C118" s="4" t="e">
        <f aca="false">VLOOKUP(A118,STRADDLE,6,FALSE())</f>
        <v>#VALUE!</v>
      </c>
      <c r="D118" s="40" t="n">
        <f aca="false">IF(D$28="nymex",0,VLOOKUP($A118,curvesettle,HLOOKUP(D$28,curvesettle,2,FALSE())))</f>
        <v>0</v>
      </c>
      <c r="E118" s="219" t="n">
        <f aca="false">IF(D$28="NYMEX",$AD118,$AC118)</f>
        <v>-5996</v>
      </c>
      <c r="F118" s="4" t="e">
        <f aca="false">($C118+G118)+B$15</f>
        <v>#DIV/0!</v>
      </c>
      <c r="G118" s="4" t="e">
        <f aca="false">IF(B$16=1,xCalcSkew(A118,H118-AL118,b)/100,0)</f>
        <v>#DIV/0!</v>
      </c>
      <c r="H118" s="41" t="n">
        <f aca="false">IF($B$19=4,$AL118,$B$18)</f>
        <v>2.44</v>
      </c>
      <c r="J118" s="40" t="n">
        <f aca="false">IF(J$28="nymex",0,VLOOKUP($A118,curvesettle,HLOOKUP(J$28,curvesettle,2,FALSE())))</f>
        <v>0</v>
      </c>
      <c r="K118" s="219" t="n">
        <f aca="false">IF(J$28="NYMEX",$AD118,$AC118)</f>
        <v>-5996</v>
      </c>
      <c r="L118" s="220" t="e">
        <f aca="false">($C118+M118)+D$15</f>
        <v>#DIV/0!</v>
      </c>
      <c r="M118" s="4" t="e">
        <f aca="false">IF(D$16=1,xCalcSkew($A118,N118-AW118,b)/100,0)</f>
        <v>#DIV/0!</v>
      </c>
      <c r="N118" s="41" t="n">
        <f aca="false">IF($D$19=4,$AW118,$D$18)</f>
        <v>2.44</v>
      </c>
      <c r="P118" s="40" t="n">
        <f aca="false">IF(P$28="nymex",0,VLOOKUP($A118,curvesettle,HLOOKUP(P$28,curvesettle,2,FALSE())))</f>
        <v>0</v>
      </c>
      <c r="Q118" s="219" t="n">
        <f aca="false">IF(P$28="NYMEX",$AD118,$AC118)</f>
        <v>-5996</v>
      </c>
      <c r="R118" s="220" t="e">
        <f aca="false">($C118+S118)+F$15</f>
        <v>#DIV/0!</v>
      </c>
      <c r="S118" s="4" t="e">
        <f aca="false">IF(F$16=1,xCalcSkew($A118,T118-BH118,b)/100,0)</f>
        <v>#DIV/0!</v>
      </c>
      <c r="T118" s="41" t="n">
        <f aca="false">IF($F$19=4,$BH118,$F$18)</f>
        <v>2.44</v>
      </c>
      <c r="V118" s="40" t="n">
        <f aca="false">IF(V$28="nymex",0,VLOOKUP($A118,curvesettle,HLOOKUP(V$28,curvesettle,2,FALSE())))</f>
        <v>0</v>
      </c>
      <c r="W118" s="219" t="n">
        <f aca="false">IF(V$28="NYMEX",$AD118,$AC118)</f>
        <v>-5996</v>
      </c>
      <c r="X118" s="4" t="e">
        <f aca="false">($C118+Y118)+H$15</f>
        <v>#DIV/0!</v>
      </c>
      <c r="Y118" s="4" t="e">
        <f aca="false">IF(H$16=1,xCalcSkew($A118,Z118-BS118,b)/100,0)</f>
        <v>#DIV/0!</v>
      </c>
      <c r="Z118" s="41" t="n">
        <f aca="false">IF($H$19=4,$BS118,$H$18)</f>
        <v>2.44</v>
      </c>
      <c r="AC118" s="219" t="n">
        <f aca="false">VLOOKUP($A118,expiration,2,FALSE())-$B$2</f>
        <v>-5995</v>
      </c>
      <c r="AD118" s="219" t="n">
        <f aca="false">VLOOKUP($A118,expiration,3,FALSE())-$B$2</f>
        <v>-5996</v>
      </c>
      <c r="AE118" s="4" t="n">
        <f aca="false">VLOOKUP($A118,STRADDLE,15,FALSE())</f>
        <v>0.0559297649971344</v>
      </c>
      <c r="AF118" s="43" t="n">
        <f aca="false">A119-A118</f>
        <v>31</v>
      </c>
      <c r="AI118" s="219"/>
      <c r="AJ118" s="9"/>
      <c r="AK118" s="9" t="n">
        <f aca="false">IF($A118&gt;=AL$25,IF($A118&lt;=AL$26,$AF118,0),0)</f>
        <v>0</v>
      </c>
      <c r="AL118" s="221" t="e">
        <f aca="false">AN118/AK118</f>
        <v>#DIV/0!</v>
      </c>
      <c r="AM118" s="1" t="n">
        <f aca="false">AK118*($B118+B$13)</f>
        <v>0</v>
      </c>
      <c r="AN118" s="33" t="n">
        <f aca="false">IF(ISNUMBER(((AM118/AK118)+B$14+$D118)*AK118),((AM118/AK118)+B$14+$D118)*AK118,0)</f>
        <v>0</v>
      </c>
      <c r="AO118" s="44" t="n">
        <f aca="false">IF(AK118=0,0,bsd(1,AP$27,AL118,$H118,$E118,$F118,$AE118,0.1))</f>
        <v>0</v>
      </c>
      <c r="AP118" s="44" t="n">
        <f aca="false">IF(AK118=0,0,bsd(2,AP$27,AL118,$H118,$E118,$F118,$AE118,0.1))</f>
        <v>0</v>
      </c>
      <c r="AQ118" s="44" t="n">
        <f aca="false">IF(AK118=0,0,bsd(AP$28,AP$27,AL118,$H118,$E118,$F118,$AE118,0.1))</f>
        <v>0</v>
      </c>
      <c r="AR118" s="45" t="n">
        <f aca="false">AK118*AO118</f>
        <v>0</v>
      </c>
      <c r="AS118" s="45" t="n">
        <f aca="false">AK118*AP118</f>
        <v>0</v>
      </c>
      <c r="AT118" s="45" t="n">
        <f aca="false">AK118*AQ118</f>
        <v>0</v>
      </c>
      <c r="AV118" s="9" t="n">
        <f aca="false">IF($A118&gt;=AW$25,IF($A118&lt;=AW$26,$AF118,0),0)</f>
        <v>0</v>
      </c>
      <c r="AW118" s="221" t="e">
        <f aca="false">AY118/AV118</f>
        <v>#DIV/0!</v>
      </c>
      <c r="AX118" s="1" t="n">
        <f aca="false">AV118*($B118+D$13)</f>
        <v>0</v>
      </c>
      <c r="AY118" s="33" t="n">
        <f aca="false">IF(ISNUMBER(((AX118/AV118)+D$14+$J118)*AV118),((AX118/AV118)+D$14+$J118)*AV118,0)</f>
        <v>0</v>
      </c>
      <c r="AZ118" s="44" t="n">
        <f aca="false">IF(AV118=0,0,bsd(1,BA$27,AW118,$N118,$K118,$L118,$AE118,0.1))</f>
        <v>0</v>
      </c>
      <c r="BA118" s="44" t="n">
        <f aca="false">IF(AV118=0,0,bsd(2,BA$27,AW118,$N118,$K118,$L118,$AE118,0.1))</f>
        <v>0</v>
      </c>
      <c r="BB118" s="44" t="n">
        <f aca="false">IF(AV118=0,0,bsd(BA$28,BA$27,AW118,$N118,$K118,$L118,$AE118,0.1))</f>
        <v>0</v>
      </c>
      <c r="BC118" s="45" t="n">
        <f aca="false">AV118*AZ118</f>
        <v>0</v>
      </c>
      <c r="BD118" s="45" t="n">
        <f aca="false">AV118*BA118</f>
        <v>0</v>
      </c>
      <c r="BE118" s="45" t="n">
        <f aca="false">AV118*BB118</f>
        <v>0</v>
      </c>
      <c r="BG118" s="9" t="n">
        <f aca="false">IF($A118&gt;=BH$25,IF($A118&lt;=BH$26,$AF118,0),0)</f>
        <v>0</v>
      </c>
      <c r="BH118" s="221" t="e">
        <f aca="false">BJ118/BG118</f>
        <v>#DIV/0!</v>
      </c>
      <c r="BI118" s="1" t="n">
        <f aca="false">BG118*($B118+F$13)</f>
        <v>0</v>
      </c>
      <c r="BJ118" s="33" t="n">
        <f aca="false">IF(ISNUMBER(((BI118/BG118)+F$14+$P118)*BG118),((BI118/BG118)+F$14+$P118)*BG118,0)</f>
        <v>0</v>
      </c>
      <c r="BK118" s="44" t="n">
        <f aca="false">IF(BG118=0,0,bsd(1,BL$27,BH118,$T118,$Q118,$R118,$AE118,0.1))</f>
        <v>0</v>
      </c>
      <c r="BL118" s="44" t="n">
        <f aca="false">IF(BG118=0,0,bsd(2,BL$27,BH118,$T118,$Q118,$R118,$AE118,0.1))</f>
        <v>0</v>
      </c>
      <c r="BM118" s="44" t="n">
        <f aca="false">IF(BG118=0,0,bsd(BL$28,BL$27,BH118,$T118,$Q118,$R118,$AE118,0.1))</f>
        <v>0</v>
      </c>
      <c r="BN118" s="45" t="n">
        <f aca="false">BG118*BK118</f>
        <v>0</v>
      </c>
      <c r="BO118" s="45" t="n">
        <f aca="false">BG118*BL118</f>
        <v>0</v>
      </c>
      <c r="BP118" s="45" t="n">
        <f aca="false">BG118*BM118</f>
        <v>0</v>
      </c>
      <c r="BR118" s="9" t="n">
        <f aca="false">IF($A118&gt;=BS$25,IF($A118&lt;=BS$26,$AF118,0),0)</f>
        <v>0</v>
      </c>
      <c r="BS118" s="221" t="e">
        <f aca="false">BU118/BR118</f>
        <v>#DIV/0!</v>
      </c>
      <c r="BT118" s="1" t="n">
        <f aca="false">BR118*($B118+H$13)</f>
        <v>0</v>
      </c>
      <c r="BU118" s="33" t="n">
        <f aca="false">IF(ISNUMBER(((BT118/BR118)+H$14+$V118)*BR118),((BT118/BR118)+H$14+$V118)*BR118,0)</f>
        <v>0</v>
      </c>
      <c r="BV118" s="44" t="n">
        <f aca="false">IF(BR118=0,0,bsd(1,BW$27,BS118,$Z118,$W118,$X118,$AE118,0.1))</f>
        <v>0</v>
      </c>
      <c r="BW118" s="44" t="n">
        <f aca="false">IF(BR118=0,0,bsd(2,BW$27,BS118,$Z118,$W118,$X118,$AE118,0.1))</f>
        <v>0</v>
      </c>
      <c r="BX118" s="44" t="n">
        <f aca="false">IF(BR118=0,0,bsd(BW$28,BW$27,BS118,$Z118,$W118,$X118,$AE118,0.1))</f>
        <v>0</v>
      </c>
      <c r="BY118" s="45" t="n">
        <f aca="false">BR118*BV118</f>
        <v>0</v>
      </c>
      <c r="BZ118" s="45" t="n">
        <f aca="false">BR118*BW118</f>
        <v>0</v>
      </c>
      <c r="CA118" s="45" t="n">
        <f aca="false">BR118*BX118</f>
        <v>0</v>
      </c>
    </row>
    <row r="119" customFormat="false" ht="12.75" hidden="false" customHeight="false" outlineLevel="0" collapsed="false">
      <c r="A119" s="48" t="n">
        <f aca="false">DATE(YEAR(A118),MONTH(A118)+1,1)</f>
        <v>39965</v>
      </c>
      <c r="B119" s="40" t="n">
        <f aca="false">VLOOKUP(A119,STRADDLE,5,FALSE())</f>
        <v>3.324</v>
      </c>
      <c r="C119" s="4" t="e">
        <f aca="false">VLOOKUP(A119,STRADDLE,6,FALSE())</f>
        <v>#VALUE!</v>
      </c>
      <c r="D119" s="40" t="n">
        <f aca="false">IF(D$28="nymex",0,VLOOKUP($A119,curvesettle,HLOOKUP(D$28,curvesettle,2,FALSE())))</f>
        <v>0</v>
      </c>
      <c r="E119" s="219" t="n">
        <f aca="false">IF(D$28="NYMEX",$AD119,$AC119)</f>
        <v>-5967</v>
      </c>
      <c r="F119" s="4" t="e">
        <f aca="false">($C119+G119)+B$15</f>
        <v>#DIV/0!</v>
      </c>
      <c r="G119" s="4" t="e">
        <f aca="false">IF(B$16=1,xCalcSkew(A119,H119-AL119,b)/100,0)</f>
        <v>#DIV/0!</v>
      </c>
      <c r="H119" s="41" t="n">
        <f aca="false">IF($B$19=4,$AL119,$B$18)</f>
        <v>2.44</v>
      </c>
      <c r="J119" s="40" t="n">
        <f aca="false">IF(J$28="nymex",0,VLOOKUP($A119,curvesettle,HLOOKUP(J$28,curvesettle,2,FALSE())))</f>
        <v>0</v>
      </c>
      <c r="K119" s="219" t="n">
        <f aca="false">IF(J$28="NYMEX",$AD119,$AC119)</f>
        <v>-5967</v>
      </c>
      <c r="L119" s="220" t="e">
        <f aca="false">($C119+M119)+D$15</f>
        <v>#DIV/0!</v>
      </c>
      <c r="M119" s="4" t="e">
        <f aca="false">IF(D$16=1,xCalcSkew($A119,N119-AW119,b)/100,0)</f>
        <v>#DIV/0!</v>
      </c>
      <c r="N119" s="41" t="n">
        <f aca="false">IF($D$19=4,$AW119,$D$18)</f>
        <v>2.44</v>
      </c>
      <c r="P119" s="40" t="n">
        <f aca="false">IF(P$28="nymex",0,VLOOKUP($A119,curvesettle,HLOOKUP(P$28,curvesettle,2,FALSE())))</f>
        <v>0</v>
      </c>
      <c r="Q119" s="219" t="n">
        <f aca="false">IF(P$28="NYMEX",$AD119,$AC119)</f>
        <v>-5967</v>
      </c>
      <c r="R119" s="220" t="e">
        <f aca="false">($C119+S119)+F$15</f>
        <v>#DIV/0!</v>
      </c>
      <c r="S119" s="4" t="e">
        <f aca="false">IF(F$16=1,xCalcSkew($A119,T119-BH119,b)/100,0)</f>
        <v>#DIV/0!</v>
      </c>
      <c r="T119" s="41" t="n">
        <f aca="false">IF($F$19=4,$BH119,$F$18)</f>
        <v>2.44</v>
      </c>
      <c r="V119" s="40" t="n">
        <f aca="false">IF(V$28="nymex",0,VLOOKUP($A119,curvesettle,HLOOKUP(V$28,curvesettle,2,FALSE())))</f>
        <v>0</v>
      </c>
      <c r="W119" s="219" t="n">
        <f aca="false">IF(V$28="NYMEX",$AD119,$AC119)</f>
        <v>-5967</v>
      </c>
      <c r="X119" s="4" t="e">
        <f aca="false">($C119+Y119)+H$15</f>
        <v>#DIV/0!</v>
      </c>
      <c r="Y119" s="4" t="e">
        <f aca="false">IF(H$16=1,xCalcSkew($A119,Z119-BS119,b)/100,0)</f>
        <v>#DIV/0!</v>
      </c>
      <c r="Z119" s="41" t="n">
        <f aca="false">IF($H$19=4,$BS119,$H$18)</f>
        <v>2.44</v>
      </c>
      <c r="AC119" s="219" t="n">
        <f aca="false">VLOOKUP($A119,expiration,2,FALSE())-$B$2</f>
        <v>-5966</v>
      </c>
      <c r="AD119" s="219" t="n">
        <f aca="false">VLOOKUP($A119,expiration,3,FALSE())-$B$2</f>
        <v>-5967</v>
      </c>
      <c r="AE119" s="4" t="n">
        <f aca="false">VLOOKUP($A119,STRADDLE,15,FALSE())</f>
        <v>0.0560299247331555</v>
      </c>
      <c r="AF119" s="43" t="n">
        <f aca="false">A120-A119</f>
        <v>30</v>
      </c>
      <c r="AI119" s="219"/>
      <c r="AJ119" s="9"/>
      <c r="AK119" s="9" t="n">
        <f aca="false">IF($A119&gt;=AL$25,IF($A119&lt;=AL$26,$AF119,0),0)</f>
        <v>0</v>
      </c>
      <c r="AL119" s="221" t="e">
        <f aca="false">AN119/AK119</f>
        <v>#DIV/0!</v>
      </c>
      <c r="AM119" s="1" t="n">
        <f aca="false">AK119*($B119+B$13)</f>
        <v>0</v>
      </c>
      <c r="AN119" s="33" t="n">
        <f aca="false">IF(ISNUMBER(((AM119/AK119)+B$14+$D119)*AK119),((AM119/AK119)+B$14+$D119)*AK119,0)</f>
        <v>0</v>
      </c>
      <c r="AO119" s="44" t="n">
        <f aca="false">IF(AK119=0,0,bsd(1,AP$27,AL119,$H119,$E119,$F119,$AE119,0.1))</f>
        <v>0</v>
      </c>
      <c r="AP119" s="44" t="n">
        <f aca="false">IF(AK119=0,0,bsd(2,AP$27,AL119,$H119,$E119,$F119,$AE119,0.1))</f>
        <v>0</v>
      </c>
      <c r="AQ119" s="44" t="n">
        <f aca="false">IF(AK119=0,0,bsd(AP$28,AP$27,AL119,$H119,$E119,$F119,$AE119,0.1))</f>
        <v>0</v>
      </c>
      <c r="AR119" s="45" t="n">
        <f aca="false">AK119*AO119</f>
        <v>0</v>
      </c>
      <c r="AS119" s="45" t="n">
        <f aca="false">AK119*AP119</f>
        <v>0</v>
      </c>
      <c r="AT119" s="45" t="n">
        <f aca="false">AK119*AQ119</f>
        <v>0</v>
      </c>
      <c r="AV119" s="9" t="n">
        <f aca="false">IF($A119&gt;=AW$25,IF($A119&lt;=AW$26,$AF119,0),0)</f>
        <v>0</v>
      </c>
      <c r="AW119" s="221" t="e">
        <f aca="false">AY119/AV119</f>
        <v>#DIV/0!</v>
      </c>
      <c r="AX119" s="1" t="n">
        <f aca="false">AV119*($B119+D$13)</f>
        <v>0</v>
      </c>
      <c r="AY119" s="33" t="n">
        <f aca="false">IF(ISNUMBER(((AX119/AV119)+D$14+$J119)*AV119),((AX119/AV119)+D$14+$J119)*AV119,0)</f>
        <v>0</v>
      </c>
      <c r="AZ119" s="44" t="n">
        <f aca="false">IF(AV119=0,0,bsd(1,BA$27,AW119,$N119,$K119,$L119,$AE119,0.1))</f>
        <v>0</v>
      </c>
      <c r="BA119" s="44" t="n">
        <f aca="false">IF(AV119=0,0,bsd(2,BA$27,AW119,$N119,$K119,$L119,$AE119,0.1))</f>
        <v>0</v>
      </c>
      <c r="BB119" s="44" t="n">
        <f aca="false">IF(AV119=0,0,bsd(BA$28,BA$27,AW119,$N119,$K119,$L119,$AE119,0.1))</f>
        <v>0</v>
      </c>
      <c r="BC119" s="45" t="n">
        <f aca="false">AV119*AZ119</f>
        <v>0</v>
      </c>
      <c r="BD119" s="45" t="n">
        <f aca="false">AV119*BA119</f>
        <v>0</v>
      </c>
      <c r="BE119" s="45" t="n">
        <f aca="false">AV119*BB119</f>
        <v>0</v>
      </c>
      <c r="BG119" s="9" t="n">
        <f aca="false">IF($A119&gt;=BH$25,IF($A119&lt;=BH$26,$AF119,0),0)</f>
        <v>0</v>
      </c>
      <c r="BH119" s="221" t="e">
        <f aca="false">BJ119/BG119</f>
        <v>#DIV/0!</v>
      </c>
      <c r="BI119" s="1" t="n">
        <f aca="false">BG119*($B119+F$13)</f>
        <v>0</v>
      </c>
      <c r="BJ119" s="33" t="n">
        <f aca="false">IF(ISNUMBER(((BI119/BG119)+F$14+$P119)*BG119),((BI119/BG119)+F$14+$P119)*BG119,0)</f>
        <v>0</v>
      </c>
      <c r="BK119" s="44" t="n">
        <f aca="false">IF(BG119=0,0,bsd(1,BL$27,BH119,$T119,$Q119,$R119,$AE119,0.1))</f>
        <v>0</v>
      </c>
      <c r="BL119" s="44" t="n">
        <f aca="false">IF(BG119=0,0,bsd(2,BL$27,BH119,$T119,$Q119,$R119,$AE119,0.1))</f>
        <v>0</v>
      </c>
      <c r="BM119" s="44" t="n">
        <f aca="false">IF(BG119=0,0,bsd(BL$28,BL$27,BH119,$T119,$Q119,$R119,$AE119,0.1))</f>
        <v>0</v>
      </c>
      <c r="BN119" s="45" t="n">
        <f aca="false">BG119*BK119</f>
        <v>0</v>
      </c>
      <c r="BO119" s="45" t="n">
        <f aca="false">BG119*BL119</f>
        <v>0</v>
      </c>
      <c r="BP119" s="45" t="n">
        <f aca="false">BG119*BM119</f>
        <v>0</v>
      </c>
      <c r="BR119" s="9" t="n">
        <f aca="false">IF($A119&gt;=BS$25,IF($A119&lt;=BS$26,$AF119,0),0)</f>
        <v>0</v>
      </c>
      <c r="BS119" s="221" t="e">
        <f aca="false">BU119/BR119</f>
        <v>#DIV/0!</v>
      </c>
      <c r="BT119" s="1" t="n">
        <f aca="false">BR119*($B119+H$13)</f>
        <v>0</v>
      </c>
      <c r="BU119" s="33" t="n">
        <f aca="false">IF(ISNUMBER(((BT119/BR119)+H$14+$V119)*BR119),((BT119/BR119)+H$14+$V119)*BR119,0)</f>
        <v>0</v>
      </c>
      <c r="BV119" s="44" t="n">
        <f aca="false">IF(BR119=0,0,bsd(1,BW$27,BS119,$Z119,$W119,$X119,$AE119,0.1))</f>
        <v>0</v>
      </c>
      <c r="BW119" s="44" t="n">
        <f aca="false">IF(BR119=0,0,bsd(2,BW$27,BS119,$Z119,$W119,$X119,$AE119,0.1))</f>
        <v>0</v>
      </c>
      <c r="BX119" s="44" t="n">
        <f aca="false">IF(BR119=0,0,bsd(BW$28,BW$27,BS119,$Z119,$W119,$X119,$AE119,0.1))</f>
        <v>0</v>
      </c>
      <c r="BY119" s="45" t="n">
        <f aca="false">BR119*BV119</f>
        <v>0</v>
      </c>
      <c r="BZ119" s="45" t="n">
        <f aca="false">BR119*BW119</f>
        <v>0</v>
      </c>
      <c r="CA119" s="45" t="n">
        <f aca="false">BR119*BX119</f>
        <v>0</v>
      </c>
    </row>
    <row r="120" customFormat="false" ht="12.75" hidden="false" customHeight="false" outlineLevel="0" collapsed="false">
      <c r="A120" s="48" t="n">
        <f aca="false">DATE(YEAR(A119),MONTH(A119)+1,1)</f>
        <v>39995</v>
      </c>
      <c r="B120" s="40" t="n">
        <f aca="false">VLOOKUP(A120,STRADDLE,5,FALSE())</f>
        <v>3.364</v>
      </c>
      <c r="C120" s="4" t="e">
        <f aca="false">VLOOKUP(A120,STRADDLE,6,FALSE())</f>
        <v>#VALUE!</v>
      </c>
      <c r="D120" s="40" t="n">
        <f aca="false">IF(D$28="nymex",0,VLOOKUP($A120,curvesettle,HLOOKUP(D$28,curvesettle,2,FALSE())))</f>
        <v>0</v>
      </c>
      <c r="E120" s="219" t="n">
        <f aca="false">IF(D$28="NYMEX",$AD120,$AC120)</f>
        <v>-5937</v>
      </c>
      <c r="F120" s="4" t="e">
        <f aca="false">($C120+G120)+B$15</f>
        <v>#DIV/0!</v>
      </c>
      <c r="G120" s="4" t="e">
        <f aca="false">IF(B$16=1,xCalcSkew(A120,H120-AL120,b)/100,0)</f>
        <v>#DIV/0!</v>
      </c>
      <c r="H120" s="41" t="n">
        <f aca="false">IF($B$19=4,$AL120,$B$18)</f>
        <v>2.44</v>
      </c>
      <c r="J120" s="40" t="n">
        <f aca="false">IF(J$28="nymex",0,VLOOKUP($A120,curvesettle,HLOOKUP(J$28,curvesettle,2,FALSE())))</f>
        <v>0</v>
      </c>
      <c r="K120" s="219" t="n">
        <f aca="false">IF(J$28="NYMEX",$AD120,$AC120)</f>
        <v>-5937</v>
      </c>
      <c r="L120" s="220" t="e">
        <f aca="false">($C120+M120)+D$15</f>
        <v>#DIV/0!</v>
      </c>
      <c r="M120" s="4" t="e">
        <f aca="false">IF(D$16=1,xCalcSkew($A120,N120-AW120,b)/100,0)</f>
        <v>#DIV/0!</v>
      </c>
      <c r="N120" s="41" t="n">
        <f aca="false">IF($D$19=4,$AW120,$D$18)</f>
        <v>2.44</v>
      </c>
      <c r="P120" s="40" t="n">
        <f aca="false">IF(P$28="nymex",0,VLOOKUP($A120,curvesettle,HLOOKUP(P$28,curvesettle,2,FALSE())))</f>
        <v>0</v>
      </c>
      <c r="Q120" s="219" t="n">
        <f aca="false">IF(P$28="NYMEX",$AD120,$AC120)</f>
        <v>-5937</v>
      </c>
      <c r="R120" s="220" t="e">
        <f aca="false">($C120+S120)+F$15</f>
        <v>#DIV/0!</v>
      </c>
      <c r="S120" s="4" t="e">
        <f aca="false">IF(F$16=1,xCalcSkew($A120,T120-BH120,b)/100,0)</f>
        <v>#DIV/0!</v>
      </c>
      <c r="T120" s="41" t="n">
        <f aca="false">IF($F$19=4,$BH120,$F$18)</f>
        <v>2.44</v>
      </c>
      <c r="V120" s="40" t="n">
        <f aca="false">IF(V$28="nymex",0,VLOOKUP($A120,curvesettle,HLOOKUP(V$28,curvesettle,2,FALSE())))</f>
        <v>0</v>
      </c>
      <c r="W120" s="219" t="n">
        <f aca="false">IF(V$28="NYMEX",$AD120,$AC120)</f>
        <v>-5937</v>
      </c>
      <c r="X120" s="4" t="e">
        <f aca="false">($C120+Y120)+H$15</f>
        <v>#DIV/0!</v>
      </c>
      <c r="Y120" s="4" t="e">
        <f aca="false">IF(H$16=1,xCalcSkew($A120,Z120-BS120,b)/100,0)</f>
        <v>#DIV/0!</v>
      </c>
      <c r="Z120" s="41" t="n">
        <f aca="false">IF($H$19=4,$BS120,$H$18)</f>
        <v>2.44</v>
      </c>
      <c r="AC120" s="219" t="n">
        <f aca="false">VLOOKUP($A120,expiration,2,FALSE())-$B$2</f>
        <v>-5936</v>
      </c>
      <c r="AD120" s="219" t="n">
        <f aca="false">VLOOKUP($A120,expiration,3,FALSE())-$B$2</f>
        <v>-5937</v>
      </c>
      <c r="AE120" s="4" t="n">
        <f aca="false">VLOOKUP($A120,STRADDLE,15,FALSE())</f>
        <v>0.0561334231305515</v>
      </c>
      <c r="AF120" s="43" t="n">
        <f aca="false">A121-A120</f>
        <v>31</v>
      </c>
      <c r="AI120" s="219"/>
      <c r="AJ120" s="9"/>
      <c r="AK120" s="9" t="n">
        <f aca="false">IF($A120&gt;=AL$25,IF($A120&lt;=AL$26,$AF120,0),0)</f>
        <v>0</v>
      </c>
      <c r="AL120" s="221" t="e">
        <f aca="false">AN120/AK120</f>
        <v>#DIV/0!</v>
      </c>
      <c r="AM120" s="1" t="n">
        <f aca="false">AK120*($B120+B$13)</f>
        <v>0</v>
      </c>
      <c r="AN120" s="33" t="n">
        <f aca="false">IF(ISNUMBER(((AM120/AK120)+B$14+$D120)*AK120),((AM120/AK120)+B$14+$D120)*AK120,0)</f>
        <v>0</v>
      </c>
      <c r="AO120" s="44" t="n">
        <f aca="false">IF(AK120=0,0,bsd(1,AP$27,AL120,$H120,$E120,$F120,$AE120,0.1))</f>
        <v>0</v>
      </c>
      <c r="AP120" s="44" t="n">
        <f aca="false">IF(AK120=0,0,bsd(2,AP$27,AL120,$H120,$E120,$F120,$AE120,0.1))</f>
        <v>0</v>
      </c>
      <c r="AQ120" s="44" t="n">
        <f aca="false">IF(AK120=0,0,bsd(AP$28,AP$27,AL120,$H120,$E120,$F120,$AE120,0.1))</f>
        <v>0</v>
      </c>
      <c r="AR120" s="45" t="n">
        <f aca="false">AK120*AO120</f>
        <v>0</v>
      </c>
      <c r="AS120" s="45" t="n">
        <f aca="false">AK120*AP120</f>
        <v>0</v>
      </c>
      <c r="AT120" s="45" t="n">
        <f aca="false">AK120*AQ120</f>
        <v>0</v>
      </c>
      <c r="AV120" s="9" t="n">
        <f aca="false">IF($A120&gt;=AW$25,IF($A120&lt;=AW$26,$AF120,0),0)</f>
        <v>0</v>
      </c>
      <c r="AW120" s="221" t="e">
        <f aca="false">AY120/AV120</f>
        <v>#DIV/0!</v>
      </c>
      <c r="AX120" s="1" t="n">
        <f aca="false">AV120*($B120+D$13)</f>
        <v>0</v>
      </c>
      <c r="AY120" s="33" t="n">
        <f aca="false">IF(ISNUMBER(((AX120/AV120)+D$14+$J120)*AV120),((AX120/AV120)+D$14+$J120)*AV120,0)</f>
        <v>0</v>
      </c>
      <c r="AZ120" s="44" t="n">
        <f aca="false">IF(AV120=0,0,bsd(1,BA$27,AW120,$N120,$K120,$L120,$AE120,0.1))</f>
        <v>0</v>
      </c>
      <c r="BA120" s="44" t="n">
        <f aca="false">IF(AV120=0,0,bsd(2,BA$27,AW120,$N120,$K120,$L120,$AE120,0.1))</f>
        <v>0</v>
      </c>
      <c r="BB120" s="44" t="n">
        <f aca="false">IF(AV120=0,0,bsd(BA$28,BA$27,AW120,$N120,$K120,$L120,$AE120,0.1))</f>
        <v>0</v>
      </c>
      <c r="BC120" s="45" t="n">
        <f aca="false">AV120*AZ120</f>
        <v>0</v>
      </c>
      <c r="BD120" s="45" t="n">
        <f aca="false">AV120*BA120</f>
        <v>0</v>
      </c>
      <c r="BE120" s="45" t="n">
        <f aca="false">AV120*BB120</f>
        <v>0</v>
      </c>
      <c r="BG120" s="9" t="n">
        <f aca="false">IF($A120&gt;=BH$25,IF($A120&lt;=BH$26,$AF120,0),0)</f>
        <v>0</v>
      </c>
      <c r="BH120" s="221" t="e">
        <f aca="false">BJ120/BG120</f>
        <v>#DIV/0!</v>
      </c>
      <c r="BI120" s="1" t="n">
        <f aca="false">BG120*($B120+F$13)</f>
        <v>0</v>
      </c>
      <c r="BJ120" s="33" t="n">
        <f aca="false">IF(ISNUMBER(((BI120/BG120)+F$14+$P120)*BG120),((BI120/BG120)+F$14+$P120)*BG120,0)</f>
        <v>0</v>
      </c>
      <c r="BK120" s="44" t="n">
        <f aca="false">IF(BG120=0,0,bsd(1,BL$27,BH120,$T120,$Q120,$R120,$AE120,0.1))</f>
        <v>0</v>
      </c>
      <c r="BL120" s="44" t="n">
        <f aca="false">IF(BG120=0,0,bsd(2,BL$27,BH120,$T120,$Q120,$R120,$AE120,0.1))</f>
        <v>0</v>
      </c>
      <c r="BM120" s="44" t="n">
        <f aca="false">IF(BG120=0,0,bsd(BL$28,BL$27,BH120,$T120,$Q120,$R120,$AE120,0.1))</f>
        <v>0</v>
      </c>
      <c r="BN120" s="45" t="n">
        <f aca="false">BG120*BK120</f>
        <v>0</v>
      </c>
      <c r="BO120" s="45" t="n">
        <f aca="false">BG120*BL120</f>
        <v>0</v>
      </c>
      <c r="BP120" s="45" t="n">
        <f aca="false">BG120*BM120</f>
        <v>0</v>
      </c>
      <c r="BR120" s="9" t="n">
        <f aca="false">IF($A120&gt;=BS$25,IF($A120&lt;=BS$26,$AF120,0),0)</f>
        <v>0</v>
      </c>
      <c r="BS120" s="221" t="e">
        <f aca="false">BU120/BR120</f>
        <v>#DIV/0!</v>
      </c>
      <c r="BT120" s="1" t="n">
        <f aca="false">BR120*($B120+H$13)</f>
        <v>0</v>
      </c>
      <c r="BU120" s="33" t="n">
        <f aca="false">IF(ISNUMBER(((BT120/BR120)+H$14+$V120)*BR120),((BT120/BR120)+H$14+$V120)*BR120,0)</f>
        <v>0</v>
      </c>
      <c r="BV120" s="44" t="n">
        <f aca="false">IF(BR120=0,0,bsd(1,BW$27,BS120,$Z120,$W120,$X120,$AE120,0.1))</f>
        <v>0</v>
      </c>
      <c r="BW120" s="44" t="n">
        <f aca="false">IF(BR120=0,0,bsd(2,BW$27,BS120,$Z120,$W120,$X120,$AE120,0.1))</f>
        <v>0</v>
      </c>
      <c r="BX120" s="44" t="n">
        <f aca="false">IF(BR120=0,0,bsd(BW$28,BW$27,BS120,$Z120,$W120,$X120,$AE120,0.1))</f>
        <v>0</v>
      </c>
      <c r="BY120" s="45" t="n">
        <f aca="false">BR120*BV120</f>
        <v>0</v>
      </c>
      <c r="BZ120" s="45" t="n">
        <f aca="false">BR120*BW120</f>
        <v>0</v>
      </c>
      <c r="CA120" s="45" t="n">
        <f aca="false">BR120*BX120</f>
        <v>0</v>
      </c>
    </row>
    <row r="121" customFormat="false" ht="12.75" hidden="false" customHeight="false" outlineLevel="0" collapsed="false">
      <c r="A121" s="48" t="n">
        <f aca="false">DATE(YEAR(A120),MONTH(A120)+1,1)</f>
        <v>40026</v>
      </c>
      <c r="B121" s="40" t="n">
        <f aca="false">VLOOKUP(A121,STRADDLE,5,FALSE())</f>
        <v>3.414</v>
      </c>
      <c r="C121" s="4" t="e">
        <f aca="false">VLOOKUP(A121,STRADDLE,6,FALSE())</f>
        <v>#VALUE!</v>
      </c>
      <c r="D121" s="40" t="n">
        <f aca="false">IF(D$28="nymex",0,VLOOKUP($A121,curvesettle,HLOOKUP(D$28,curvesettle,2,FALSE())))</f>
        <v>0</v>
      </c>
      <c r="E121" s="219" t="n">
        <f aca="false">IF(D$28="NYMEX",$AD121,$AC121)</f>
        <v>-5904</v>
      </c>
      <c r="F121" s="4" t="e">
        <f aca="false">($C121+G121)+B$15</f>
        <v>#DIV/0!</v>
      </c>
      <c r="G121" s="4" t="e">
        <f aca="false">IF(B$16=1,xCalcSkew(A121,H121-AL121,b)/100,0)</f>
        <v>#DIV/0!</v>
      </c>
      <c r="H121" s="41" t="n">
        <f aca="false">IF($B$19=4,$AL121,$B$18)</f>
        <v>2.44</v>
      </c>
      <c r="J121" s="40" t="n">
        <f aca="false">IF(J$28="nymex",0,VLOOKUP($A121,curvesettle,HLOOKUP(J$28,curvesettle,2,FALSE())))</f>
        <v>0</v>
      </c>
      <c r="K121" s="219" t="n">
        <f aca="false">IF(J$28="NYMEX",$AD121,$AC121)</f>
        <v>-5904</v>
      </c>
      <c r="L121" s="220" t="e">
        <f aca="false">($C121+M121)+D$15</f>
        <v>#DIV/0!</v>
      </c>
      <c r="M121" s="4" t="e">
        <f aca="false">IF(D$16=1,xCalcSkew($A121,N121-AW121,b)/100,0)</f>
        <v>#DIV/0!</v>
      </c>
      <c r="N121" s="41" t="n">
        <f aca="false">IF($D$19=4,$AW121,$D$18)</f>
        <v>2.44</v>
      </c>
      <c r="P121" s="40" t="n">
        <f aca="false">IF(P$28="nymex",0,VLOOKUP($A121,curvesettle,HLOOKUP(P$28,curvesettle,2,FALSE())))</f>
        <v>0</v>
      </c>
      <c r="Q121" s="219" t="n">
        <f aca="false">IF(P$28="NYMEX",$AD121,$AC121)</f>
        <v>-5904</v>
      </c>
      <c r="R121" s="220" t="e">
        <f aca="false">($C121+S121)+F$15</f>
        <v>#DIV/0!</v>
      </c>
      <c r="S121" s="4" t="e">
        <f aca="false">IF(F$16=1,xCalcSkew($A121,T121-BH121,b)/100,0)</f>
        <v>#DIV/0!</v>
      </c>
      <c r="T121" s="41" t="n">
        <f aca="false">IF($F$19=4,$BH121,$F$18)</f>
        <v>2.44</v>
      </c>
      <c r="V121" s="40" t="n">
        <f aca="false">IF(V$28="nymex",0,VLOOKUP($A121,curvesettle,HLOOKUP(V$28,curvesettle,2,FALSE())))</f>
        <v>0</v>
      </c>
      <c r="W121" s="219" t="n">
        <f aca="false">IF(V$28="NYMEX",$AD121,$AC121)</f>
        <v>-5904</v>
      </c>
      <c r="X121" s="4" t="e">
        <f aca="false">($C121+Y121)+H$15</f>
        <v>#DIV/0!</v>
      </c>
      <c r="Y121" s="4" t="e">
        <f aca="false">IF(H$16=1,xCalcSkew($A121,Z121-BS121,b)/100,0)</f>
        <v>#DIV/0!</v>
      </c>
      <c r="Z121" s="41" t="n">
        <f aca="false">IF($H$19=4,$BS121,$H$18)</f>
        <v>2.44</v>
      </c>
      <c r="AC121" s="219" t="n">
        <f aca="false">VLOOKUP($A121,expiration,2,FALSE())-$B$2</f>
        <v>-5903</v>
      </c>
      <c r="AD121" s="219" t="n">
        <f aca="false">VLOOKUP($A121,expiration,3,FALSE())-$B$2</f>
        <v>-5904</v>
      </c>
      <c r="AE121" s="4" t="n">
        <f aca="false">VLOOKUP($A121,STRADDLE,15,FALSE())</f>
        <v>0.0562335828733631</v>
      </c>
      <c r="AF121" s="43" t="n">
        <f aca="false">A122-A121</f>
        <v>31</v>
      </c>
      <c r="AI121" s="219"/>
      <c r="AJ121" s="9"/>
      <c r="AK121" s="9" t="n">
        <f aca="false">IF($A121&gt;=AL$25,IF($A121&lt;=AL$26,$AF121,0),0)</f>
        <v>0</v>
      </c>
      <c r="AL121" s="221" t="e">
        <f aca="false">AN121/AK121</f>
        <v>#DIV/0!</v>
      </c>
      <c r="AM121" s="1" t="n">
        <f aca="false">AK121*($B121+B$13)</f>
        <v>0</v>
      </c>
      <c r="AN121" s="33" t="n">
        <f aca="false">IF(ISNUMBER(((AM121/AK121)+B$14+$D121)*AK121),((AM121/AK121)+B$14+$D121)*AK121,0)</f>
        <v>0</v>
      </c>
      <c r="AO121" s="44" t="n">
        <f aca="false">IF(AK121=0,0,bsd(1,AP$27,AL121,$H121,$E121,$F121,$AE121,0.1))</f>
        <v>0</v>
      </c>
      <c r="AP121" s="44" t="n">
        <f aca="false">IF(AK121=0,0,bsd(2,AP$27,AL121,$H121,$E121,$F121,$AE121,0.1))</f>
        <v>0</v>
      </c>
      <c r="AQ121" s="44" t="n">
        <f aca="false">IF(AK121=0,0,bsd(AP$28,AP$27,AL121,$H121,$E121,$F121,$AE121,0.1))</f>
        <v>0</v>
      </c>
      <c r="AR121" s="45" t="n">
        <f aca="false">AK121*AO121</f>
        <v>0</v>
      </c>
      <c r="AS121" s="45" t="n">
        <f aca="false">AK121*AP121</f>
        <v>0</v>
      </c>
      <c r="AT121" s="45" t="n">
        <f aca="false">AK121*AQ121</f>
        <v>0</v>
      </c>
      <c r="AV121" s="9" t="n">
        <f aca="false">IF($A121&gt;=AW$25,IF($A121&lt;=AW$26,$AF121,0),0)</f>
        <v>0</v>
      </c>
      <c r="AW121" s="221" t="e">
        <f aca="false">AY121/AV121</f>
        <v>#DIV/0!</v>
      </c>
      <c r="AX121" s="1" t="n">
        <f aca="false">AV121*($B121+D$13)</f>
        <v>0</v>
      </c>
      <c r="AY121" s="33" t="n">
        <f aca="false">IF(ISNUMBER(((AX121/AV121)+D$14+$J121)*AV121),((AX121/AV121)+D$14+$J121)*AV121,0)</f>
        <v>0</v>
      </c>
      <c r="AZ121" s="44" t="n">
        <f aca="false">IF(AV121=0,0,bsd(1,BA$27,AW121,$N121,$K121,$L121,$AE121,0.1))</f>
        <v>0</v>
      </c>
      <c r="BA121" s="44" t="n">
        <f aca="false">IF(AV121=0,0,bsd(2,BA$27,AW121,$N121,$K121,$L121,$AE121,0.1))</f>
        <v>0</v>
      </c>
      <c r="BB121" s="44" t="n">
        <f aca="false">IF(AV121=0,0,bsd(BA$28,BA$27,AW121,$N121,$K121,$L121,$AE121,0.1))</f>
        <v>0</v>
      </c>
      <c r="BC121" s="45" t="n">
        <f aca="false">AV121*AZ121</f>
        <v>0</v>
      </c>
      <c r="BD121" s="45" t="n">
        <f aca="false">AV121*BA121</f>
        <v>0</v>
      </c>
      <c r="BE121" s="45" t="n">
        <f aca="false">AV121*BB121</f>
        <v>0</v>
      </c>
      <c r="BG121" s="9" t="n">
        <f aca="false">IF($A121&gt;=BH$25,IF($A121&lt;=BH$26,$AF121,0),0)</f>
        <v>0</v>
      </c>
      <c r="BH121" s="221" t="e">
        <f aca="false">BJ121/BG121</f>
        <v>#DIV/0!</v>
      </c>
      <c r="BI121" s="1" t="n">
        <f aca="false">BG121*($B121+F$13)</f>
        <v>0</v>
      </c>
      <c r="BJ121" s="33" t="n">
        <f aca="false">IF(ISNUMBER(((BI121/BG121)+F$14+$P121)*BG121),((BI121/BG121)+F$14+$P121)*BG121,0)</f>
        <v>0</v>
      </c>
      <c r="BK121" s="44" t="n">
        <f aca="false">IF(BG121=0,0,bsd(1,BL$27,BH121,$T121,$Q121,$R121,$AE121,0.1))</f>
        <v>0</v>
      </c>
      <c r="BL121" s="44" t="n">
        <f aca="false">IF(BG121=0,0,bsd(2,BL$27,BH121,$T121,$Q121,$R121,$AE121,0.1))</f>
        <v>0</v>
      </c>
      <c r="BM121" s="44" t="n">
        <f aca="false">IF(BG121=0,0,bsd(BL$28,BL$27,BH121,$T121,$Q121,$R121,$AE121,0.1))</f>
        <v>0</v>
      </c>
      <c r="BN121" s="45" t="n">
        <f aca="false">BG121*BK121</f>
        <v>0</v>
      </c>
      <c r="BO121" s="45" t="n">
        <f aca="false">BG121*BL121</f>
        <v>0</v>
      </c>
      <c r="BP121" s="45" t="n">
        <f aca="false">BG121*BM121</f>
        <v>0</v>
      </c>
      <c r="BR121" s="9" t="n">
        <f aca="false">IF($A121&gt;=BS$25,IF($A121&lt;=BS$26,$AF121,0),0)</f>
        <v>0</v>
      </c>
      <c r="BS121" s="221" t="e">
        <f aca="false">BU121/BR121</f>
        <v>#DIV/0!</v>
      </c>
      <c r="BT121" s="1" t="n">
        <f aca="false">BR121*($B121+H$13)</f>
        <v>0</v>
      </c>
      <c r="BU121" s="33" t="n">
        <f aca="false">IF(ISNUMBER(((BT121/BR121)+H$14+$V121)*BR121),((BT121/BR121)+H$14+$V121)*BR121,0)</f>
        <v>0</v>
      </c>
      <c r="BV121" s="44" t="n">
        <f aca="false">IF(BR121=0,0,bsd(1,BW$27,BS121,$Z121,$W121,$X121,$AE121,0.1))</f>
        <v>0</v>
      </c>
      <c r="BW121" s="44" t="n">
        <f aca="false">IF(BR121=0,0,bsd(2,BW$27,BS121,$Z121,$W121,$X121,$AE121,0.1))</f>
        <v>0</v>
      </c>
      <c r="BX121" s="44" t="n">
        <f aca="false">IF(BR121=0,0,bsd(BW$28,BW$27,BS121,$Z121,$W121,$X121,$AE121,0.1))</f>
        <v>0</v>
      </c>
      <c r="BY121" s="45" t="n">
        <f aca="false">BR121*BV121</f>
        <v>0</v>
      </c>
      <c r="BZ121" s="45" t="n">
        <f aca="false">BR121*BW121</f>
        <v>0</v>
      </c>
      <c r="CA121" s="45" t="n">
        <f aca="false">BR121*BX121</f>
        <v>0</v>
      </c>
    </row>
    <row r="122" customFormat="false" ht="12.75" hidden="false" customHeight="false" outlineLevel="0" collapsed="false">
      <c r="A122" s="48" t="n">
        <f aca="false">DATE(YEAR(A121),MONTH(A121)+1,1)</f>
        <v>40057</v>
      </c>
      <c r="B122" s="40" t="n">
        <f aca="false">VLOOKUP(A122,STRADDLE,5,FALSE())</f>
        <v>3.399</v>
      </c>
      <c r="C122" s="4" t="e">
        <f aca="false">VLOOKUP(A122,STRADDLE,6,FALSE())</f>
        <v>#VALUE!</v>
      </c>
      <c r="D122" s="40" t="n">
        <f aca="false">IF(D$28="nymex",0,VLOOKUP($A122,curvesettle,HLOOKUP(D$28,curvesettle,2,FALSE())))</f>
        <v>0</v>
      </c>
      <c r="E122" s="219" t="n">
        <f aca="false">IF(D$28="NYMEX",$AD122,$AC122)</f>
        <v>-5875</v>
      </c>
      <c r="F122" s="4" t="e">
        <f aca="false">($C122+G122)+B$15</f>
        <v>#DIV/0!</v>
      </c>
      <c r="G122" s="4" t="e">
        <f aca="false">IF(B$16=1,xCalcSkew(A122,H122-AL122,b)/100,0)</f>
        <v>#DIV/0!</v>
      </c>
      <c r="H122" s="41" t="n">
        <f aca="false">IF($B$19=4,$AL122,$B$18)</f>
        <v>2.44</v>
      </c>
      <c r="J122" s="40" t="n">
        <f aca="false">IF(J$28="nymex",0,VLOOKUP($A122,curvesettle,HLOOKUP(J$28,curvesettle,2,FALSE())))</f>
        <v>0</v>
      </c>
      <c r="K122" s="219" t="n">
        <f aca="false">IF(J$28="NYMEX",$AD122,$AC122)</f>
        <v>-5875</v>
      </c>
      <c r="L122" s="220" t="e">
        <f aca="false">($C122+M122)+D$15</f>
        <v>#DIV/0!</v>
      </c>
      <c r="M122" s="4" t="e">
        <f aca="false">IF(D$16=1,xCalcSkew($A122,N122-AW122,b)/100,0)</f>
        <v>#DIV/0!</v>
      </c>
      <c r="N122" s="41" t="n">
        <f aca="false">IF($D$19=4,$AW122,$D$18)</f>
        <v>2.44</v>
      </c>
      <c r="P122" s="40" t="n">
        <f aca="false">IF(P$28="nymex",0,VLOOKUP($A122,curvesettle,HLOOKUP(P$28,curvesettle,2,FALSE())))</f>
        <v>0</v>
      </c>
      <c r="Q122" s="219" t="n">
        <f aca="false">IF(P$28="NYMEX",$AD122,$AC122)</f>
        <v>-5875</v>
      </c>
      <c r="R122" s="220" t="e">
        <f aca="false">($C122+S122)+F$15</f>
        <v>#DIV/0!</v>
      </c>
      <c r="S122" s="4" t="e">
        <f aca="false">IF(F$16=1,xCalcSkew($A122,T122-BH122,b)/100,0)</f>
        <v>#DIV/0!</v>
      </c>
      <c r="T122" s="41" t="n">
        <f aca="false">IF($F$19=4,$BH122,$F$18)</f>
        <v>2.44</v>
      </c>
      <c r="V122" s="40" t="n">
        <f aca="false">IF(V$28="nymex",0,VLOOKUP($A122,curvesettle,HLOOKUP(V$28,curvesettle,2,FALSE())))</f>
        <v>0</v>
      </c>
      <c r="W122" s="219" t="n">
        <f aca="false">IF(V$28="NYMEX",$AD122,$AC122)</f>
        <v>-5875</v>
      </c>
      <c r="X122" s="4" t="e">
        <f aca="false">($C122+Y122)+H$15</f>
        <v>#DIV/0!</v>
      </c>
      <c r="Y122" s="4" t="e">
        <f aca="false">IF(H$16=1,xCalcSkew($A122,Z122-BS122,b)/100,0)</f>
        <v>#DIV/0!</v>
      </c>
      <c r="Z122" s="41" t="n">
        <f aca="false">IF($H$19=4,$BS122,$H$18)</f>
        <v>2.44</v>
      </c>
      <c r="AC122" s="219" t="n">
        <f aca="false">VLOOKUP($A122,expiration,2,FALSE())-$B$2</f>
        <v>-5874</v>
      </c>
      <c r="AD122" s="219" t="n">
        <f aca="false">VLOOKUP($A122,expiration,3,FALSE())-$B$2</f>
        <v>-5875</v>
      </c>
      <c r="AE122" s="4" t="n">
        <f aca="false">VLOOKUP($A122,STRADDLE,15,FALSE())</f>
        <v>0.0563370812777757</v>
      </c>
      <c r="AF122" s="43" t="n">
        <f aca="false">A123-A122</f>
        <v>30</v>
      </c>
      <c r="AI122" s="219"/>
      <c r="AJ122" s="9"/>
      <c r="AK122" s="9" t="n">
        <f aca="false">IF($A122&gt;=AL$25,IF($A122&lt;=AL$26,$AF122,0),0)</f>
        <v>0</v>
      </c>
      <c r="AL122" s="221" t="e">
        <f aca="false">AN122/AK122</f>
        <v>#DIV/0!</v>
      </c>
      <c r="AM122" s="1" t="n">
        <f aca="false">AK122*($B122+B$13)</f>
        <v>0</v>
      </c>
      <c r="AN122" s="33" t="n">
        <f aca="false">IF(ISNUMBER(((AM122/AK122)+B$14+$D122)*AK122),((AM122/AK122)+B$14+$D122)*AK122,0)</f>
        <v>0</v>
      </c>
      <c r="AO122" s="44" t="n">
        <f aca="false">IF(AK122=0,0,bsd(1,AP$27,AL122,$H122,$E122,$F122,$AE122,0.1))</f>
        <v>0</v>
      </c>
      <c r="AP122" s="44" t="n">
        <f aca="false">IF(AK122=0,0,bsd(2,AP$27,AL122,$H122,$E122,$F122,$AE122,0.1))</f>
        <v>0</v>
      </c>
      <c r="AQ122" s="44" t="n">
        <f aca="false">IF(AK122=0,0,bsd(AP$28,AP$27,AL122,$H122,$E122,$F122,$AE122,0.1))</f>
        <v>0</v>
      </c>
      <c r="AR122" s="45" t="n">
        <f aca="false">AK122*AO122</f>
        <v>0</v>
      </c>
      <c r="AS122" s="45" t="n">
        <f aca="false">AK122*AP122</f>
        <v>0</v>
      </c>
      <c r="AT122" s="45" t="n">
        <f aca="false">AK122*AQ122</f>
        <v>0</v>
      </c>
      <c r="AV122" s="9" t="n">
        <f aca="false">IF($A122&gt;=AW$25,IF($A122&lt;=AW$26,$AF122,0),0)</f>
        <v>0</v>
      </c>
      <c r="AW122" s="221" t="e">
        <f aca="false">AY122/AV122</f>
        <v>#DIV/0!</v>
      </c>
      <c r="AX122" s="1" t="n">
        <f aca="false">AV122*($B122+D$13)</f>
        <v>0</v>
      </c>
      <c r="AY122" s="33" t="n">
        <f aca="false">IF(ISNUMBER(((AX122/AV122)+D$14+$J122)*AV122),((AX122/AV122)+D$14+$J122)*AV122,0)</f>
        <v>0</v>
      </c>
      <c r="AZ122" s="44" t="n">
        <f aca="false">IF(AV122=0,0,bsd(1,BA$27,AW122,$N122,$K122,$L122,$AE122,0.1))</f>
        <v>0</v>
      </c>
      <c r="BA122" s="44" t="n">
        <f aca="false">IF(AV122=0,0,bsd(2,BA$27,AW122,$N122,$K122,$L122,$AE122,0.1))</f>
        <v>0</v>
      </c>
      <c r="BB122" s="44" t="n">
        <f aca="false">IF(AV122=0,0,bsd(BA$28,BA$27,AW122,$N122,$K122,$L122,$AE122,0.1))</f>
        <v>0</v>
      </c>
      <c r="BC122" s="45" t="n">
        <f aca="false">AV122*AZ122</f>
        <v>0</v>
      </c>
      <c r="BD122" s="45" t="n">
        <f aca="false">AV122*BA122</f>
        <v>0</v>
      </c>
      <c r="BE122" s="45" t="n">
        <f aca="false">AV122*BB122</f>
        <v>0</v>
      </c>
      <c r="BG122" s="9" t="n">
        <f aca="false">IF($A122&gt;=BH$25,IF($A122&lt;=BH$26,$AF122,0),0)</f>
        <v>0</v>
      </c>
      <c r="BH122" s="221" t="e">
        <f aca="false">BJ122/BG122</f>
        <v>#DIV/0!</v>
      </c>
      <c r="BI122" s="1" t="n">
        <f aca="false">BG122*($B122+F$13)</f>
        <v>0</v>
      </c>
      <c r="BJ122" s="33" t="n">
        <f aca="false">IF(ISNUMBER(((BI122/BG122)+F$14+$P122)*BG122),((BI122/BG122)+F$14+$P122)*BG122,0)</f>
        <v>0</v>
      </c>
      <c r="BK122" s="44" t="n">
        <f aca="false">IF(BG122=0,0,bsd(1,BL$27,BH122,$T122,$Q122,$R122,$AE122,0.1))</f>
        <v>0</v>
      </c>
      <c r="BL122" s="44" t="n">
        <f aca="false">IF(BG122=0,0,bsd(2,BL$27,BH122,$T122,$Q122,$R122,$AE122,0.1))</f>
        <v>0</v>
      </c>
      <c r="BM122" s="44" t="n">
        <f aca="false">IF(BG122=0,0,bsd(BL$28,BL$27,BH122,$T122,$Q122,$R122,$AE122,0.1))</f>
        <v>0</v>
      </c>
      <c r="BN122" s="45" t="n">
        <f aca="false">BG122*BK122</f>
        <v>0</v>
      </c>
      <c r="BO122" s="45" t="n">
        <f aca="false">BG122*BL122</f>
        <v>0</v>
      </c>
      <c r="BP122" s="45" t="n">
        <f aca="false">BG122*BM122</f>
        <v>0</v>
      </c>
      <c r="BR122" s="9" t="n">
        <f aca="false">IF($A122&gt;=BS$25,IF($A122&lt;=BS$26,$AF122,0),0)</f>
        <v>0</v>
      </c>
      <c r="BS122" s="221" t="e">
        <f aca="false">BU122/BR122</f>
        <v>#DIV/0!</v>
      </c>
      <c r="BT122" s="1" t="n">
        <f aca="false">BR122*($B122+H$13)</f>
        <v>0</v>
      </c>
      <c r="BU122" s="33" t="n">
        <f aca="false">IF(ISNUMBER(((BT122/BR122)+H$14+$V122)*BR122),((BT122/BR122)+H$14+$V122)*BR122,0)</f>
        <v>0</v>
      </c>
      <c r="BV122" s="44" t="n">
        <f aca="false">IF(BR122=0,0,bsd(1,BW$27,BS122,$Z122,$W122,$X122,$AE122,0.1))</f>
        <v>0</v>
      </c>
      <c r="BW122" s="44" t="n">
        <f aca="false">IF(BR122=0,0,bsd(2,BW$27,BS122,$Z122,$W122,$X122,$AE122,0.1))</f>
        <v>0</v>
      </c>
      <c r="BX122" s="44" t="n">
        <f aca="false">IF(BR122=0,0,bsd(BW$28,BW$27,BS122,$Z122,$W122,$X122,$AE122,0.1))</f>
        <v>0</v>
      </c>
      <c r="BY122" s="45" t="n">
        <f aca="false">BR122*BV122</f>
        <v>0</v>
      </c>
      <c r="BZ122" s="45" t="n">
        <f aca="false">BR122*BW122</f>
        <v>0</v>
      </c>
      <c r="CA122" s="45" t="n">
        <f aca="false">BR122*BX122</f>
        <v>0</v>
      </c>
    </row>
    <row r="123" customFormat="false" ht="12.75" hidden="false" customHeight="false" outlineLevel="0" collapsed="false">
      <c r="A123" s="48" t="n">
        <f aca="false">DATE(YEAR(A122),MONTH(A122)+1,1)</f>
        <v>40087</v>
      </c>
      <c r="B123" s="40" t="n">
        <f aca="false">VLOOKUP(A123,STRADDLE,5,FALSE())</f>
        <v>3.414</v>
      </c>
      <c r="C123" s="4" t="e">
        <f aca="false">VLOOKUP(A123,STRADDLE,6,FALSE())</f>
        <v>#VALUE!</v>
      </c>
      <c r="D123" s="40" t="n">
        <f aca="false">IF(D$28="nymex",0,VLOOKUP($A123,curvesettle,HLOOKUP(D$28,curvesettle,2,FALSE())))</f>
        <v>0</v>
      </c>
      <c r="E123" s="219" t="n">
        <f aca="false">IF(D$28="NYMEX",$AD123,$AC123)</f>
        <v>-5845</v>
      </c>
      <c r="F123" s="4" t="e">
        <f aca="false">($C123+G123)+B$15</f>
        <v>#DIV/0!</v>
      </c>
      <c r="G123" s="4" t="e">
        <f aca="false">IF(B$16=1,xCalcSkew(A123,H123-AL123,b)/100,0)</f>
        <v>#DIV/0!</v>
      </c>
      <c r="H123" s="41" t="n">
        <f aca="false">IF($B$19=4,$AL123,$B$18)</f>
        <v>2.44</v>
      </c>
      <c r="J123" s="40" t="n">
        <f aca="false">IF(J$28="nymex",0,VLOOKUP($A123,curvesettle,HLOOKUP(J$28,curvesettle,2,FALSE())))</f>
        <v>0</v>
      </c>
      <c r="K123" s="219" t="n">
        <f aca="false">IF(J$28="NYMEX",$AD123,$AC123)</f>
        <v>-5845</v>
      </c>
      <c r="L123" s="220" t="e">
        <f aca="false">($C123+M123)+D$15</f>
        <v>#DIV/0!</v>
      </c>
      <c r="M123" s="4" t="e">
        <f aca="false">IF(D$16=1,xCalcSkew($A123,N123-AW123,b)/100,0)</f>
        <v>#DIV/0!</v>
      </c>
      <c r="N123" s="41" t="n">
        <f aca="false">IF($D$19=4,$AW123,$D$18)</f>
        <v>2.44</v>
      </c>
      <c r="P123" s="40" t="n">
        <f aca="false">IF(P$28="nymex",0,VLOOKUP($A123,curvesettle,HLOOKUP(P$28,curvesettle,2,FALSE())))</f>
        <v>0</v>
      </c>
      <c r="Q123" s="219" t="n">
        <f aca="false">IF(P$28="NYMEX",$AD123,$AC123)</f>
        <v>-5845</v>
      </c>
      <c r="R123" s="220" t="e">
        <f aca="false">($C123+S123)+F$15</f>
        <v>#DIV/0!</v>
      </c>
      <c r="S123" s="4" t="e">
        <f aca="false">IF(F$16=1,xCalcSkew($A123,T123-BH123,b)/100,0)</f>
        <v>#DIV/0!</v>
      </c>
      <c r="T123" s="41" t="n">
        <f aca="false">IF($F$19=4,$BH123,$F$18)</f>
        <v>2.44</v>
      </c>
      <c r="V123" s="40" t="n">
        <f aca="false">IF(V$28="nymex",0,VLOOKUP($A123,curvesettle,HLOOKUP(V$28,curvesettle,2,FALSE())))</f>
        <v>0</v>
      </c>
      <c r="W123" s="219" t="n">
        <f aca="false">IF(V$28="NYMEX",$AD123,$AC123)</f>
        <v>-5845</v>
      </c>
      <c r="X123" s="4" t="e">
        <f aca="false">($C123+Y123)+H$15</f>
        <v>#DIV/0!</v>
      </c>
      <c r="Y123" s="4" t="e">
        <f aca="false">IF(H$16=1,xCalcSkew($A123,Z123-BS123,b)/100,0)</f>
        <v>#DIV/0!</v>
      </c>
      <c r="Z123" s="41" t="n">
        <f aca="false">IF($H$19=4,$BS123,$H$18)</f>
        <v>2.44</v>
      </c>
      <c r="AC123" s="219" t="n">
        <f aca="false">VLOOKUP($A123,expiration,2,FALSE())-$B$2</f>
        <v>-5842</v>
      </c>
      <c r="AD123" s="219" t="n">
        <f aca="false">VLOOKUP($A123,expiration,3,FALSE())-$B$2</f>
        <v>-5845</v>
      </c>
      <c r="AE123" s="4" t="n">
        <f aca="false">VLOOKUP($A123,STRADDLE,15,FALSE())</f>
        <v>0.0564405796857548</v>
      </c>
      <c r="AF123" s="43" t="n">
        <f aca="false">A124-A123</f>
        <v>31</v>
      </c>
      <c r="AI123" s="219"/>
      <c r="AJ123" s="9"/>
      <c r="AK123" s="9" t="n">
        <f aca="false">IF($A123&gt;=AL$25,IF($A123&lt;=AL$26,$AF123,0),0)</f>
        <v>0</v>
      </c>
      <c r="AL123" s="221" t="e">
        <f aca="false">AN123/AK123</f>
        <v>#DIV/0!</v>
      </c>
      <c r="AM123" s="1" t="n">
        <f aca="false">AK123*($B123+B$13)</f>
        <v>0</v>
      </c>
      <c r="AN123" s="33" t="n">
        <f aca="false">IF(ISNUMBER(((AM123/AK123)+B$14+$D123)*AK123),((AM123/AK123)+B$14+$D123)*AK123,0)</f>
        <v>0</v>
      </c>
      <c r="AO123" s="44" t="n">
        <f aca="false">IF(AK123=0,0,bsd(1,AP$27,AL123,$H123,$E123,$F123,$AE123,0.1))</f>
        <v>0</v>
      </c>
      <c r="AP123" s="44" t="n">
        <f aca="false">IF(AK123=0,0,bsd(2,AP$27,AL123,$H123,$E123,$F123,$AE123,0.1))</f>
        <v>0</v>
      </c>
      <c r="AQ123" s="44" t="n">
        <f aca="false">IF(AK123=0,0,bsd(AP$28,AP$27,AL123,$H123,$E123,$F123,$AE123,0.1))</f>
        <v>0</v>
      </c>
      <c r="AR123" s="45" t="n">
        <f aca="false">AK123*AO123</f>
        <v>0</v>
      </c>
      <c r="AS123" s="45" t="n">
        <f aca="false">AK123*AP123</f>
        <v>0</v>
      </c>
      <c r="AT123" s="45" t="n">
        <f aca="false">AK123*AQ123</f>
        <v>0</v>
      </c>
      <c r="AV123" s="9" t="n">
        <f aca="false">IF($A123&gt;=AW$25,IF($A123&lt;=AW$26,$AF123,0),0)</f>
        <v>0</v>
      </c>
      <c r="AW123" s="221" t="e">
        <f aca="false">AY123/AV123</f>
        <v>#DIV/0!</v>
      </c>
      <c r="AX123" s="1" t="n">
        <f aca="false">AV123*($B123+D$13)</f>
        <v>0</v>
      </c>
      <c r="AY123" s="33" t="n">
        <f aca="false">IF(ISNUMBER(((AX123/AV123)+D$14+$J123)*AV123),((AX123/AV123)+D$14+$J123)*AV123,0)</f>
        <v>0</v>
      </c>
      <c r="AZ123" s="44" t="n">
        <f aca="false">IF(AV123=0,0,bsd(1,BA$27,AW123,$N123,$K123,$L123,$AE123,0.1))</f>
        <v>0</v>
      </c>
      <c r="BA123" s="44" t="n">
        <f aca="false">IF(AV123=0,0,bsd(2,BA$27,AW123,$N123,$K123,$L123,$AE123,0.1))</f>
        <v>0</v>
      </c>
      <c r="BB123" s="44" t="n">
        <f aca="false">IF(AV123=0,0,bsd(BA$28,BA$27,AW123,$N123,$K123,$L123,$AE123,0.1))</f>
        <v>0</v>
      </c>
      <c r="BC123" s="45" t="n">
        <f aca="false">AV123*AZ123</f>
        <v>0</v>
      </c>
      <c r="BD123" s="45" t="n">
        <f aca="false">AV123*BA123</f>
        <v>0</v>
      </c>
      <c r="BE123" s="45" t="n">
        <f aca="false">AV123*BB123</f>
        <v>0</v>
      </c>
      <c r="BG123" s="9" t="n">
        <f aca="false">IF($A123&gt;=BH$25,IF($A123&lt;=BH$26,$AF123,0),0)</f>
        <v>0</v>
      </c>
      <c r="BH123" s="221" t="e">
        <f aca="false">BJ123/BG123</f>
        <v>#DIV/0!</v>
      </c>
      <c r="BI123" s="1" t="n">
        <f aca="false">BG123*($B123+F$13)</f>
        <v>0</v>
      </c>
      <c r="BJ123" s="33" t="n">
        <f aca="false">IF(ISNUMBER(((BI123/BG123)+F$14+$P123)*BG123),((BI123/BG123)+F$14+$P123)*BG123,0)</f>
        <v>0</v>
      </c>
      <c r="BK123" s="44" t="n">
        <f aca="false">IF(BG123=0,0,bsd(1,BL$27,BH123,$T123,$Q123,$R123,$AE123,0.1))</f>
        <v>0</v>
      </c>
      <c r="BL123" s="44" t="n">
        <f aca="false">IF(BG123=0,0,bsd(2,BL$27,BH123,$T123,$Q123,$R123,$AE123,0.1))</f>
        <v>0</v>
      </c>
      <c r="BM123" s="44" t="n">
        <f aca="false">IF(BG123=0,0,bsd(BL$28,BL$27,BH123,$T123,$Q123,$R123,$AE123,0.1))</f>
        <v>0</v>
      </c>
      <c r="BN123" s="45" t="n">
        <f aca="false">BG123*BK123</f>
        <v>0</v>
      </c>
      <c r="BO123" s="45" t="n">
        <f aca="false">BG123*BL123</f>
        <v>0</v>
      </c>
      <c r="BP123" s="45" t="n">
        <f aca="false">BG123*BM123</f>
        <v>0</v>
      </c>
      <c r="BR123" s="9" t="n">
        <f aca="false">IF($A123&gt;=BS$25,IF($A123&lt;=BS$26,$AF123,0),0)</f>
        <v>0</v>
      </c>
      <c r="BS123" s="221" t="e">
        <f aca="false">BU123/BR123</f>
        <v>#DIV/0!</v>
      </c>
      <c r="BT123" s="1" t="n">
        <f aca="false">BR123*($B123+H$13)</f>
        <v>0</v>
      </c>
      <c r="BU123" s="33" t="n">
        <f aca="false">IF(ISNUMBER(((BT123/BR123)+H$14+$V123)*BR123),((BT123/BR123)+H$14+$V123)*BR123,0)</f>
        <v>0</v>
      </c>
      <c r="BV123" s="44" t="n">
        <f aca="false">IF(BR123=0,0,bsd(1,BW$27,BS123,$Z123,$W123,$X123,$AE123,0.1))</f>
        <v>0</v>
      </c>
      <c r="BW123" s="44" t="n">
        <f aca="false">IF(BR123=0,0,bsd(2,BW$27,BS123,$Z123,$W123,$X123,$AE123,0.1))</f>
        <v>0</v>
      </c>
      <c r="BX123" s="44" t="n">
        <f aca="false">IF(BR123=0,0,bsd(BW$28,BW$27,BS123,$Z123,$W123,$X123,$AE123,0.1))</f>
        <v>0</v>
      </c>
      <c r="BY123" s="45" t="n">
        <f aca="false">BR123*BV123</f>
        <v>0</v>
      </c>
      <c r="BZ123" s="45" t="n">
        <f aca="false">BR123*BW123</f>
        <v>0</v>
      </c>
      <c r="CA123" s="45" t="n">
        <f aca="false">BR123*BX123</f>
        <v>0</v>
      </c>
    </row>
    <row r="124" customFormat="false" ht="12.75" hidden="false" customHeight="false" outlineLevel="0" collapsed="false">
      <c r="A124" s="48" t="n">
        <f aca="false">DATE(YEAR(A123),MONTH(A123)+1,1)</f>
        <v>40118</v>
      </c>
      <c r="B124" s="40" t="n">
        <f aca="false">VLOOKUP(A124,STRADDLE,5,FALSE())</f>
        <v>3.559</v>
      </c>
      <c r="C124" s="4" t="e">
        <f aca="false">VLOOKUP(A124,STRADDLE,6,FALSE())</f>
        <v>#VALUE!</v>
      </c>
      <c r="D124" s="40" t="n">
        <f aca="false">IF(D$28="nymex",0,VLOOKUP($A124,curvesettle,HLOOKUP(D$28,curvesettle,2,FALSE())))</f>
        <v>0</v>
      </c>
      <c r="E124" s="219" t="n">
        <f aca="false">IF(D$28="NYMEX",$AD124,$AC124)</f>
        <v>-5813</v>
      </c>
      <c r="F124" s="4" t="e">
        <f aca="false">($C124+G124)+B$15</f>
        <v>#DIV/0!</v>
      </c>
      <c r="G124" s="4" t="e">
        <f aca="false">IF(B$16=1,xCalcSkew(A124,H124-AL124,b)/100,0)</f>
        <v>#DIV/0!</v>
      </c>
      <c r="H124" s="41" t="n">
        <f aca="false">IF($B$19=4,$AL124,$B$18)</f>
        <v>2.44</v>
      </c>
      <c r="J124" s="40" t="n">
        <f aca="false">IF(J$28="nymex",0,VLOOKUP($A124,curvesettle,HLOOKUP(J$28,curvesettle,2,FALSE())))</f>
        <v>0</v>
      </c>
      <c r="K124" s="219" t="n">
        <f aca="false">IF(J$28="NYMEX",$AD124,$AC124)</f>
        <v>-5813</v>
      </c>
      <c r="L124" s="220" t="e">
        <f aca="false">($C124+M124)+D$15</f>
        <v>#DIV/0!</v>
      </c>
      <c r="M124" s="4" t="e">
        <f aca="false">IF(D$16=1,xCalcSkew($A124,N124-AW124,b)/100,0)</f>
        <v>#DIV/0!</v>
      </c>
      <c r="N124" s="41" t="n">
        <f aca="false">IF($D$19=4,$AW124,$D$18)</f>
        <v>2.44</v>
      </c>
      <c r="P124" s="40" t="n">
        <f aca="false">IF(P$28="nymex",0,VLOOKUP($A124,curvesettle,HLOOKUP(P$28,curvesettle,2,FALSE())))</f>
        <v>0</v>
      </c>
      <c r="Q124" s="219" t="n">
        <f aca="false">IF(P$28="NYMEX",$AD124,$AC124)</f>
        <v>-5813</v>
      </c>
      <c r="R124" s="220" t="e">
        <f aca="false">($C124+S124)+F$15</f>
        <v>#DIV/0!</v>
      </c>
      <c r="S124" s="4" t="e">
        <f aca="false">IF(F$16=1,xCalcSkew($A124,T124-BH124,b)/100,0)</f>
        <v>#DIV/0!</v>
      </c>
      <c r="T124" s="41" t="n">
        <f aca="false">IF($F$19=4,$BH124,$F$18)</f>
        <v>2.44</v>
      </c>
      <c r="V124" s="40" t="n">
        <f aca="false">IF(V$28="nymex",0,VLOOKUP($A124,curvesettle,HLOOKUP(V$28,curvesettle,2,FALSE())))</f>
        <v>0</v>
      </c>
      <c r="W124" s="219" t="n">
        <f aca="false">IF(V$28="NYMEX",$AD124,$AC124)</f>
        <v>-5813</v>
      </c>
      <c r="X124" s="4" t="e">
        <f aca="false">($C124+Y124)+H$15</f>
        <v>#DIV/0!</v>
      </c>
      <c r="Y124" s="4" t="e">
        <f aca="false">IF(H$16=1,xCalcSkew($A124,Z124-BS124,b)/100,0)</f>
        <v>#DIV/0!</v>
      </c>
      <c r="Z124" s="41" t="n">
        <f aca="false">IF($H$19=4,$BS124,$H$18)</f>
        <v>2.44</v>
      </c>
      <c r="AC124" s="219" t="n">
        <f aca="false">VLOOKUP($A124,expiration,2,FALSE())-$B$2</f>
        <v>-5812</v>
      </c>
      <c r="AD124" s="219" t="n">
        <f aca="false">VLOOKUP($A124,expiration,3,FALSE())-$B$2</f>
        <v>-5813</v>
      </c>
      <c r="AE124" s="4" t="n">
        <f aca="false">VLOOKUP($A124,STRADDLE,15,FALSE())</f>
        <v>0.0565407394388062</v>
      </c>
      <c r="AF124" s="43" t="n">
        <f aca="false">A125-A124</f>
        <v>30</v>
      </c>
      <c r="AI124" s="219"/>
      <c r="AJ124" s="9"/>
      <c r="AK124" s="9" t="n">
        <f aca="false">IF($A124&gt;=AL$25,IF($A124&lt;=AL$26,$AF124,0),0)</f>
        <v>0</v>
      </c>
      <c r="AL124" s="221" t="e">
        <f aca="false">AN124/AK124</f>
        <v>#DIV/0!</v>
      </c>
      <c r="AM124" s="1" t="n">
        <f aca="false">AK124*($B124+B$13)</f>
        <v>0</v>
      </c>
      <c r="AN124" s="33" t="n">
        <f aca="false">IF(ISNUMBER(((AM124/AK124)+B$14+$D124)*AK124),((AM124/AK124)+B$14+$D124)*AK124,0)</f>
        <v>0</v>
      </c>
      <c r="AO124" s="44" t="n">
        <f aca="false">IF(AK124=0,0,bsd(1,AP$27,AL124,$H124,$E124,$F124,$AE124,0.1))</f>
        <v>0</v>
      </c>
      <c r="AP124" s="44" t="n">
        <f aca="false">IF(AK124=0,0,bsd(2,AP$27,AL124,$H124,$E124,$F124,$AE124,0.1))</f>
        <v>0</v>
      </c>
      <c r="AQ124" s="44" t="n">
        <f aca="false">IF(AK124=0,0,bsd(AP$28,AP$27,AL124,$H124,$E124,$F124,$AE124,0.1))</f>
        <v>0</v>
      </c>
      <c r="AR124" s="45" t="n">
        <f aca="false">AK124*AO124</f>
        <v>0</v>
      </c>
      <c r="AS124" s="45" t="n">
        <f aca="false">AK124*AP124</f>
        <v>0</v>
      </c>
      <c r="AT124" s="45" t="n">
        <f aca="false">AK124*AQ124</f>
        <v>0</v>
      </c>
      <c r="AV124" s="9" t="n">
        <f aca="false">IF($A124&gt;=AW$25,IF($A124&lt;=AW$26,$AF124,0),0)</f>
        <v>0</v>
      </c>
      <c r="AW124" s="221" t="e">
        <f aca="false">AY124/AV124</f>
        <v>#DIV/0!</v>
      </c>
      <c r="AX124" s="1" t="n">
        <f aca="false">AV124*($B124+D$13)</f>
        <v>0</v>
      </c>
      <c r="AY124" s="33" t="n">
        <f aca="false">IF(ISNUMBER(((AX124/AV124)+D$14+$J124)*AV124),((AX124/AV124)+D$14+$J124)*AV124,0)</f>
        <v>0</v>
      </c>
      <c r="AZ124" s="44" t="n">
        <f aca="false">IF(AV124=0,0,bsd(1,BA$27,AW124,$N124,$K124,$L124,$AE124,0.1))</f>
        <v>0</v>
      </c>
      <c r="BA124" s="44" t="n">
        <f aca="false">IF(AV124=0,0,bsd(2,BA$27,AW124,$N124,$K124,$L124,$AE124,0.1))</f>
        <v>0</v>
      </c>
      <c r="BB124" s="44" t="n">
        <f aca="false">IF(AV124=0,0,bsd(BA$28,BA$27,AW124,$N124,$K124,$L124,$AE124,0.1))</f>
        <v>0</v>
      </c>
      <c r="BC124" s="45" t="n">
        <f aca="false">AV124*AZ124</f>
        <v>0</v>
      </c>
      <c r="BD124" s="45" t="n">
        <f aca="false">AV124*BA124</f>
        <v>0</v>
      </c>
      <c r="BE124" s="45" t="n">
        <f aca="false">AV124*BB124</f>
        <v>0</v>
      </c>
      <c r="BG124" s="9" t="n">
        <f aca="false">IF($A124&gt;=BH$25,IF($A124&lt;=BH$26,$AF124,0),0)</f>
        <v>0</v>
      </c>
      <c r="BH124" s="221" t="e">
        <f aca="false">BJ124/BG124</f>
        <v>#DIV/0!</v>
      </c>
      <c r="BI124" s="1" t="n">
        <f aca="false">BG124*($B124+F$13)</f>
        <v>0</v>
      </c>
      <c r="BJ124" s="33" t="n">
        <f aca="false">IF(ISNUMBER(((BI124/BG124)+F$14+$P124)*BG124),((BI124/BG124)+F$14+$P124)*BG124,0)</f>
        <v>0</v>
      </c>
      <c r="BK124" s="44" t="n">
        <f aca="false">IF(BG124=0,0,bsd(1,BL$27,BH124,$T124,$Q124,$R124,$AE124,0.1))</f>
        <v>0</v>
      </c>
      <c r="BL124" s="44" t="n">
        <f aca="false">IF(BG124=0,0,bsd(2,BL$27,BH124,$T124,$Q124,$R124,$AE124,0.1))</f>
        <v>0</v>
      </c>
      <c r="BM124" s="44" t="n">
        <f aca="false">IF(BG124=0,0,bsd(BL$28,BL$27,BH124,$T124,$Q124,$R124,$AE124,0.1))</f>
        <v>0</v>
      </c>
      <c r="BN124" s="45" t="n">
        <f aca="false">BG124*BK124</f>
        <v>0</v>
      </c>
      <c r="BO124" s="45" t="n">
        <f aca="false">BG124*BL124</f>
        <v>0</v>
      </c>
      <c r="BP124" s="45" t="n">
        <f aca="false">BG124*BM124</f>
        <v>0</v>
      </c>
      <c r="BR124" s="9" t="n">
        <f aca="false">IF($A124&gt;=BS$25,IF($A124&lt;=BS$26,$AF124,0),0)</f>
        <v>0</v>
      </c>
      <c r="BS124" s="221" t="e">
        <f aca="false">BU124/BR124</f>
        <v>#DIV/0!</v>
      </c>
      <c r="BT124" s="1" t="n">
        <f aca="false">BR124*($B124+H$13)</f>
        <v>0</v>
      </c>
      <c r="BU124" s="33" t="n">
        <f aca="false">IF(ISNUMBER(((BT124/BR124)+H$14+$V124)*BR124),((BT124/BR124)+H$14+$V124)*BR124,0)</f>
        <v>0</v>
      </c>
      <c r="BV124" s="44" t="n">
        <f aca="false">IF(BR124=0,0,bsd(1,BW$27,BS124,$Z124,$W124,$X124,$AE124,0.1))</f>
        <v>0</v>
      </c>
      <c r="BW124" s="44" t="n">
        <f aca="false">IF(BR124=0,0,bsd(2,BW$27,BS124,$Z124,$W124,$X124,$AE124,0.1))</f>
        <v>0</v>
      </c>
      <c r="BX124" s="44" t="n">
        <f aca="false">IF(BR124=0,0,bsd(BW$28,BW$27,BS124,$Z124,$W124,$X124,$AE124,0.1))</f>
        <v>0</v>
      </c>
      <c r="BY124" s="45" t="n">
        <f aca="false">BR124*BV124</f>
        <v>0</v>
      </c>
      <c r="BZ124" s="45" t="n">
        <f aca="false">BR124*BW124</f>
        <v>0</v>
      </c>
      <c r="CA124" s="45" t="n">
        <f aca="false">BR124*BX124</f>
        <v>0</v>
      </c>
    </row>
    <row r="125" customFormat="false" ht="12.75" hidden="false" customHeight="false" outlineLevel="0" collapsed="false">
      <c r="A125" s="48" t="n">
        <f aca="false">DATE(YEAR(A124),MONTH(A124)+1,1)</f>
        <v>40148</v>
      </c>
      <c r="B125" s="40" t="n">
        <f aca="false">VLOOKUP(A125,STRADDLE,5,FALSE())</f>
        <v>3.694</v>
      </c>
      <c r="C125" s="4" t="e">
        <f aca="false">VLOOKUP(A125,STRADDLE,6,FALSE())</f>
        <v>#VALUE!</v>
      </c>
      <c r="D125" s="40" t="n">
        <f aca="false">IF(D$28="nymex",0,VLOOKUP($A125,curvesettle,HLOOKUP(D$28,curvesettle,2,FALSE())))</f>
        <v>0</v>
      </c>
      <c r="E125" s="219" t="n">
        <f aca="false">IF(D$28="NYMEX",$AD125,$AC125)</f>
        <v>-5785</v>
      </c>
      <c r="F125" s="4" t="e">
        <f aca="false">($C125+G125)+B$15</f>
        <v>#DIV/0!</v>
      </c>
      <c r="G125" s="4" t="e">
        <f aca="false">IF(B$16=1,xCalcSkew(A125,H125-AL125,b)/100,0)</f>
        <v>#DIV/0!</v>
      </c>
      <c r="H125" s="41" t="n">
        <f aca="false">IF($B$19=4,$AL125,$B$18)</f>
        <v>2.44</v>
      </c>
      <c r="J125" s="40" t="n">
        <f aca="false">IF(J$28="nymex",0,VLOOKUP($A125,curvesettle,HLOOKUP(J$28,curvesettle,2,FALSE())))</f>
        <v>0</v>
      </c>
      <c r="K125" s="219" t="n">
        <f aca="false">IF(J$28="NYMEX",$AD125,$AC125)</f>
        <v>-5785</v>
      </c>
      <c r="L125" s="220" t="e">
        <f aca="false">($C125+M125)+D$15</f>
        <v>#DIV/0!</v>
      </c>
      <c r="M125" s="4" t="e">
        <f aca="false">IF(D$16=1,xCalcSkew($A125,N125-AW125,b)/100,0)</f>
        <v>#DIV/0!</v>
      </c>
      <c r="N125" s="41" t="n">
        <f aca="false">IF($D$19=4,$AW125,$D$18)</f>
        <v>2.44</v>
      </c>
      <c r="P125" s="40" t="n">
        <f aca="false">IF(P$28="nymex",0,VLOOKUP($A125,curvesettle,HLOOKUP(P$28,curvesettle,2,FALSE())))</f>
        <v>0</v>
      </c>
      <c r="Q125" s="219" t="n">
        <f aca="false">IF(P$28="NYMEX",$AD125,$AC125)</f>
        <v>-5785</v>
      </c>
      <c r="R125" s="220" t="e">
        <f aca="false">($C125+S125)+F$15</f>
        <v>#DIV/0!</v>
      </c>
      <c r="S125" s="4" t="e">
        <f aca="false">IF(F$16=1,xCalcSkew($A125,T125-BH125,b)/100,0)</f>
        <v>#DIV/0!</v>
      </c>
      <c r="T125" s="41" t="n">
        <f aca="false">IF($F$19=4,$BH125,$F$18)</f>
        <v>2.44</v>
      </c>
      <c r="V125" s="40" t="n">
        <f aca="false">IF(V$28="nymex",0,VLOOKUP($A125,curvesettle,HLOOKUP(V$28,curvesettle,2,FALSE())))</f>
        <v>0</v>
      </c>
      <c r="W125" s="219" t="n">
        <f aca="false">IF(V$28="NYMEX",$AD125,$AC125)</f>
        <v>-5785</v>
      </c>
      <c r="X125" s="4" t="e">
        <f aca="false">($C125+Y125)+H$15</f>
        <v>#DIV/0!</v>
      </c>
      <c r="Y125" s="4" t="e">
        <f aca="false">IF(H$16=1,xCalcSkew($A125,Z125-BS125,b)/100,0)</f>
        <v>#DIV/0!</v>
      </c>
      <c r="Z125" s="41" t="n">
        <f aca="false">IF($H$19=4,$BS125,$H$18)</f>
        <v>2.44</v>
      </c>
      <c r="AC125" s="219" t="n">
        <f aca="false">VLOOKUP($A125,expiration,2,FALSE())-$B$2</f>
        <v>-5784</v>
      </c>
      <c r="AD125" s="219" t="n">
        <f aca="false">VLOOKUP($A125,expiration,3,FALSE())-$B$2</f>
        <v>-5785</v>
      </c>
      <c r="AE125" s="4" t="n">
        <f aca="false">VLOOKUP($A125,STRADDLE,15,FALSE())</f>
        <v>0.0566442378538001</v>
      </c>
      <c r="AF125" s="43" t="n">
        <f aca="false">A126-A125</f>
        <v>31</v>
      </c>
      <c r="AI125" s="219"/>
      <c r="AJ125" s="9"/>
      <c r="AK125" s="9" t="n">
        <f aca="false">IF($A125&gt;=AL$25,IF($A125&lt;=AL$26,$AF125,0),0)</f>
        <v>0</v>
      </c>
      <c r="AL125" s="221" t="e">
        <f aca="false">AN125/AK125</f>
        <v>#DIV/0!</v>
      </c>
      <c r="AM125" s="1" t="n">
        <f aca="false">AK125*($B125+B$13)</f>
        <v>0</v>
      </c>
      <c r="AN125" s="33" t="n">
        <f aca="false">IF(ISNUMBER(((AM125/AK125)+B$14+$D125)*AK125),((AM125/AK125)+B$14+$D125)*AK125,0)</f>
        <v>0</v>
      </c>
      <c r="AO125" s="44" t="n">
        <f aca="false">IF(AK125=0,0,bsd(1,AP$27,AL125,$H125,$E125,$F125,$AE125,0.1))</f>
        <v>0</v>
      </c>
      <c r="AP125" s="44" t="n">
        <f aca="false">IF(AK125=0,0,bsd(2,AP$27,AL125,$H125,$E125,$F125,$AE125,0.1))</f>
        <v>0</v>
      </c>
      <c r="AQ125" s="44" t="n">
        <f aca="false">IF(AK125=0,0,bsd(AP$28,AP$27,AL125,$H125,$E125,$F125,$AE125,0.1))</f>
        <v>0</v>
      </c>
      <c r="AR125" s="45" t="n">
        <f aca="false">AK125*AO125</f>
        <v>0</v>
      </c>
      <c r="AS125" s="45" t="n">
        <f aca="false">AK125*AP125</f>
        <v>0</v>
      </c>
      <c r="AT125" s="45" t="n">
        <f aca="false">AK125*AQ125</f>
        <v>0</v>
      </c>
      <c r="AV125" s="9" t="n">
        <f aca="false">IF($A125&gt;=AW$25,IF($A125&lt;=AW$26,$AF125,0),0)</f>
        <v>0</v>
      </c>
      <c r="AW125" s="221" t="e">
        <f aca="false">AY125/AV125</f>
        <v>#DIV/0!</v>
      </c>
      <c r="AX125" s="1" t="n">
        <f aca="false">AV125*($B125+D$13)</f>
        <v>0</v>
      </c>
      <c r="AY125" s="33" t="n">
        <f aca="false">IF(ISNUMBER(((AX125/AV125)+D$14+$J125)*AV125),((AX125/AV125)+D$14+$J125)*AV125,0)</f>
        <v>0</v>
      </c>
      <c r="AZ125" s="44" t="n">
        <f aca="false">IF(AV125=0,0,bsd(1,BA$27,AW125,$N125,$K125,$L125,$AE125,0.1))</f>
        <v>0</v>
      </c>
      <c r="BA125" s="44" t="n">
        <f aca="false">IF(AV125=0,0,bsd(2,BA$27,AW125,$N125,$K125,$L125,$AE125,0.1))</f>
        <v>0</v>
      </c>
      <c r="BB125" s="44" t="n">
        <f aca="false">IF(AV125=0,0,bsd(BA$28,BA$27,AW125,$N125,$K125,$L125,$AE125,0.1))</f>
        <v>0</v>
      </c>
      <c r="BC125" s="45" t="n">
        <f aca="false">AV125*AZ125</f>
        <v>0</v>
      </c>
      <c r="BD125" s="45" t="n">
        <f aca="false">AV125*BA125</f>
        <v>0</v>
      </c>
      <c r="BE125" s="45" t="n">
        <f aca="false">AV125*BB125</f>
        <v>0</v>
      </c>
      <c r="BG125" s="9" t="n">
        <f aca="false">IF($A125&gt;=BH$25,IF($A125&lt;=BH$26,$AF125,0),0)</f>
        <v>0</v>
      </c>
      <c r="BH125" s="221" t="e">
        <f aca="false">BJ125/BG125</f>
        <v>#DIV/0!</v>
      </c>
      <c r="BI125" s="1" t="n">
        <f aca="false">BG125*($B125+F$13)</f>
        <v>0</v>
      </c>
      <c r="BJ125" s="33" t="n">
        <f aca="false">IF(ISNUMBER(((BI125/BG125)+F$14+$P125)*BG125),((BI125/BG125)+F$14+$P125)*BG125,0)</f>
        <v>0</v>
      </c>
      <c r="BK125" s="44" t="n">
        <f aca="false">IF(BG125=0,0,bsd(1,BL$27,BH125,$T125,$Q125,$R125,$AE125,0.1))</f>
        <v>0</v>
      </c>
      <c r="BL125" s="44" t="n">
        <f aca="false">IF(BG125=0,0,bsd(2,BL$27,BH125,$T125,$Q125,$R125,$AE125,0.1))</f>
        <v>0</v>
      </c>
      <c r="BM125" s="44" t="n">
        <f aca="false">IF(BG125=0,0,bsd(BL$28,BL$27,BH125,$T125,$Q125,$R125,$AE125,0.1))</f>
        <v>0</v>
      </c>
      <c r="BN125" s="45" t="n">
        <f aca="false">BG125*BK125</f>
        <v>0</v>
      </c>
      <c r="BO125" s="45" t="n">
        <f aca="false">BG125*BL125</f>
        <v>0</v>
      </c>
      <c r="BP125" s="45" t="n">
        <f aca="false">BG125*BM125</f>
        <v>0</v>
      </c>
      <c r="BR125" s="9" t="n">
        <f aca="false">IF($A125&gt;=BS$25,IF($A125&lt;=BS$26,$AF125,0),0)</f>
        <v>0</v>
      </c>
      <c r="BS125" s="221" t="e">
        <f aca="false">BU125/BR125</f>
        <v>#DIV/0!</v>
      </c>
      <c r="BT125" s="1" t="n">
        <f aca="false">BR125*($B125+H$13)</f>
        <v>0</v>
      </c>
      <c r="BU125" s="33" t="n">
        <f aca="false">IF(ISNUMBER(((BT125/BR125)+H$14+$V125)*BR125),((BT125/BR125)+H$14+$V125)*BR125,0)</f>
        <v>0</v>
      </c>
      <c r="BV125" s="44" t="n">
        <f aca="false">IF(BR125=0,0,bsd(1,BW$27,BS125,$Z125,$W125,$X125,$AE125,0.1))</f>
        <v>0</v>
      </c>
      <c r="BW125" s="44" t="n">
        <f aca="false">IF(BR125=0,0,bsd(2,BW$27,BS125,$Z125,$W125,$X125,$AE125,0.1))</f>
        <v>0</v>
      </c>
      <c r="BX125" s="44" t="n">
        <f aca="false">IF(BR125=0,0,bsd(BW$28,BW$27,BS125,$Z125,$W125,$X125,$AE125,0.1))</f>
        <v>0</v>
      </c>
      <c r="BY125" s="45" t="n">
        <f aca="false">BR125*BV125</f>
        <v>0</v>
      </c>
      <c r="BZ125" s="45" t="n">
        <f aca="false">BR125*BW125</f>
        <v>0</v>
      </c>
      <c r="CA125" s="45" t="n">
        <f aca="false">BR125*BX125</f>
        <v>0</v>
      </c>
    </row>
    <row r="126" customFormat="false" ht="12.75" hidden="false" customHeight="false" outlineLevel="0" collapsed="false">
      <c r="A126" s="48" t="n">
        <f aca="false">DATE(YEAR(A125),MONTH(A125)+1,1)</f>
        <v>40179</v>
      </c>
      <c r="B126" s="40" t="n">
        <f aca="false">VLOOKUP(A126,STRADDLE,5,FALSE())</f>
        <v>3.749</v>
      </c>
      <c r="C126" s="4" t="e">
        <f aca="false">VLOOKUP(A126,STRADDLE,6,FALSE())</f>
        <v>#VALUE!</v>
      </c>
      <c r="D126" s="40" t="n">
        <f aca="false">IF(D$28="nymex",0,VLOOKUP($A126,curvesettle,HLOOKUP(D$28,curvesettle,2,FALSE())))</f>
        <v>0</v>
      </c>
      <c r="E126" s="219" t="n">
        <f aca="false">IF(D$28="NYMEX",$AD126,$AC126)</f>
        <v>-5751</v>
      </c>
      <c r="F126" s="4" t="e">
        <f aca="false">($C126+G126)+B$15</f>
        <v>#DIV/0!</v>
      </c>
      <c r="G126" s="4" t="e">
        <f aca="false">IF(B$16=1,xCalcSkew(A126,H126-AL126,b)/100,0)</f>
        <v>#DIV/0!</v>
      </c>
      <c r="H126" s="41" t="n">
        <f aca="false">IF($B$19=4,$AL126,$B$18)</f>
        <v>2.44</v>
      </c>
      <c r="J126" s="40" t="n">
        <f aca="false">IF(J$28="nymex",0,VLOOKUP($A126,curvesettle,HLOOKUP(J$28,curvesettle,2,FALSE())))</f>
        <v>0</v>
      </c>
      <c r="K126" s="219" t="n">
        <f aca="false">IF(J$28="NYMEX",$AD126,$AC126)</f>
        <v>-5751</v>
      </c>
      <c r="L126" s="220" t="e">
        <f aca="false">($C126+M126)+D$15</f>
        <v>#DIV/0!</v>
      </c>
      <c r="M126" s="4" t="e">
        <f aca="false">IF(D$16=1,xCalcSkew($A126,N126-AW126,b)/100,0)</f>
        <v>#DIV/0!</v>
      </c>
      <c r="N126" s="41" t="n">
        <f aca="false">IF($D$19=4,$AW126,$D$18)</f>
        <v>2.44</v>
      </c>
      <c r="P126" s="40" t="n">
        <f aca="false">IF(P$28="nymex",0,VLOOKUP($A126,curvesettle,HLOOKUP(P$28,curvesettle,2,FALSE())))</f>
        <v>0</v>
      </c>
      <c r="Q126" s="219" t="n">
        <f aca="false">IF(P$28="NYMEX",$AD126,$AC126)</f>
        <v>-5751</v>
      </c>
      <c r="R126" s="220" t="e">
        <f aca="false">($C126+S126)+F$15</f>
        <v>#DIV/0!</v>
      </c>
      <c r="S126" s="4" t="e">
        <f aca="false">IF(F$16=1,xCalcSkew($A126,T126-BH126,b)/100,0)</f>
        <v>#DIV/0!</v>
      </c>
      <c r="T126" s="41" t="n">
        <f aca="false">IF($F$19=4,$BH126,$F$18)</f>
        <v>2.44</v>
      </c>
      <c r="V126" s="40" t="n">
        <f aca="false">IF(V$28="nymex",0,VLOOKUP($A126,curvesettle,HLOOKUP(V$28,curvesettle,2,FALSE())))</f>
        <v>0</v>
      </c>
      <c r="W126" s="219" t="n">
        <f aca="false">IF(V$28="NYMEX",$AD126,$AC126)</f>
        <v>-5751</v>
      </c>
      <c r="X126" s="4" t="e">
        <f aca="false">($C126+Y126)+H$15</f>
        <v>#DIV/0!</v>
      </c>
      <c r="Y126" s="4" t="e">
        <f aca="false">IF(H$16=1,xCalcSkew($A126,Z126-BS126,b)/100,0)</f>
        <v>#DIV/0!</v>
      </c>
      <c r="Z126" s="41" t="n">
        <f aca="false">IF($H$19=4,$BS126,$H$18)</f>
        <v>2.44</v>
      </c>
      <c r="AC126" s="219" t="n">
        <f aca="false">VLOOKUP($A126,expiration,2,FALSE())-$B$2</f>
        <v>-5750</v>
      </c>
      <c r="AD126" s="219" t="n">
        <f aca="false">VLOOKUP($A126,expiration,3,FALSE())-$B$2</f>
        <v>-5751</v>
      </c>
      <c r="AE126" s="4" t="n">
        <f aca="false">VLOOKUP($A126,STRADDLE,15,FALSE())</f>
        <v>0.0567443976136408</v>
      </c>
      <c r="AF126" s="43" t="n">
        <f aca="false">A127-A126</f>
        <v>31</v>
      </c>
      <c r="AI126" s="219"/>
      <c r="AJ126" s="9"/>
      <c r="AK126" s="9" t="n">
        <f aca="false">IF($A126&gt;=AL$25,IF($A126&lt;=AL$26,$AF126,0),0)</f>
        <v>0</v>
      </c>
      <c r="AL126" s="221" t="e">
        <f aca="false">AN126/AK126</f>
        <v>#DIV/0!</v>
      </c>
      <c r="AM126" s="1" t="n">
        <f aca="false">AK126*($B126+B$13)</f>
        <v>0</v>
      </c>
      <c r="AN126" s="33" t="n">
        <f aca="false">IF(ISNUMBER(((AM126/AK126)+B$14+$D126)*AK126),((AM126/AK126)+B$14+$D126)*AK126,0)</f>
        <v>0</v>
      </c>
      <c r="AO126" s="44" t="n">
        <f aca="false">IF(AK126=0,0,bsd(1,AP$27,AL126,$H126,$E126,$F126,$AE126,0.1))</f>
        <v>0</v>
      </c>
      <c r="AP126" s="44" t="n">
        <f aca="false">IF(AK126=0,0,bsd(2,AP$27,AL126,$H126,$E126,$F126,$AE126,0.1))</f>
        <v>0</v>
      </c>
      <c r="AQ126" s="44" t="n">
        <f aca="false">IF(AK126=0,0,bsd(AP$28,AP$27,AL126,$H126,$E126,$F126,$AE126,0.1))</f>
        <v>0</v>
      </c>
      <c r="AR126" s="45" t="n">
        <f aca="false">AK126*AO126</f>
        <v>0</v>
      </c>
      <c r="AS126" s="45" t="n">
        <f aca="false">AK126*AP126</f>
        <v>0</v>
      </c>
      <c r="AT126" s="45" t="n">
        <f aca="false">AK126*AQ126</f>
        <v>0</v>
      </c>
      <c r="AV126" s="9" t="n">
        <f aca="false">IF($A126&gt;=AW$25,IF($A126&lt;=AW$26,$AF126,0),0)</f>
        <v>0</v>
      </c>
      <c r="AW126" s="221" t="e">
        <f aca="false">AY126/AV126</f>
        <v>#DIV/0!</v>
      </c>
      <c r="AX126" s="1" t="n">
        <f aca="false">AV126*($B126+D$13)</f>
        <v>0</v>
      </c>
      <c r="AY126" s="33" t="n">
        <f aca="false">IF(ISNUMBER(((AX126/AV126)+D$14+$J126)*AV126),((AX126/AV126)+D$14+$J126)*AV126,0)</f>
        <v>0</v>
      </c>
      <c r="AZ126" s="44" t="n">
        <f aca="false">IF(AV126=0,0,bsd(1,BA$27,AW126,$N126,$K126,$L126,$AE126,0.1))</f>
        <v>0</v>
      </c>
      <c r="BA126" s="44" t="n">
        <f aca="false">IF(AV126=0,0,bsd(2,BA$27,AW126,$N126,$K126,$L126,$AE126,0.1))</f>
        <v>0</v>
      </c>
      <c r="BB126" s="44" t="n">
        <f aca="false">IF(AV126=0,0,bsd(BA$28,BA$27,AW126,$N126,$K126,$L126,$AE126,0.1))</f>
        <v>0</v>
      </c>
      <c r="BC126" s="45" t="n">
        <f aca="false">AV126*AZ126</f>
        <v>0</v>
      </c>
      <c r="BD126" s="45" t="n">
        <f aca="false">AV126*BA126</f>
        <v>0</v>
      </c>
      <c r="BE126" s="45" t="n">
        <f aca="false">AV126*BB126</f>
        <v>0</v>
      </c>
      <c r="BG126" s="9" t="n">
        <f aca="false">IF($A126&gt;=BH$25,IF($A126&lt;=BH$26,$AF126,0),0)</f>
        <v>0</v>
      </c>
      <c r="BH126" s="221" t="e">
        <f aca="false">BJ126/BG126</f>
        <v>#DIV/0!</v>
      </c>
      <c r="BI126" s="1" t="n">
        <f aca="false">BG126*($B126+F$13)</f>
        <v>0</v>
      </c>
      <c r="BJ126" s="33" t="n">
        <f aca="false">IF(ISNUMBER(((BI126/BG126)+F$14+$P126)*BG126),((BI126/BG126)+F$14+$P126)*BG126,0)</f>
        <v>0</v>
      </c>
      <c r="BK126" s="44" t="n">
        <f aca="false">IF(BG126=0,0,bsd(1,BL$27,BH126,$T126,$Q126,$R126,$AE126,0.1))</f>
        <v>0</v>
      </c>
      <c r="BL126" s="44" t="n">
        <f aca="false">IF(BG126=0,0,bsd(2,BL$27,BH126,$T126,$Q126,$R126,$AE126,0.1))</f>
        <v>0</v>
      </c>
      <c r="BM126" s="44" t="n">
        <f aca="false">IF(BG126=0,0,bsd(BL$28,BL$27,BH126,$T126,$Q126,$R126,$AE126,0.1))</f>
        <v>0</v>
      </c>
      <c r="BN126" s="45" t="n">
        <f aca="false">BG126*BK126</f>
        <v>0</v>
      </c>
      <c r="BO126" s="45" t="n">
        <f aca="false">BG126*BL126</f>
        <v>0</v>
      </c>
      <c r="BP126" s="45" t="n">
        <f aca="false">BG126*BM126</f>
        <v>0</v>
      </c>
      <c r="BR126" s="9" t="n">
        <f aca="false">IF($A126&gt;=BS$25,IF($A126&lt;=BS$26,$AF126,0),0)</f>
        <v>0</v>
      </c>
      <c r="BS126" s="221" t="e">
        <f aca="false">BU126/BR126</f>
        <v>#DIV/0!</v>
      </c>
      <c r="BT126" s="1" t="n">
        <f aca="false">BR126*($B126+H$13)</f>
        <v>0</v>
      </c>
      <c r="BU126" s="33" t="n">
        <f aca="false">IF(ISNUMBER(((BT126/BR126)+H$14+$V126)*BR126),((BT126/BR126)+H$14+$V126)*BR126,0)</f>
        <v>0</v>
      </c>
      <c r="BV126" s="44" t="n">
        <f aca="false">IF(BR126=0,0,bsd(1,BW$27,BS126,$Z126,$W126,$X126,$AE126,0.1))</f>
        <v>0</v>
      </c>
      <c r="BW126" s="44" t="n">
        <f aca="false">IF(BR126=0,0,bsd(2,BW$27,BS126,$Z126,$W126,$X126,$AE126,0.1))</f>
        <v>0</v>
      </c>
      <c r="BX126" s="44" t="n">
        <f aca="false">IF(BR126=0,0,bsd(BW$28,BW$27,BS126,$Z126,$W126,$X126,$AE126,0.1))</f>
        <v>0</v>
      </c>
      <c r="BY126" s="45" t="n">
        <f aca="false">BR126*BV126</f>
        <v>0</v>
      </c>
      <c r="BZ126" s="45" t="n">
        <f aca="false">BR126*BW126</f>
        <v>0</v>
      </c>
      <c r="CA126" s="45" t="n">
        <f aca="false">BR126*BX126</f>
        <v>0</v>
      </c>
    </row>
    <row r="127" customFormat="false" ht="12.75" hidden="false" customHeight="false" outlineLevel="0" collapsed="false">
      <c r="A127" s="48" t="n">
        <f aca="false">DATE(YEAR(A126),MONTH(A126)+1,1)</f>
        <v>40210</v>
      </c>
      <c r="B127" s="40" t="n">
        <f aca="false">VLOOKUP(A127,STRADDLE,5,FALSE())</f>
        <v>3.601</v>
      </c>
      <c r="C127" s="4" t="e">
        <f aca="false">VLOOKUP(A127,STRADDLE,6,FALSE())</f>
        <v>#VALUE!</v>
      </c>
      <c r="D127" s="40" t="n">
        <f aca="false">IF(D$28="nymex",0,VLOOKUP($A127,curvesettle,HLOOKUP(D$28,curvesettle,2,FALSE())))</f>
        <v>0</v>
      </c>
      <c r="E127" s="219" t="n">
        <f aca="false">IF(D$28="NYMEX",$AD127,$AC127)</f>
        <v>-5722</v>
      </c>
      <c r="F127" s="4" t="e">
        <f aca="false">($C127+G127)+B$15</f>
        <v>#DIV/0!</v>
      </c>
      <c r="G127" s="4" t="e">
        <f aca="false">IF(B$16=1,xCalcSkew(A127,H127-AL127,b)/100,0)</f>
        <v>#DIV/0!</v>
      </c>
      <c r="H127" s="41" t="n">
        <f aca="false">IF($B$19=4,$AL127,$B$18)</f>
        <v>2.44</v>
      </c>
      <c r="J127" s="40" t="n">
        <f aca="false">IF(J$28="nymex",0,VLOOKUP($A127,curvesettle,HLOOKUP(J$28,curvesettle,2,FALSE())))</f>
        <v>0</v>
      </c>
      <c r="K127" s="219" t="n">
        <f aca="false">IF(J$28="NYMEX",$AD127,$AC127)</f>
        <v>-5722</v>
      </c>
      <c r="L127" s="220" t="e">
        <f aca="false">($C127+M127)+D$15</f>
        <v>#DIV/0!</v>
      </c>
      <c r="M127" s="4" t="e">
        <f aca="false">IF(D$16=1,xCalcSkew($A127,N127-AW127,b)/100,0)</f>
        <v>#DIV/0!</v>
      </c>
      <c r="N127" s="41" t="n">
        <f aca="false">IF($D$19=4,$AW127,$D$18)</f>
        <v>2.44</v>
      </c>
      <c r="P127" s="40" t="n">
        <f aca="false">IF(P$28="nymex",0,VLOOKUP($A127,curvesettle,HLOOKUP(P$28,curvesettle,2,FALSE())))</f>
        <v>0</v>
      </c>
      <c r="Q127" s="219" t="n">
        <f aca="false">IF(P$28="NYMEX",$AD127,$AC127)</f>
        <v>-5722</v>
      </c>
      <c r="R127" s="220" t="e">
        <f aca="false">($C127+S127)+F$15</f>
        <v>#DIV/0!</v>
      </c>
      <c r="S127" s="4" t="e">
        <f aca="false">IF(F$16=1,xCalcSkew($A127,T127-BH127,b)/100,0)</f>
        <v>#DIV/0!</v>
      </c>
      <c r="T127" s="41" t="n">
        <f aca="false">IF($F$19=4,$BH127,$F$18)</f>
        <v>2.44</v>
      </c>
      <c r="V127" s="40" t="n">
        <f aca="false">IF(V$28="nymex",0,VLOOKUP($A127,curvesettle,HLOOKUP(V$28,curvesettle,2,FALSE())))</f>
        <v>0</v>
      </c>
      <c r="W127" s="219" t="n">
        <f aca="false">IF(V$28="NYMEX",$AD127,$AC127)</f>
        <v>-5722</v>
      </c>
      <c r="X127" s="4" t="e">
        <f aca="false">($C127+Y127)+H$15</f>
        <v>#DIV/0!</v>
      </c>
      <c r="Y127" s="4" t="e">
        <f aca="false">IF(H$16=1,xCalcSkew($A127,Z127-BS127,b)/100,0)</f>
        <v>#DIV/0!</v>
      </c>
      <c r="Z127" s="41" t="n">
        <f aca="false">IF($H$19=4,$BS127,$H$18)</f>
        <v>2.44</v>
      </c>
      <c r="AC127" s="219" t="n">
        <f aca="false">VLOOKUP($A127,expiration,2,FALSE())-$B$2</f>
        <v>-5721</v>
      </c>
      <c r="AD127" s="219" t="n">
        <f aca="false">VLOOKUP($A127,expiration,3,FALSE())-$B$2</f>
        <v>-5722</v>
      </c>
      <c r="AE127" s="4" t="n">
        <f aca="false">VLOOKUP($A127,STRADDLE,15,FALSE())</f>
        <v>0.0568478960356496</v>
      </c>
      <c r="AF127" s="43" t="n">
        <f aca="false">A128-A127</f>
        <v>28</v>
      </c>
      <c r="AI127" s="219"/>
      <c r="AJ127" s="9"/>
      <c r="AK127" s="9" t="n">
        <f aca="false">IF($A127&gt;=AL$25,IF($A127&lt;=AL$26,$AF127,0),0)</f>
        <v>0</v>
      </c>
      <c r="AL127" s="221" t="e">
        <f aca="false">AN127/AK127</f>
        <v>#DIV/0!</v>
      </c>
      <c r="AM127" s="1" t="n">
        <f aca="false">AK127*($B127+B$13)</f>
        <v>0</v>
      </c>
      <c r="AN127" s="33" t="n">
        <f aca="false">IF(ISNUMBER(((AM127/AK127)+B$14+$D127)*AK127),((AM127/AK127)+B$14+$D127)*AK127,0)</f>
        <v>0</v>
      </c>
      <c r="AO127" s="44" t="n">
        <f aca="false">IF(AK127=0,0,bsd(1,AP$27,AL127,$H127,$E127,$F127,$AE127,0.1))</f>
        <v>0</v>
      </c>
      <c r="AP127" s="44" t="n">
        <f aca="false">IF(AK127=0,0,bsd(2,AP$27,AL127,$H127,$E127,$F127,$AE127,0.1))</f>
        <v>0</v>
      </c>
      <c r="AQ127" s="44" t="n">
        <f aca="false">IF(AK127=0,0,bsd(AP$28,AP$27,AL127,$H127,$E127,$F127,$AE127,0.1))</f>
        <v>0</v>
      </c>
      <c r="AR127" s="45" t="n">
        <f aca="false">AK127*AO127</f>
        <v>0</v>
      </c>
      <c r="AS127" s="45" t="n">
        <f aca="false">AK127*AP127</f>
        <v>0</v>
      </c>
      <c r="AT127" s="45" t="n">
        <f aca="false">AK127*AQ127</f>
        <v>0</v>
      </c>
      <c r="AV127" s="9" t="n">
        <f aca="false">IF($A127&gt;=AW$25,IF($A127&lt;=AW$26,$AF127,0),0)</f>
        <v>0</v>
      </c>
      <c r="AW127" s="221" t="e">
        <f aca="false">AY127/AV127</f>
        <v>#DIV/0!</v>
      </c>
      <c r="AX127" s="1" t="n">
        <f aca="false">AV127*($B127+D$13)</f>
        <v>0</v>
      </c>
      <c r="AY127" s="33" t="n">
        <f aca="false">IF(ISNUMBER(((AX127/AV127)+D$14+$J127)*AV127),((AX127/AV127)+D$14+$J127)*AV127,0)</f>
        <v>0</v>
      </c>
      <c r="AZ127" s="44" t="n">
        <f aca="false">IF(AV127=0,0,bsd(1,BA$27,AW127,$N127,$K127,$L127,$AE127,0.1))</f>
        <v>0</v>
      </c>
      <c r="BA127" s="44" t="n">
        <f aca="false">IF(AV127=0,0,bsd(2,BA$27,AW127,$N127,$K127,$L127,$AE127,0.1))</f>
        <v>0</v>
      </c>
      <c r="BB127" s="44" t="n">
        <f aca="false">IF(AV127=0,0,bsd(BA$28,BA$27,AW127,$N127,$K127,$L127,$AE127,0.1))</f>
        <v>0</v>
      </c>
      <c r="BC127" s="45" t="n">
        <f aca="false">AV127*AZ127</f>
        <v>0</v>
      </c>
      <c r="BD127" s="45" t="n">
        <f aca="false">AV127*BA127</f>
        <v>0</v>
      </c>
      <c r="BE127" s="45" t="n">
        <f aca="false">AV127*BB127</f>
        <v>0</v>
      </c>
      <c r="BG127" s="9" t="n">
        <f aca="false">IF($A127&gt;=BH$25,IF($A127&lt;=BH$26,$AF127,0),0)</f>
        <v>0</v>
      </c>
      <c r="BH127" s="221" t="e">
        <f aca="false">BJ127/BG127</f>
        <v>#DIV/0!</v>
      </c>
      <c r="BI127" s="1" t="n">
        <f aca="false">BG127*($B127+F$13)</f>
        <v>0</v>
      </c>
      <c r="BJ127" s="33" t="n">
        <f aca="false">IF(ISNUMBER(((BI127/BG127)+F$14+$P127)*BG127),((BI127/BG127)+F$14+$P127)*BG127,0)</f>
        <v>0</v>
      </c>
      <c r="BK127" s="44" t="n">
        <f aca="false">IF(BG127=0,0,bsd(1,BL$27,BH127,$T127,$Q127,$R127,$AE127,0.1))</f>
        <v>0</v>
      </c>
      <c r="BL127" s="44" t="n">
        <f aca="false">IF(BG127=0,0,bsd(2,BL$27,BH127,$T127,$Q127,$R127,$AE127,0.1))</f>
        <v>0</v>
      </c>
      <c r="BM127" s="44" t="n">
        <f aca="false">IF(BG127=0,0,bsd(BL$28,BL$27,BH127,$T127,$Q127,$R127,$AE127,0.1))</f>
        <v>0</v>
      </c>
      <c r="BN127" s="45" t="n">
        <f aca="false">BG127*BK127</f>
        <v>0</v>
      </c>
      <c r="BO127" s="45" t="n">
        <f aca="false">BG127*BL127</f>
        <v>0</v>
      </c>
      <c r="BP127" s="45" t="n">
        <f aca="false">BG127*BM127</f>
        <v>0</v>
      </c>
      <c r="BR127" s="9" t="n">
        <f aca="false">IF($A127&gt;=BS$25,IF($A127&lt;=BS$26,$AF127,0),0)</f>
        <v>0</v>
      </c>
      <c r="BS127" s="221" t="e">
        <f aca="false">BU127/BR127</f>
        <v>#DIV/0!</v>
      </c>
      <c r="BT127" s="1" t="n">
        <f aca="false">BR127*($B127+H$13)</f>
        <v>0</v>
      </c>
      <c r="BU127" s="33" t="n">
        <f aca="false">IF(ISNUMBER(((BT127/BR127)+H$14+$V127)*BR127),((BT127/BR127)+H$14+$V127)*BR127,0)</f>
        <v>0</v>
      </c>
      <c r="BV127" s="44" t="n">
        <f aca="false">IF(BR127=0,0,bsd(1,BW$27,BS127,$Z127,$W127,$X127,$AE127,0.1))</f>
        <v>0</v>
      </c>
      <c r="BW127" s="44" t="n">
        <f aca="false">IF(BR127=0,0,bsd(2,BW$27,BS127,$Z127,$W127,$X127,$AE127,0.1))</f>
        <v>0</v>
      </c>
      <c r="BX127" s="44" t="n">
        <f aca="false">IF(BR127=0,0,bsd(BW$28,BW$27,BS127,$Z127,$W127,$X127,$AE127,0.1))</f>
        <v>0</v>
      </c>
      <c r="BY127" s="45" t="n">
        <f aca="false">BR127*BV127</f>
        <v>0</v>
      </c>
      <c r="BZ127" s="45" t="n">
        <f aca="false">BR127*BW127</f>
        <v>0</v>
      </c>
      <c r="CA127" s="45" t="n">
        <f aca="false">BR127*BX127</f>
        <v>0</v>
      </c>
    </row>
    <row r="128" customFormat="false" ht="12.75" hidden="false" customHeight="false" outlineLevel="0" collapsed="false">
      <c r="A128" s="48" t="n">
        <f aca="false">DATE(YEAR(A127),MONTH(A127)+1,1)</f>
        <v>40238</v>
      </c>
      <c r="B128" s="40" t="n">
        <f aca="false">VLOOKUP(A128,STRADDLE,5,FALSE())</f>
        <v>3.55</v>
      </c>
      <c r="C128" s="4" t="e">
        <f aca="false">VLOOKUP(A128,STRADDLE,6,FALSE())</f>
        <v>#VALUE!</v>
      </c>
      <c r="D128" s="40" t="n">
        <f aca="false">IF(D$28="nymex",0,VLOOKUP($A128,curvesettle,HLOOKUP(D$28,curvesettle,2,FALSE())))</f>
        <v>0</v>
      </c>
      <c r="E128" s="219" t="n">
        <f aca="false">IF(D$28="NYMEX",$AD128,$AC128)</f>
        <v>-5694</v>
      </c>
      <c r="F128" s="4" t="e">
        <f aca="false">($C128+G128)+B$15</f>
        <v>#DIV/0!</v>
      </c>
      <c r="G128" s="4" t="e">
        <f aca="false">IF(B$16=1,xCalcSkew(A128,H128-AL128,b)/100,0)</f>
        <v>#DIV/0!</v>
      </c>
      <c r="H128" s="41" t="n">
        <f aca="false">IF($B$19=4,$AL128,$B$18)</f>
        <v>2.44</v>
      </c>
      <c r="J128" s="40" t="n">
        <f aca="false">IF(J$28="nymex",0,VLOOKUP($A128,curvesettle,HLOOKUP(J$28,curvesettle,2,FALSE())))</f>
        <v>0</v>
      </c>
      <c r="K128" s="219" t="n">
        <f aca="false">IF(J$28="NYMEX",$AD128,$AC128)</f>
        <v>-5694</v>
      </c>
      <c r="L128" s="220" t="e">
        <f aca="false">($C128+M128)+D$15</f>
        <v>#DIV/0!</v>
      </c>
      <c r="M128" s="4" t="e">
        <f aca="false">IF(D$16=1,xCalcSkew($A128,N128-AW128,b)/100,0)</f>
        <v>#DIV/0!</v>
      </c>
      <c r="N128" s="41" t="n">
        <f aca="false">IF($D$19=4,$AW128,$D$18)</f>
        <v>2.44</v>
      </c>
      <c r="P128" s="40" t="n">
        <f aca="false">IF(P$28="nymex",0,VLOOKUP($A128,curvesettle,HLOOKUP(P$28,curvesettle,2,FALSE())))</f>
        <v>0</v>
      </c>
      <c r="Q128" s="219" t="n">
        <f aca="false">IF(P$28="NYMEX",$AD128,$AC128)</f>
        <v>-5694</v>
      </c>
      <c r="R128" s="220" t="e">
        <f aca="false">($C128+S128)+F$15</f>
        <v>#DIV/0!</v>
      </c>
      <c r="S128" s="4" t="e">
        <f aca="false">IF(F$16=1,xCalcSkew($A128,T128-BH128,b)/100,0)</f>
        <v>#DIV/0!</v>
      </c>
      <c r="T128" s="41" t="n">
        <f aca="false">IF($F$19=4,$BH128,$F$18)</f>
        <v>2.44</v>
      </c>
      <c r="V128" s="40" t="n">
        <f aca="false">IF(V$28="nymex",0,VLOOKUP($A128,curvesettle,HLOOKUP(V$28,curvesettle,2,FALSE())))</f>
        <v>0</v>
      </c>
      <c r="W128" s="219" t="n">
        <f aca="false">IF(V$28="NYMEX",$AD128,$AC128)</f>
        <v>-5694</v>
      </c>
      <c r="X128" s="4" t="e">
        <f aca="false">($C128+Y128)+H$15</f>
        <v>#DIV/0!</v>
      </c>
      <c r="Y128" s="4" t="e">
        <f aca="false">IF(H$16=1,xCalcSkew($A128,Z128-BS128,b)/100,0)</f>
        <v>#DIV/0!</v>
      </c>
      <c r="Z128" s="41" t="n">
        <f aca="false">IF($H$19=4,$BS128,$H$18)</f>
        <v>2.44</v>
      </c>
      <c r="AC128" s="219" t="n">
        <f aca="false">VLOOKUP($A128,expiration,2,FALSE())-$B$2</f>
        <v>-5693</v>
      </c>
      <c r="AD128" s="219" t="n">
        <f aca="false">VLOOKUP($A128,expiration,3,FALSE())-$B$2</f>
        <v>-5694</v>
      </c>
      <c r="AE128" s="4" t="n">
        <f aca="false">VLOOKUP($A128,STRADDLE,15,FALSE())</f>
        <v>0.056951394461223</v>
      </c>
      <c r="AF128" s="43" t="n">
        <f aca="false">A129-A128</f>
        <v>31</v>
      </c>
      <c r="AI128" s="219"/>
      <c r="AJ128" s="9"/>
      <c r="AK128" s="9" t="n">
        <f aca="false">IF($A128&gt;=AL$25,IF($A128&lt;=AL$26,$AF128,0),0)</f>
        <v>0</v>
      </c>
      <c r="AL128" s="221" t="e">
        <f aca="false">AN128/AK128</f>
        <v>#DIV/0!</v>
      </c>
      <c r="AM128" s="1" t="n">
        <f aca="false">AK128*($B128+B$13)</f>
        <v>0</v>
      </c>
      <c r="AN128" s="33" t="n">
        <f aca="false">IF(ISNUMBER(((AM128/AK128)+B$14+$D128)*AK128),((AM128/AK128)+B$14+$D128)*AK128,0)</f>
        <v>0</v>
      </c>
      <c r="AO128" s="44" t="n">
        <f aca="false">IF(AK128=0,0,bsd(1,AP$27,AL128,$H128,$E128,$F128,$AE128,0.1))</f>
        <v>0</v>
      </c>
      <c r="AP128" s="44" t="n">
        <f aca="false">IF(AK128=0,0,bsd(2,AP$27,AL128,$H128,$E128,$F128,$AE128,0.1))</f>
        <v>0</v>
      </c>
      <c r="AQ128" s="44" t="n">
        <f aca="false">IF(AK128=0,0,bsd(AP$28,AP$27,AL128,$H128,$E128,$F128,$AE128,0.1))</f>
        <v>0</v>
      </c>
      <c r="AR128" s="45" t="n">
        <f aca="false">AK128*AO128</f>
        <v>0</v>
      </c>
      <c r="AS128" s="45" t="n">
        <f aca="false">AK128*AP128</f>
        <v>0</v>
      </c>
      <c r="AT128" s="45" t="n">
        <f aca="false">AK128*AQ128</f>
        <v>0</v>
      </c>
      <c r="AV128" s="9" t="n">
        <f aca="false">IF($A128&gt;=AW$25,IF($A128&lt;=AW$26,$AF128,0),0)</f>
        <v>0</v>
      </c>
      <c r="AW128" s="221" t="e">
        <f aca="false">AY128/AV128</f>
        <v>#DIV/0!</v>
      </c>
      <c r="AX128" s="1" t="n">
        <f aca="false">AV128*($B128+D$13)</f>
        <v>0</v>
      </c>
      <c r="AY128" s="33" t="n">
        <f aca="false">IF(ISNUMBER(((AX128/AV128)+D$14+$J128)*AV128),((AX128/AV128)+D$14+$J128)*AV128,0)</f>
        <v>0</v>
      </c>
      <c r="AZ128" s="44" t="n">
        <f aca="false">IF(AV128=0,0,bsd(1,BA$27,AW128,$N128,$K128,$L128,$AE128,0.1))</f>
        <v>0</v>
      </c>
      <c r="BA128" s="44" t="n">
        <f aca="false">IF(AV128=0,0,bsd(2,BA$27,AW128,$N128,$K128,$L128,$AE128,0.1))</f>
        <v>0</v>
      </c>
      <c r="BB128" s="44" t="n">
        <f aca="false">IF(AV128=0,0,bsd(BA$28,BA$27,AW128,$N128,$K128,$L128,$AE128,0.1))</f>
        <v>0</v>
      </c>
      <c r="BC128" s="45" t="n">
        <f aca="false">AV128*AZ128</f>
        <v>0</v>
      </c>
      <c r="BD128" s="45" t="n">
        <f aca="false">AV128*BA128</f>
        <v>0</v>
      </c>
      <c r="BE128" s="45" t="n">
        <f aca="false">AV128*BB128</f>
        <v>0</v>
      </c>
      <c r="BG128" s="9" t="n">
        <f aca="false">IF($A128&gt;=BH$25,IF($A128&lt;=BH$26,$AF128,0),0)</f>
        <v>0</v>
      </c>
      <c r="BH128" s="221" t="e">
        <f aca="false">BJ128/BG128</f>
        <v>#DIV/0!</v>
      </c>
      <c r="BI128" s="1" t="n">
        <f aca="false">BG128*($B128+F$13)</f>
        <v>0</v>
      </c>
      <c r="BJ128" s="33" t="n">
        <f aca="false">IF(ISNUMBER(((BI128/BG128)+F$14+$P128)*BG128),((BI128/BG128)+F$14+$P128)*BG128,0)</f>
        <v>0</v>
      </c>
      <c r="BK128" s="44" t="n">
        <f aca="false">IF(BG128=0,0,bsd(1,BL$27,BH128,$T128,$Q128,$R128,$AE128,0.1))</f>
        <v>0</v>
      </c>
      <c r="BL128" s="44" t="n">
        <f aca="false">IF(BG128=0,0,bsd(2,BL$27,BH128,$T128,$Q128,$R128,$AE128,0.1))</f>
        <v>0</v>
      </c>
      <c r="BM128" s="44" t="n">
        <f aca="false">IF(BG128=0,0,bsd(BL$28,BL$27,BH128,$T128,$Q128,$R128,$AE128,0.1))</f>
        <v>0</v>
      </c>
      <c r="BN128" s="45" t="n">
        <f aca="false">BG128*BK128</f>
        <v>0</v>
      </c>
      <c r="BO128" s="45" t="n">
        <f aca="false">BG128*BL128</f>
        <v>0</v>
      </c>
      <c r="BP128" s="45" t="n">
        <f aca="false">BG128*BM128</f>
        <v>0</v>
      </c>
      <c r="BR128" s="9" t="n">
        <f aca="false">IF($A128&gt;=BS$25,IF($A128&lt;=BS$26,$AF128,0),0)</f>
        <v>0</v>
      </c>
      <c r="BS128" s="221" t="e">
        <f aca="false">BU128/BR128</f>
        <v>#DIV/0!</v>
      </c>
      <c r="BT128" s="1" t="n">
        <f aca="false">BR128*($B128+H$13)</f>
        <v>0</v>
      </c>
      <c r="BU128" s="33" t="n">
        <f aca="false">IF(ISNUMBER(((BT128/BR128)+H$14+$V128)*BR128),((BT128/BR128)+H$14+$V128)*BR128,0)</f>
        <v>0</v>
      </c>
      <c r="BV128" s="44" t="n">
        <f aca="false">IF(BR128=0,0,bsd(1,BW$27,BS128,$Z128,$W128,$X128,$AE128,0.1))</f>
        <v>0</v>
      </c>
      <c r="BW128" s="44" t="n">
        <f aca="false">IF(BR128=0,0,bsd(2,BW$27,BS128,$Z128,$W128,$X128,$AE128,0.1))</f>
        <v>0</v>
      </c>
      <c r="BX128" s="44" t="n">
        <f aca="false">IF(BR128=0,0,bsd(BW$28,BW$27,BS128,$Z128,$W128,$X128,$AE128,0.1))</f>
        <v>0</v>
      </c>
      <c r="BY128" s="45" t="n">
        <f aca="false">BR128*BV128</f>
        <v>0</v>
      </c>
      <c r="BZ128" s="45" t="n">
        <f aca="false">BR128*BW128</f>
        <v>0</v>
      </c>
      <c r="CA128" s="45" t="n">
        <f aca="false">BR128*BX128</f>
        <v>0</v>
      </c>
    </row>
    <row r="129" customFormat="false" ht="12.75" hidden="false" customHeight="false" outlineLevel="0" collapsed="false">
      <c r="A129" s="48" t="n">
        <f aca="false">DATE(YEAR(A128),MONTH(A128)+1,1)</f>
        <v>40269</v>
      </c>
      <c r="B129" s="40" t="n">
        <f aca="false">VLOOKUP(A129,STRADDLE,5,FALSE())</f>
        <v>3.331</v>
      </c>
      <c r="C129" s="4" t="e">
        <f aca="false">VLOOKUP(A129,STRADDLE,6,FALSE())</f>
        <v>#VALUE!</v>
      </c>
      <c r="D129" s="40" t="n">
        <f aca="false">IF(D$28="nymex",0,VLOOKUP($A129,curvesettle,HLOOKUP(D$28,curvesettle,2,FALSE())))</f>
        <v>0</v>
      </c>
      <c r="E129" s="219" t="n">
        <f aca="false">IF(D$28="NYMEX",$AD129,$AC129)</f>
        <v>-5663</v>
      </c>
      <c r="F129" s="4" t="e">
        <f aca="false">($C129+G129)+B$15</f>
        <v>#DIV/0!</v>
      </c>
      <c r="G129" s="4" t="e">
        <f aca="false">IF(B$16=1,xCalcSkew(A129,H129-AL129,b)/100,0)</f>
        <v>#DIV/0!</v>
      </c>
      <c r="H129" s="41" t="n">
        <f aca="false">IF($B$19=4,$AL129,$B$18)</f>
        <v>2.44</v>
      </c>
      <c r="J129" s="40" t="n">
        <f aca="false">IF(J$28="nymex",0,VLOOKUP($A129,curvesettle,HLOOKUP(J$28,curvesettle,2,FALSE())))</f>
        <v>0</v>
      </c>
      <c r="K129" s="219" t="n">
        <f aca="false">IF(J$28="NYMEX",$AD129,$AC129)</f>
        <v>-5663</v>
      </c>
      <c r="L129" s="220" t="e">
        <f aca="false">($C129+M129)+D$15</f>
        <v>#DIV/0!</v>
      </c>
      <c r="M129" s="4" t="e">
        <f aca="false">IF(D$16=1,xCalcSkew($A129,N129-AW129,b)/100,0)</f>
        <v>#DIV/0!</v>
      </c>
      <c r="N129" s="41" t="n">
        <f aca="false">IF($D$19=4,$AW129,$D$18)</f>
        <v>2.44</v>
      </c>
      <c r="P129" s="40" t="n">
        <f aca="false">IF(P$28="nymex",0,VLOOKUP($A129,curvesettle,HLOOKUP(P$28,curvesettle,2,FALSE())))</f>
        <v>0</v>
      </c>
      <c r="Q129" s="219" t="n">
        <f aca="false">IF(P$28="NYMEX",$AD129,$AC129)</f>
        <v>-5663</v>
      </c>
      <c r="R129" s="220" t="e">
        <f aca="false">($C129+S129)+F$15</f>
        <v>#DIV/0!</v>
      </c>
      <c r="S129" s="4" t="e">
        <f aca="false">IF(F$16=1,xCalcSkew($A129,T129-BH129,b)/100,0)</f>
        <v>#DIV/0!</v>
      </c>
      <c r="T129" s="41" t="n">
        <f aca="false">IF($F$19=4,$BH129,$F$18)</f>
        <v>2.44</v>
      </c>
      <c r="V129" s="40" t="n">
        <f aca="false">IF(V$28="nymex",0,VLOOKUP($A129,curvesettle,HLOOKUP(V$28,curvesettle,2,FALSE())))</f>
        <v>0</v>
      </c>
      <c r="W129" s="219" t="n">
        <f aca="false">IF(V$28="NYMEX",$AD129,$AC129)</f>
        <v>-5663</v>
      </c>
      <c r="X129" s="4" t="e">
        <f aca="false">($C129+Y129)+H$15</f>
        <v>#DIV/0!</v>
      </c>
      <c r="Y129" s="4" t="e">
        <f aca="false">IF(H$16=1,xCalcSkew($A129,Z129-BS129,b)/100,0)</f>
        <v>#DIV/0!</v>
      </c>
      <c r="Z129" s="41" t="n">
        <f aca="false">IF($H$19=4,$BS129,$H$18)</f>
        <v>2.44</v>
      </c>
      <c r="AC129" s="219" t="n">
        <f aca="false">VLOOKUP($A129,expiration,2,FALSE())-$B$2</f>
        <v>-5660</v>
      </c>
      <c r="AD129" s="219" t="n">
        <f aca="false">VLOOKUP($A129,expiration,3,FALSE())-$B$2</f>
        <v>-5663</v>
      </c>
      <c r="AE129" s="4" t="n">
        <f aca="false">VLOOKUP($A129,STRADDLE,15,FALSE())</f>
        <v>0.0570448769131922</v>
      </c>
      <c r="AF129" s="43" t="n">
        <f aca="false">A130-A129</f>
        <v>30</v>
      </c>
      <c r="AI129" s="219"/>
      <c r="AJ129" s="9"/>
      <c r="AK129" s="9" t="n">
        <f aca="false">IF($A129&gt;=AL$25,IF($A129&lt;=AL$26,$AF129,0),0)</f>
        <v>0</v>
      </c>
      <c r="AL129" s="221" t="e">
        <f aca="false">AN129/AK129</f>
        <v>#DIV/0!</v>
      </c>
      <c r="AM129" s="1" t="n">
        <f aca="false">AK129*($B129+B$13)</f>
        <v>0</v>
      </c>
      <c r="AN129" s="33" t="n">
        <f aca="false">IF(ISNUMBER(((AM129/AK129)+B$14+$D129)*AK129),((AM129/AK129)+B$14+$D129)*AK129,0)</f>
        <v>0</v>
      </c>
      <c r="AO129" s="44" t="n">
        <f aca="false">IF(AK129=0,0,bsd(1,AP$27,AL129,$H129,$E129,$F129,$AE129,0.1))</f>
        <v>0</v>
      </c>
      <c r="AP129" s="44" t="n">
        <f aca="false">IF(AK129=0,0,bsd(2,AP$27,AL129,$H129,$E129,$F129,$AE129,0.1))</f>
        <v>0</v>
      </c>
      <c r="AQ129" s="44" t="n">
        <f aca="false">IF(AK129=0,0,bsd(AP$28,AP$27,AL129,$H129,$E129,$F129,$AE129,0.1))</f>
        <v>0</v>
      </c>
      <c r="AR129" s="45" t="n">
        <f aca="false">AK129*AO129</f>
        <v>0</v>
      </c>
      <c r="AS129" s="45" t="n">
        <f aca="false">AK129*AP129</f>
        <v>0</v>
      </c>
      <c r="AT129" s="45" t="n">
        <f aca="false">AK129*AQ129</f>
        <v>0</v>
      </c>
      <c r="AV129" s="9" t="n">
        <f aca="false">IF($A129&gt;=AW$25,IF($A129&lt;=AW$26,$AF129,0),0)</f>
        <v>0</v>
      </c>
      <c r="AW129" s="221" t="e">
        <f aca="false">AY129/AV129</f>
        <v>#DIV/0!</v>
      </c>
      <c r="AX129" s="1" t="n">
        <f aca="false">AV129*($B129+D$13)</f>
        <v>0</v>
      </c>
      <c r="AY129" s="33" t="n">
        <f aca="false">IF(ISNUMBER(((AX129/AV129)+D$14+$J129)*AV129),((AX129/AV129)+D$14+$J129)*AV129,0)</f>
        <v>0</v>
      </c>
      <c r="AZ129" s="44" t="n">
        <f aca="false">IF(AV129=0,0,bsd(1,BA$27,AW129,$N129,$K129,$L129,$AE129,0.1))</f>
        <v>0</v>
      </c>
      <c r="BA129" s="44" t="n">
        <f aca="false">IF(AV129=0,0,bsd(2,BA$27,AW129,$N129,$K129,$L129,$AE129,0.1))</f>
        <v>0</v>
      </c>
      <c r="BB129" s="44" t="n">
        <f aca="false">IF(AV129=0,0,bsd(BA$28,BA$27,AW129,$N129,$K129,$L129,$AE129,0.1))</f>
        <v>0</v>
      </c>
      <c r="BC129" s="45" t="n">
        <f aca="false">AV129*AZ129</f>
        <v>0</v>
      </c>
      <c r="BD129" s="45" t="n">
        <f aca="false">AV129*BA129</f>
        <v>0</v>
      </c>
      <c r="BE129" s="45" t="n">
        <f aca="false">AV129*BB129</f>
        <v>0</v>
      </c>
      <c r="BG129" s="9" t="n">
        <f aca="false">IF($A129&gt;=BH$25,IF($A129&lt;=BH$26,$AF129,0),0)</f>
        <v>0</v>
      </c>
      <c r="BH129" s="221" t="e">
        <f aca="false">BJ129/BG129</f>
        <v>#DIV/0!</v>
      </c>
      <c r="BI129" s="1" t="n">
        <f aca="false">BG129*($B129+F$13)</f>
        <v>0</v>
      </c>
      <c r="BJ129" s="33" t="n">
        <f aca="false">IF(ISNUMBER(((BI129/BG129)+F$14+$P129)*BG129),((BI129/BG129)+F$14+$P129)*BG129,0)</f>
        <v>0</v>
      </c>
      <c r="BK129" s="44" t="n">
        <f aca="false">IF(BG129=0,0,bsd(1,BL$27,BH129,$T129,$Q129,$R129,$AE129,0.1))</f>
        <v>0</v>
      </c>
      <c r="BL129" s="44" t="n">
        <f aca="false">IF(BG129=0,0,bsd(2,BL$27,BH129,$T129,$Q129,$R129,$AE129,0.1))</f>
        <v>0</v>
      </c>
      <c r="BM129" s="44" t="n">
        <f aca="false">IF(BG129=0,0,bsd(BL$28,BL$27,BH129,$T129,$Q129,$R129,$AE129,0.1))</f>
        <v>0</v>
      </c>
      <c r="BN129" s="45" t="n">
        <f aca="false">BG129*BK129</f>
        <v>0</v>
      </c>
      <c r="BO129" s="45" t="n">
        <f aca="false">BG129*BL129</f>
        <v>0</v>
      </c>
      <c r="BP129" s="45" t="n">
        <f aca="false">BG129*BM129</f>
        <v>0</v>
      </c>
      <c r="BR129" s="9" t="n">
        <f aca="false">IF($A129&gt;=BS$25,IF($A129&lt;=BS$26,$AF129,0),0)</f>
        <v>0</v>
      </c>
      <c r="BS129" s="221" t="e">
        <f aca="false">BU129/BR129</f>
        <v>#DIV/0!</v>
      </c>
      <c r="BT129" s="1" t="n">
        <f aca="false">BR129*($B129+H$13)</f>
        <v>0</v>
      </c>
      <c r="BU129" s="33" t="n">
        <f aca="false">IF(ISNUMBER(((BT129/BR129)+H$14+$V129)*BR129),((BT129/BR129)+H$14+$V129)*BR129,0)</f>
        <v>0</v>
      </c>
      <c r="BV129" s="44" t="n">
        <f aca="false">IF(BR129=0,0,bsd(1,BW$27,BS129,$Z129,$W129,$X129,$AE129,0.1))</f>
        <v>0</v>
      </c>
      <c r="BW129" s="44" t="n">
        <f aca="false">IF(BR129=0,0,bsd(2,BW$27,BS129,$Z129,$W129,$X129,$AE129,0.1))</f>
        <v>0</v>
      </c>
      <c r="BX129" s="44" t="n">
        <f aca="false">IF(BR129=0,0,bsd(BW$28,BW$27,BS129,$Z129,$W129,$X129,$AE129,0.1))</f>
        <v>0</v>
      </c>
      <c r="BY129" s="45" t="n">
        <f aca="false">BR129*BV129</f>
        <v>0</v>
      </c>
      <c r="BZ129" s="45" t="n">
        <f aca="false">BR129*BW129</f>
        <v>0</v>
      </c>
      <c r="CA129" s="45" t="n">
        <f aca="false">BR129*BX129</f>
        <v>0</v>
      </c>
    </row>
    <row r="130" customFormat="false" ht="12.75" hidden="false" customHeight="false" outlineLevel="0" collapsed="false">
      <c r="A130" s="48" t="n">
        <f aca="false">DATE(YEAR(A129),MONTH(A129)+1,1)</f>
        <v>40299</v>
      </c>
      <c r="B130" s="40" t="n">
        <f aca="false">VLOOKUP(A130,STRADDLE,5,FALSE())</f>
        <v>3.334</v>
      </c>
      <c r="C130" s="4" t="e">
        <f aca="false">VLOOKUP(A130,STRADDLE,6,FALSE())</f>
        <v>#VALUE!</v>
      </c>
      <c r="D130" s="40" t="n">
        <f aca="false">IF(D$28="nymex",0,VLOOKUP($A130,curvesettle,HLOOKUP(D$28,curvesettle,2,FALSE())))</f>
        <v>0</v>
      </c>
      <c r="E130" s="219" t="n">
        <f aca="false">IF(D$28="NYMEX",$AD130,$AC130)</f>
        <v>-5631</v>
      </c>
      <c r="F130" s="4" t="e">
        <f aca="false">($C130+G130)+B$15</f>
        <v>#DIV/0!</v>
      </c>
      <c r="G130" s="4" t="e">
        <f aca="false">IF(B$16=1,xCalcSkew(A130,H130-AL130,b)/100,0)</f>
        <v>#DIV/0!</v>
      </c>
      <c r="H130" s="41" t="n">
        <f aca="false">IF($B$19=4,$AL130,$B$18)</f>
        <v>2.44</v>
      </c>
      <c r="J130" s="40" t="n">
        <f aca="false">IF(J$28="nymex",0,VLOOKUP($A130,curvesettle,HLOOKUP(J$28,curvesettle,2,FALSE())))</f>
        <v>0</v>
      </c>
      <c r="K130" s="219" t="n">
        <f aca="false">IF(J$28="NYMEX",$AD130,$AC130)</f>
        <v>-5631</v>
      </c>
      <c r="L130" s="220" t="e">
        <f aca="false">($C130+M130)+D$15</f>
        <v>#DIV/0!</v>
      </c>
      <c r="M130" s="4" t="e">
        <f aca="false">IF(D$16=1,xCalcSkew($A130,N130-AW130,b)/100,0)</f>
        <v>#DIV/0!</v>
      </c>
      <c r="N130" s="41" t="n">
        <f aca="false">IF($D$19=4,$AW130,$D$18)</f>
        <v>2.44</v>
      </c>
      <c r="P130" s="40" t="n">
        <f aca="false">IF(P$28="nymex",0,VLOOKUP($A130,curvesettle,HLOOKUP(P$28,curvesettle,2,FALSE())))</f>
        <v>0</v>
      </c>
      <c r="Q130" s="219" t="n">
        <f aca="false">IF(P$28="NYMEX",$AD130,$AC130)</f>
        <v>-5631</v>
      </c>
      <c r="R130" s="220" t="e">
        <f aca="false">($C130+S130)+F$15</f>
        <v>#DIV/0!</v>
      </c>
      <c r="S130" s="4" t="e">
        <f aca="false">IF(F$16=1,xCalcSkew($A130,T130-BH130,b)/100,0)</f>
        <v>#DIV/0!</v>
      </c>
      <c r="T130" s="41" t="n">
        <f aca="false">IF($F$19=4,$BH130,$F$18)</f>
        <v>2.44</v>
      </c>
      <c r="V130" s="40" t="n">
        <f aca="false">IF(V$28="nymex",0,VLOOKUP($A130,curvesettle,HLOOKUP(V$28,curvesettle,2,FALSE())))</f>
        <v>0</v>
      </c>
      <c r="W130" s="219" t="n">
        <f aca="false">IF(V$28="NYMEX",$AD130,$AC130)</f>
        <v>-5631</v>
      </c>
      <c r="X130" s="4" t="e">
        <f aca="false">($C130+Y130)+H$15</f>
        <v>#DIV/0!</v>
      </c>
      <c r="Y130" s="4" t="e">
        <f aca="false">IF(H$16=1,xCalcSkew($A130,Z130-BS130,b)/100,0)</f>
        <v>#DIV/0!</v>
      </c>
      <c r="Z130" s="41" t="n">
        <f aca="false">IF($H$19=4,$BS130,$H$18)</f>
        <v>2.44</v>
      </c>
      <c r="AC130" s="219" t="n">
        <f aca="false">VLOOKUP($A130,expiration,2,FALSE())-$B$2</f>
        <v>-5630</v>
      </c>
      <c r="AD130" s="219" t="n">
        <f aca="false">VLOOKUP($A130,expiration,3,FALSE())-$B$2</f>
        <v>-5631</v>
      </c>
      <c r="AE130" s="4" t="n">
        <f aca="false">VLOOKUP($A130,STRADDLE,15,FALSE())</f>
        <v>0.0571483753455491</v>
      </c>
      <c r="AF130" s="43" t="n">
        <f aca="false">A131-A130</f>
        <v>31</v>
      </c>
      <c r="AI130" s="219"/>
      <c r="AJ130" s="9"/>
      <c r="AK130" s="9" t="n">
        <f aca="false">IF($A130&gt;=AL$25,IF($A130&lt;=AL$26,$AF130,0),0)</f>
        <v>0</v>
      </c>
      <c r="AL130" s="221" t="e">
        <f aca="false">AN130/AK130</f>
        <v>#DIV/0!</v>
      </c>
      <c r="AM130" s="1" t="n">
        <f aca="false">AK130*($B130+B$13)</f>
        <v>0</v>
      </c>
      <c r="AN130" s="33" t="n">
        <f aca="false">IF(ISNUMBER(((AM130/AK130)+B$14+$D130)*AK130),((AM130/AK130)+B$14+$D130)*AK130,0)</f>
        <v>0</v>
      </c>
      <c r="AO130" s="44" t="n">
        <f aca="false">IF(AK130=0,0,bsd(1,AP$27,AL130,$H130,$E130,$F130,$AE130,0.1))</f>
        <v>0</v>
      </c>
      <c r="AP130" s="44" t="n">
        <f aca="false">IF(AK130=0,0,bsd(2,AP$27,AL130,$H130,$E130,$F130,$AE130,0.1))</f>
        <v>0</v>
      </c>
      <c r="AQ130" s="44" t="n">
        <f aca="false">IF(AK130=0,0,bsd(AP$28,AP$27,AL130,$H130,$E130,$F130,$AE130,0.1))</f>
        <v>0</v>
      </c>
      <c r="AR130" s="45" t="n">
        <f aca="false">AK130*AO130</f>
        <v>0</v>
      </c>
      <c r="AS130" s="45" t="n">
        <f aca="false">AK130*AP130</f>
        <v>0</v>
      </c>
      <c r="AT130" s="45" t="n">
        <f aca="false">AK130*AQ130</f>
        <v>0</v>
      </c>
      <c r="AV130" s="9" t="n">
        <f aca="false">IF($A130&gt;=AW$25,IF($A130&lt;=AW$26,$AF130,0),0)</f>
        <v>0</v>
      </c>
      <c r="AW130" s="221" t="e">
        <f aca="false">AY130/AV130</f>
        <v>#DIV/0!</v>
      </c>
      <c r="AX130" s="1" t="n">
        <f aca="false">AV130*($B130+D$13)</f>
        <v>0</v>
      </c>
      <c r="AY130" s="33" t="n">
        <f aca="false">IF(ISNUMBER(((AX130/AV130)+D$14+$J130)*AV130),((AX130/AV130)+D$14+$J130)*AV130,0)</f>
        <v>0</v>
      </c>
      <c r="AZ130" s="44" t="n">
        <f aca="false">IF(AV130=0,0,bsd(1,BA$27,AW130,$N130,$K130,$L130,$AE130,0.1))</f>
        <v>0</v>
      </c>
      <c r="BA130" s="44" t="n">
        <f aca="false">IF(AV130=0,0,bsd(2,BA$27,AW130,$N130,$K130,$L130,$AE130,0.1))</f>
        <v>0</v>
      </c>
      <c r="BB130" s="44" t="n">
        <f aca="false">IF(AV130=0,0,bsd(BA$28,BA$27,AW130,$N130,$K130,$L130,$AE130,0.1))</f>
        <v>0</v>
      </c>
      <c r="BC130" s="45" t="n">
        <f aca="false">AV130*AZ130</f>
        <v>0</v>
      </c>
      <c r="BD130" s="45" t="n">
        <f aca="false">AV130*BA130</f>
        <v>0</v>
      </c>
      <c r="BE130" s="45" t="n">
        <f aca="false">AV130*BB130</f>
        <v>0</v>
      </c>
      <c r="BG130" s="9" t="n">
        <f aca="false">IF($A130&gt;=BH$25,IF($A130&lt;=BH$26,$AF130,0),0)</f>
        <v>0</v>
      </c>
      <c r="BH130" s="221" t="e">
        <f aca="false">BJ130/BG130</f>
        <v>#DIV/0!</v>
      </c>
      <c r="BI130" s="1" t="n">
        <f aca="false">BG130*($B130+F$13)</f>
        <v>0</v>
      </c>
      <c r="BJ130" s="33" t="n">
        <f aca="false">IF(ISNUMBER(((BI130/BG130)+F$14+$P130)*BG130),((BI130/BG130)+F$14+$P130)*BG130,0)</f>
        <v>0</v>
      </c>
      <c r="BK130" s="44" t="n">
        <f aca="false">IF(BG130=0,0,bsd(1,BL$27,BH130,$T130,$Q130,$R130,$AE130,0.1))</f>
        <v>0</v>
      </c>
      <c r="BL130" s="44" t="n">
        <f aca="false">IF(BG130=0,0,bsd(2,BL$27,BH130,$T130,$Q130,$R130,$AE130,0.1))</f>
        <v>0</v>
      </c>
      <c r="BM130" s="44" t="n">
        <f aca="false">IF(BG130=0,0,bsd(BL$28,BL$27,BH130,$T130,$Q130,$R130,$AE130,0.1))</f>
        <v>0</v>
      </c>
      <c r="BN130" s="45" t="n">
        <f aca="false">BG130*BK130</f>
        <v>0</v>
      </c>
      <c r="BO130" s="45" t="n">
        <f aca="false">BG130*BL130</f>
        <v>0</v>
      </c>
      <c r="BP130" s="45" t="n">
        <f aca="false">BG130*BM130</f>
        <v>0</v>
      </c>
      <c r="BR130" s="9" t="n">
        <f aca="false">IF($A130&gt;=BS$25,IF($A130&lt;=BS$26,$AF130,0),0)</f>
        <v>0</v>
      </c>
      <c r="BS130" s="221" t="e">
        <f aca="false">BU130/BR130</f>
        <v>#DIV/0!</v>
      </c>
      <c r="BT130" s="1" t="n">
        <f aca="false">BR130*($B130+H$13)</f>
        <v>0</v>
      </c>
      <c r="BU130" s="33" t="n">
        <f aca="false">IF(ISNUMBER(((BT130/BR130)+H$14+$V130)*BR130),((BT130/BR130)+H$14+$V130)*BR130,0)</f>
        <v>0</v>
      </c>
      <c r="BV130" s="44" t="n">
        <f aca="false">IF(BR130=0,0,bsd(1,BW$27,BS130,$Z130,$W130,$X130,$AE130,0.1))</f>
        <v>0</v>
      </c>
      <c r="BW130" s="44" t="n">
        <f aca="false">IF(BR130=0,0,bsd(2,BW$27,BS130,$Z130,$W130,$X130,$AE130,0.1))</f>
        <v>0</v>
      </c>
      <c r="BX130" s="44" t="n">
        <f aca="false">IF(BR130=0,0,bsd(BW$28,BW$27,BS130,$Z130,$W130,$X130,$AE130,0.1))</f>
        <v>0</v>
      </c>
      <c r="BY130" s="45" t="n">
        <f aca="false">BR130*BV130</f>
        <v>0</v>
      </c>
      <c r="BZ130" s="45" t="n">
        <f aca="false">BR130*BW130</f>
        <v>0</v>
      </c>
      <c r="CA130" s="45" t="n">
        <f aca="false">BR130*BX130</f>
        <v>0</v>
      </c>
    </row>
    <row r="131" customFormat="false" ht="12.75" hidden="false" customHeight="false" outlineLevel="0" collapsed="false">
      <c r="A131" s="48" t="n">
        <f aca="false">DATE(YEAR(A130),MONTH(A130)+1,1)</f>
        <v>40330</v>
      </c>
      <c r="B131" s="40" t="n">
        <f aca="false">VLOOKUP(A131,STRADDLE,5,FALSE())</f>
        <v>3.374</v>
      </c>
      <c r="C131" s="4" t="e">
        <f aca="false">VLOOKUP(A131,STRADDLE,6,FALSE())</f>
        <v>#VALUE!</v>
      </c>
      <c r="D131" s="40" t="n">
        <f aca="false">IF(D$28="nymex",0,VLOOKUP($A131,curvesettle,HLOOKUP(D$28,curvesettle,2,FALSE())))</f>
        <v>0</v>
      </c>
      <c r="E131" s="219" t="n">
        <f aca="false">IF(D$28="NYMEX",$AD131,$AC131)</f>
        <v>-5603</v>
      </c>
      <c r="F131" s="4" t="e">
        <f aca="false">($C131+G131)+B$15</f>
        <v>#DIV/0!</v>
      </c>
      <c r="G131" s="4" t="e">
        <f aca="false">IF(B$16=1,xCalcSkew(A131,H131-AL131,b)/100,0)</f>
        <v>#DIV/0!</v>
      </c>
      <c r="H131" s="41" t="n">
        <f aca="false">IF($B$19=4,$AL131,$B$18)</f>
        <v>2.44</v>
      </c>
      <c r="J131" s="40" t="n">
        <f aca="false">IF(J$28="nymex",0,VLOOKUP($A131,curvesettle,HLOOKUP(J$28,curvesettle,2,FALSE())))</f>
        <v>0</v>
      </c>
      <c r="K131" s="219" t="n">
        <f aca="false">IF(J$28="NYMEX",$AD131,$AC131)</f>
        <v>-5603</v>
      </c>
      <c r="L131" s="220" t="e">
        <f aca="false">($C131+M131)+D$15</f>
        <v>#DIV/0!</v>
      </c>
      <c r="M131" s="4" t="e">
        <f aca="false">IF(D$16=1,xCalcSkew($A131,N131-AW131,b)/100,0)</f>
        <v>#DIV/0!</v>
      </c>
      <c r="N131" s="41" t="n">
        <f aca="false">IF($D$19=4,$AW131,$D$18)</f>
        <v>2.44</v>
      </c>
      <c r="P131" s="40" t="n">
        <f aca="false">IF(P$28="nymex",0,VLOOKUP($A131,curvesettle,HLOOKUP(P$28,curvesettle,2,FALSE())))</f>
        <v>0</v>
      </c>
      <c r="Q131" s="219" t="n">
        <f aca="false">IF(P$28="NYMEX",$AD131,$AC131)</f>
        <v>-5603</v>
      </c>
      <c r="R131" s="220" t="e">
        <f aca="false">($C131+S131)+F$15</f>
        <v>#DIV/0!</v>
      </c>
      <c r="S131" s="4" t="e">
        <f aca="false">IF(F$16=1,xCalcSkew($A131,T131-BH131,b)/100,0)</f>
        <v>#DIV/0!</v>
      </c>
      <c r="T131" s="41" t="n">
        <f aca="false">IF($F$19=4,$BH131,$F$18)</f>
        <v>2.44</v>
      </c>
      <c r="V131" s="40" t="n">
        <f aca="false">IF(V$28="nymex",0,VLOOKUP($A131,curvesettle,HLOOKUP(V$28,curvesettle,2,FALSE())))</f>
        <v>0</v>
      </c>
      <c r="W131" s="219" t="n">
        <f aca="false">IF(V$28="NYMEX",$AD131,$AC131)</f>
        <v>-5603</v>
      </c>
      <c r="X131" s="4" t="e">
        <f aca="false">($C131+Y131)+H$15</f>
        <v>#DIV/0!</v>
      </c>
      <c r="Y131" s="4" t="e">
        <f aca="false">IF(H$16=1,xCalcSkew($A131,Z131-BS131,b)/100,0)</f>
        <v>#DIV/0!</v>
      </c>
      <c r="Z131" s="41" t="n">
        <f aca="false">IF($H$19=4,$BS131,$H$18)</f>
        <v>2.44</v>
      </c>
      <c r="AC131" s="219" t="n">
        <f aca="false">VLOOKUP($A131,expiration,2,FALSE())-$B$2</f>
        <v>-5602</v>
      </c>
      <c r="AD131" s="219" t="n">
        <f aca="false">VLOOKUP($A131,expiration,3,FALSE())-$B$2</f>
        <v>-5603</v>
      </c>
      <c r="AE131" s="4" t="n">
        <f aca="false">VLOOKUP($A131,STRADDLE,15,FALSE())</f>
        <v>0.0572485351221919</v>
      </c>
      <c r="AF131" s="43" t="n">
        <f aca="false">A132-A131</f>
        <v>30</v>
      </c>
      <c r="AI131" s="219"/>
      <c r="AJ131" s="9"/>
      <c r="AK131" s="9" t="n">
        <f aca="false">IF($A131&gt;=AL$25,IF($A131&lt;=AL$26,$AF131,0),0)</f>
        <v>0</v>
      </c>
      <c r="AL131" s="221" t="e">
        <f aca="false">AN131/AK131</f>
        <v>#DIV/0!</v>
      </c>
      <c r="AM131" s="1" t="n">
        <f aca="false">AK131*($B131+B$13)</f>
        <v>0</v>
      </c>
      <c r="AN131" s="33" t="n">
        <f aca="false">IF(ISNUMBER(((AM131/AK131)+B$14+$D131)*AK131),((AM131/AK131)+B$14+$D131)*AK131,0)</f>
        <v>0</v>
      </c>
      <c r="AO131" s="44" t="n">
        <f aca="false">IF(AK131=0,0,bsd(1,AP$27,AL131,$H131,$E131,$F131,$AE131,0.1))</f>
        <v>0</v>
      </c>
      <c r="AP131" s="44" t="n">
        <f aca="false">IF(AK131=0,0,bsd(2,AP$27,AL131,$H131,$E131,$F131,$AE131,0.1))</f>
        <v>0</v>
      </c>
      <c r="AQ131" s="44" t="n">
        <f aca="false">IF(AK131=0,0,bsd(AP$28,AP$27,AL131,$H131,$E131,$F131,$AE131,0.1))</f>
        <v>0</v>
      </c>
      <c r="AR131" s="45" t="n">
        <f aca="false">AK131*AO131</f>
        <v>0</v>
      </c>
      <c r="AS131" s="45" t="n">
        <f aca="false">AK131*AP131</f>
        <v>0</v>
      </c>
      <c r="AT131" s="45" t="n">
        <f aca="false">AK131*AQ131</f>
        <v>0</v>
      </c>
      <c r="AV131" s="9" t="n">
        <f aca="false">IF($A131&gt;=AW$25,IF($A131&lt;=AW$26,$AF131,0),0)</f>
        <v>0</v>
      </c>
      <c r="AW131" s="221" t="e">
        <f aca="false">AY131/AV131</f>
        <v>#DIV/0!</v>
      </c>
      <c r="AX131" s="1" t="n">
        <f aca="false">AV131*($B131+D$13)</f>
        <v>0</v>
      </c>
      <c r="AY131" s="33" t="n">
        <f aca="false">IF(ISNUMBER(((AX131/AV131)+D$14+$J131)*AV131),((AX131/AV131)+D$14+$J131)*AV131,0)</f>
        <v>0</v>
      </c>
      <c r="AZ131" s="44" t="n">
        <f aca="false">IF(AV131=0,0,bsd(1,BA$27,AW131,$N131,$K131,$L131,$AE131,0.1))</f>
        <v>0</v>
      </c>
      <c r="BA131" s="44" t="n">
        <f aca="false">IF(AV131=0,0,bsd(2,BA$27,AW131,$N131,$K131,$L131,$AE131,0.1))</f>
        <v>0</v>
      </c>
      <c r="BB131" s="44" t="n">
        <f aca="false">IF(AV131=0,0,bsd(BA$28,BA$27,AW131,$N131,$K131,$L131,$AE131,0.1))</f>
        <v>0</v>
      </c>
      <c r="BC131" s="45" t="n">
        <f aca="false">AV131*AZ131</f>
        <v>0</v>
      </c>
      <c r="BD131" s="45" t="n">
        <f aca="false">AV131*BA131</f>
        <v>0</v>
      </c>
      <c r="BE131" s="45" t="n">
        <f aca="false">AV131*BB131</f>
        <v>0</v>
      </c>
      <c r="BG131" s="9" t="n">
        <f aca="false">IF($A131&gt;=BH$25,IF($A131&lt;=BH$26,$AF131,0),0)</f>
        <v>0</v>
      </c>
      <c r="BH131" s="221" t="e">
        <f aca="false">BJ131/BG131</f>
        <v>#DIV/0!</v>
      </c>
      <c r="BI131" s="1" t="n">
        <f aca="false">BG131*($B131+F$13)</f>
        <v>0</v>
      </c>
      <c r="BJ131" s="33" t="n">
        <f aca="false">IF(ISNUMBER(((BI131/BG131)+F$14+$P131)*BG131),((BI131/BG131)+F$14+$P131)*BG131,0)</f>
        <v>0</v>
      </c>
      <c r="BK131" s="44" t="n">
        <f aca="false">IF(BG131=0,0,bsd(1,BL$27,BH131,$T131,$Q131,$R131,$AE131,0.1))</f>
        <v>0</v>
      </c>
      <c r="BL131" s="44" t="n">
        <f aca="false">IF(BG131=0,0,bsd(2,BL$27,BH131,$T131,$Q131,$R131,$AE131,0.1))</f>
        <v>0</v>
      </c>
      <c r="BM131" s="44" t="n">
        <f aca="false">IF(BG131=0,0,bsd(BL$28,BL$27,BH131,$T131,$Q131,$R131,$AE131,0.1))</f>
        <v>0</v>
      </c>
      <c r="BN131" s="45" t="n">
        <f aca="false">BG131*BK131</f>
        <v>0</v>
      </c>
      <c r="BO131" s="45" t="n">
        <f aca="false">BG131*BL131</f>
        <v>0</v>
      </c>
      <c r="BP131" s="45" t="n">
        <f aca="false">BG131*BM131</f>
        <v>0</v>
      </c>
      <c r="BR131" s="9" t="n">
        <f aca="false">IF($A131&gt;=BS$25,IF($A131&lt;=BS$26,$AF131,0),0)</f>
        <v>0</v>
      </c>
      <c r="BS131" s="221" t="e">
        <f aca="false">BU131/BR131</f>
        <v>#DIV/0!</v>
      </c>
      <c r="BT131" s="1" t="n">
        <f aca="false">BR131*($B131+H$13)</f>
        <v>0</v>
      </c>
      <c r="BU131" s="33" t="n">
        <f aca="false">IF(ISNUMBER(((BT131/BR131)+H$14+$V131)*BR131),((BT131/BR131)+H$14+$V131)*BR131,0)</f>
        <v>0</v>
      </c>
      <c r="BV131" s="44" t="n">
        <f aca="false">IF(BR131=0,0,bsd(1,BW$27,BS131,$Z131,$W131,$X131,$AE131,0.1))</f>
        <v>0</v>
      </c>
      <c r="BW131" s="44" t="n">
        <f aca="false">IF(BR131=0,0,bsd(2,BW$27,BS131,$Z131,$W131,$X131,$AE131,0.1))</f>
        <v>0</v>
      </c>
      <c r="BX131" s="44" t="n">
        <f aca="false">IF(BR131=0,0,bsd(BW$28,BW$27,BS131,$Z131,$W131,$X131,$AE131,0.1))</f>
        <v>0</v>
      </c>
      <c r="BY131" s="45" t="n">
        <f aca="false">BR131*BV131</f>
        <v>0</v>
      </c>
      <c r="BZ131" s="45" t="n">
        <f aca="false">BR131*BW131</f>
        <v>0</v>
      </c>
      <c r="CA131" s="45" t="n">
        <f aca="false">BR131*BX131</f>
        <v>0</v>
      </c>
    </row>
    <row r="132" customFormat="false" ht="12.75" hidden="false" customHeight="false" outlineLevel="0" collapsed="false">
      <c r="A132" s="48" t="n">
        <f aca="false">DATE(YEAR(A131),MONTH(A131)+1,1)</f>
        <v>40360</v>
      </c>
      <c r="B132" s="40" t="n">
        <f aca="false">VLOOKUP(A132,STRADDLE,5,FALSE())</f>
        <v>3.414</v>
      </c>
      <c r="C132" s="4" t="e">
        <f aca="false">VLOOKUP(A132,STRADDLE,6,FALSE())</f>
        <v>#VALUE!</v>
      </c>
      <c r="D132" s="40" t="n">
        <f aca="false">IF(D$28="nymex",0,VLOOKUP($A132,curvesettle,HLOOKUP(D$28,curvesettle,2,FALSE())))</f>
        <v>0</v>
      </c>
      <c r="E132" s="219" t="n">
        <f aca="false">IF(D$28="NYMEX",$AD132,$AC132)</f>
        <v>-5572</v>
      </c>
      <c r="F132" s="4" t="e">
        <f aca="false">($C132+G132)+B$15</f>
        <v>#DIV/0!</v>
      </c>
      <c r="G132" s="4" t="e">
        <f aca="false">IF(B$16=1,xCalcSkew(A132,H132-AL132,b)/100,0)</f>
        <v>#DIV/0!</v>
      </c>
      <c r="H132" s="41" t="n">
        <f aca="false">IF($B$19=4,$AL132,$B$18)</f>
        <v>2.44</v>
      </c>
      <c r="J132" s="40" t="n">
        <f aca="false">IF(J$28="nymex",0,VLOOKUP($A132,curvesettle,HLOOKUP(J$28,curvesettle,2,FALSE())))</f>
        <v>0</v>
      </c>
      <c r="K132" s="219" t="n">
        <f aca="false">IF(J$28="NYMEX",$AD132,$AC132)</f>
        <v>-5572</v>
      </c>
      <c r="L132" s="220" t="e">
        <f aca="false">($C132+M132)+D$15</f>
        <v>#DIV/0!</v>
      </c>
      <c r="M132" s="4" t="e">
        <f aca="false">IF(D$16=1,xCalcSkew($A132,N132-AW132,b)/100,0)</f>
        <v>#DIV/0!</v>
      </c>
      <c r="N132" s="41" t="n">
        <f aca="false">IF($D$19=4,$AW132,$D$18)</f>
        <v>2.44</v>
      </c>
      <c r="P132" s="40" t="n">
        <f aca="false">IF(P$28="nymex",0,VLOOKUP($A132,curvesettle,HLOOKUP(P$28,curvesettle,2,FALSE())))</f>
        <v>0</v>
      </c>
      <c r="Q132" s="219" t="n">
        <f aca="false">IF(P$28="NYMEX",$AD132,$AC132)</f>
        <v>-5572</v>
      </c>
      <c r="R132" s="220" t="e">
        <f aca="false">($C132+S132)+F$15</f>
        <v>#DIV/0!</v>
      </c>
      <c r="S132" s="4" t="e">
        <f aca="false">IF(F$16=1,xCalcSkew($A132,T132-BH132,b)/100,0)</f>
        <v>#DIV/0!</v>
      </c>
      <c r="T132" s="41" t="n">
        <f aca="false">IF($F$19=4,$BH132,$F$18)</f>
        <v>2.44</v>
      </c>
      <c r="V132" s="40" t="n">
        <f aca="false">IF(V$28="nymex",0,VLOOKUP($A132,curvesettle,HLOOKUP(V$28,curvesettle,2,FALSE())))</f>
        <v>0</v>
      </c>
      <c r="W132" s="219" t="n">
        <f aca="false">IF(V$28="NYMEX",$AD132,$AC132)</f>
        <v>-5572</v>
      </c>
      <c r="X132" s="4" t="e">
        <f aca="false">($C132+Y132)+H$15</f>
        <v>#DIV/0!</v>
      </c>
      <c r="Y132" s="4" t="e">
        <f aca="false">IF(H$16=1,xCalcSkew($A132,Z132-BS132,b)/100,0)</f>
        <v>#DIV/0!</v>
      </c>
      <c r="Z132" s="41" t="n">
        <f aca="false">IF($H$19=4,$BS132,$H$18)</f>
        <v>2.44</v>
      </c>
      <c r="AC132" s="219" t="n">
        <f aca="false">VLOOKUP($A132,expiration,2,FALSE())-$B$2</f>
        <v>-5569</v>
      </c>
      <c r="AD132" s="219" t="n">
        <f aca="false">VLOOKUP($A132,expiration,3,FALSE())-$B$2</f>
        <v>-5572</v>
      </c>
      <c r="AE132" s="4" t="n">
        <f aca="false">VLOOKUP($A132,STRADDLE,15,FALSE())</f>
        <v>0.0573520335615627</v>
      </c>
      <c r="AF132" s="43" t="n">
        <f aca="false">A133-A132</f>
        <v>31</v>
      </c>
      <c r="AI132" s="219"/>
      <c r="AJ132" s="9"/>
      <c r="AK132" s="9" t="n">
        <f aca="false">IF($A132&gt;=AL$25,IF($A132&lt;=AL$26,$AF132,0),0)</f>
        <v>0</v>
      </c>
      <c r="AL132" s="221" t="e">
        <f aca="false">AN132/AK132</f>
        <v>#DIV/0!</v>
      </c>
      <c r="AM132" s="1" t="n">
        <f aca="false">AK132*($B132+B$13)</f>
        <v>0</v>
      </c>
      <c r="AN132" s="33" t="n">
        <f aca="false">IF(ISNUMBER(((AM132/AK132)+B$14+$D132)*AK132),((AM132/AK132)+B$14+$D132)*AK132,0)</f>
        <v>0</v>
      </c>
      <c r="AO132" s="44" t="n">
        <f aca="false">IF(AK132=0,0,bsd(1,AP$27,AL132,$H132,$E132,$F132,$AE132,0.1))</f>
        <v>0</v>
      </c>
      <c r="AP132" s="44" t="n">
        <f aca="false">IF(AK132=0,0,bsd(2,AP$27,AL132,$H132,$E132,$F132,$AE132,0.1))</f>
        <v>0</v>
      </c>
      <c r="AQ132" s="44" t="n">
        <f aca="false">IF(AK132=0,0,bsd(AP$28,AP$27,AL132,$H132,$E132,$F132,$AE132,0.1))</f>
        <v>0</v>
      </c>
      <c r="AR132" s="45" t="n">
        <f aca="false">AK132*AO132</f>
        <v>0</v>
      </c>
      <c r="AS132" s="45" t="n">
        <f aca="false">AK132*AP132</f>
        <v>0</v>
      </c>
      <c r="AT132" s="45" t="n">
        <f aca="false">AK132*AQ132</f>
        <v>0</v>
      </c>
      <c r="AV132" s="9" t="n">
        <f aca="false">IF($A132&gt;=AW$25,IF($A132&lt;=AW$26,$AF132,0),0)</f>
        <v>0</v>
      </c>
      <c r="AW132" s="221" t="e">
        <f aca="false">AY132/AV132</f>
        <v>#DIV/0!</v>
      </c>
      <c r="AX132" s="1" t="n">
        <f aca="false">AV132*($B132+D$13)</f>
        <v>0</v>
      </c>
      <c r="AY132" s="33" t="n">
        <f aca="false">IF(ISNUMBER(((AX132/AV132)+D$14+$J132)*AV132),((AX132/AV132)+D$14+$J132)*AV132,0)</f>
        <v>0</v>
      </c>
      <c r="AZ132" s="44" t="n">
        <f aca="false">IF(AV132=0,0,bsd(1,BA$27,AW132,$N132,$K132,$L132,$AE132,0.1))</f>
        <v>0</v>
      </c>
      <c r="BA132" s="44" t="n">
        <f aca="false">IF(AV132=0,0,bsd(2,BA$27,AW132,$N132,$K132,$L132,$AE132,0.1))</f>
        <v>0</v>
      </c>
      <c r="BB132" s="44" t="n">
        <f aca="false">IF(AV132=0,0,bsd(BA$28,BA$27,AW132,$N132,$K132,$L132,$AE132,0.1))</f>
        <v>0</v>
      </c>
      <c r="BC132" s="45" t="n">
        <f aca="false">AV132*AZ132</f>
        <v>0</v>
      </c>
      <c r="BD132" s="45" t="n">
        <f aca="false">AV132*BA132</f>
        <v>0</v>
      </c>
      <c r="BE132" s="45" t="n">
        <f aca="false">AV132*BB132</f>
        <v>0</v>
      </c>
      <c r="BG132" s="9" t="n">
        <f aca="false">IF($A132&gt;=BH$25,IF($A132&lt;=BH$26,$AF132,0),0)</f>
        <v>0</v>
      </c>
      <c r="BH132" s="221" t="e">
        <f aca="false">BJ132/BG132</f>
        <v>#DIV/0!</v>
      </c>
      <c r="BI132" s="1" t="n">
        <f aca="false">BG132*($B132+F$13)</f>
        <v>0</v>
      </c>
      <c r="BJ132" s="33" t="n">
        <f aca="false">IF(ISNUMBER(((BI132/BG132)+F$14+$P132)*BG132),((BI132/BG132)+F$14+$P132)*BG132,0)</f>
        <v>0</v>
      </c>
      <c r="BK132" s="44" t="n">
        <f aca="false">IF(BG132=0,0,bsd(1,BL$27,BH132,$T132,$Q132,$R132,$AE132,0.1))</f>
        <v>0</v>
      </c>
      <c r="BL132" s="44" t="n">
        <f aca="false">IF(BG132=0,0,bsd(2,BL$27,BH132,$T132,$Q132,$R132,$AE132,0.1))</f>
        <v>0</v>
      </c>
      <c r="BM132" s="44" t="n">
        <f aca="false">IF(BG132=0,0,bsd(BL$28,BL$27,BH132,$T132,$Q132,$R132,$AE132,0.1))</f>
        <v>0</v>
      </c>
      <c r="BN132" s="45" t="n">
        <f aca="false">BG132*BK132</f>
        <v>0</v>
      </c>
      <c r="BO132" s="45" t="n">
        <f aca="false">BG132*BL132</f>
        <v>0</v>
      </c>
      <c r="BP132" s="45" t="n">
        <f aca="false">BG132*BM132</f>
        <v>0</v>
      </c>
      <c r="BR132" s="9" t="n">
        <f aca="false">IF($A132&gt;=BS$25,IF($A132&lt;=BS$26,$AF132,0),0)</f>
        <v>0</v>
      </c>
      <c r="BS132" s="221" t="e">
        <f aca="false">BU132/BR132</f>
        <v>#DIV/0!</v>
      </c>
      <c r="BT132" s="1" t="n">
        <f aca="false">BR132*($B132+H$13)</f>
        <v>0</v>
      </c>
      <c r="BU132" s="33" t="n">
        <f aca="false">IF(ISNUMBER(((BT132/BR132)+H$14+$V132)*BR132),((BT132/BR132)+H$14+$V132)*BR132,0)</f>
        <v>0</v>
      </c>
      <c r="BV132" s="44" t="n">
        <f aca="false">IF(BR132=0,0,bsd(1,BW$27,BS132,$Z132,$W132,$X132,$AE132,0.1))</f>
        <v>0</v>
      </c>
      <c r="BW132" s="44" t="n">
        <f aca="false">IF(BR132=0,0,bsd(2,BW$27,BS132,$Z132,$W132,$X132,$AE132,0.1))</f>
        <v>0</v>
      </c>
      <c r="BX132" s="44" t="n">
        <f aca="false">IF(BR132=0,0,bsd(BW$28,BW$27,BS132,$Z132,$W132,$X132,$AE132,0.1))</f>
        <v>0</v>
      </c>
      <c r="BY132" s="45" t="n">
        <f aca="false">BR132*BV132</f>
        <v>0</v>
      </c>
      <c r="BZ132" s="45" t="n">
        <f aca="false">BR132*BW132</f>
        <v>0</v>
      </c>
      <c r="CA132" s="45" t="n">
        <f aca="false">BR132*BX132</f>
        <v>0</v>
      </c>
    </row>
    <row r="133" customFormat="false" ht="12.75" hidden="false" customHeight="false" outlineLevel="0" collapsed="false">
      <c r="A133" s="48" t="n">
        <f aca="false">DATE(YEAR(A132),MONTH(A132)+1,1)</f>
        <v>40391</v>
      </c>
      <c r="B133" s="40" t="n">
        <f aca="false">VLOOKUP(A133,STRADDLE,5,FALSE())</f>
        <v>3.464</v>
      </c>
      <c r="C133" s="4" t="e">
        <f aca="false">VLOOKUP(A133,STRADDLE,6,FALSE())</f>
        <v>#VALUE!</v>
      </c>
      <c r="D133" s="40" t="n">
        <f aca="false">IF(D$28="nymex",0,VLOOKUP($A133,curvesettle,HLOOKUP(D$28,curvesettle,2,FALSE())))</f>
        <v>0</v>
      </c>
      <c r="E133" s="219" t="n">
        <f aca="false">IF(D$28="NYMEX",$AD133,$AC133)</f>
        <v>-5540</v>
      </c>
      <c r="F133" s="4" t="e">
        <f aca="false">($C133+G133)+B$15</f>
        <v>#DIV/0!</v>
      </c>
      <c r="G133" s="4" t="e">
        <f aca="false">IF(B$16=1,xCalcSkew(A133,H133-AL133,b)/100,0)</f>
        <v>#DIV/0!</v>
      </c>
      <c r="H133" s="41" t="n">
        <f aca="false">IF($B$19=4,$AL133,$B$18)</f>
        <v>2.44</v>
      </c>
      <c r="J133" s="40" t="n">
        <f aca="false">IF(J$28="nymex",0,VLOOKUP($A133,curvesettle,HLOOKUP(J$28,curvesettle,2,FALSE())))</f>
        <v>0</v>
      </c>
      <c r="K133" s="219" t="n">
        <f aca="false">IF(J$28="NYMEX",$AD133,$AC133)</f>
        <v>-5540</v>
      </c>
      <c r="L133" s="220" t="e">
        <f aca="false">($C133+M133)+D$15</f>
        <v>#DIV/0!</v>
      </c>
      <c r="M133" s="4" t="e">
        <f aca="false">IF(D$16=1,xCalcSkew($A133,N133-AW133,b)/100,0)</f>
        <v>#DIV/0!</v>
      </c>
      <c r="N133" s="41" t="n">
        <f aca="false">IF($D$19=4,$AW133,$D$18)</f>
        <v>2.44</v>
      </c>
      <c r="P133" s="40" t="n">
        <f aca="false">IF(P$28="nymex",0,VLOOKUP($A133,curvesettle,HLOOKUP(P$28,curvesettle,2,FALSE())))</f>
        <v>0</v>
      </c>
      <c r="Q133" s="219" t="n">
        <f aca="false">IF(P$28="NYMEX",$AD133,$AC133)</f>
        <v>-5540</v>
      </c>
      <c r="R133" s="220" t="e">
        <f aca="false">($C133+S133)+F$15</f>
        <v>#DIV/0!</v>
      </c>
      <c r="S133" s="4" t="e">
        <f aca="false">IF(F$16=1,xCalcSkew($A133,T133-BH133,b)/100,0)</f>
        <v>#DIV/0!</v>
      </c>
      <c r="T133" s="41" t="n">
        <f aca="false">IF($F$19=4,$BH133,$F$18)</f>
        <v>2.44</v>
      </c>
      <c r="V133" s="40" t="n">
        <f aca="false">IF(V$28="nymex",0,VLOOKUP($A133,curvesettle,HLOOKUP(V$28,curvesettle,2,FALSE())))</f>
        <v>0</v>
      </c>
      <c r="W133" s="219" t="n">
        <f aca="false">IF(V$28="NYMEX",$AD133,$AC133)</f>
        <v>-5540</v>
      </c>
      <c r="X133" s="4" t="e">
        <f aca="false">($C133+Y133)+H$15</f>
        <v>#DIV/0!</v>
      </c>
      <c r="Y133" s="4" t="e">
        <f aca="false">IF(H$16=1,xCalcSkew($A133,Z133-BS133,b)/100,0)</f>
        <v>#DIV/0!</v>
      </c>
      <c r="Z133" s="41" t="n">
        <f aca="false">IF($H$19=4,$BS133,$H$18)</f>
        <v>2.44</v>
      </c>
      <c r="AC133" s="219" t="n">
        <f aca="false">VLOOKUP($A133,expiration,2,FALSE())-$B$2</f>
        <v>-5539</v>
      </c>
      <c r="AD133" s="219" t="n">
        <f aca="false">VLOOKUP($A133,expiration,3,FALSE())-$B$2</f>
        <v>-5540</v>
      </c>
      <c r="AE133" s="4" t="n">
        <f aca="false">VLOOKUP($A133,STRADDLE,15,FALSE())</f>
        <v>0.0574521933449916</v>
      </c>
      <c r="AF133" s="43" t="n">
        <f aca="false">A134-A133</f>
        <v>31</v>
      </c>
      <c r="AI133" s="219"/>
      <c r="AJ133" s="9"/>
      <c r="AK133" s="9" t="n">
        <f aca="false">IF($A133&gt;=AL$25,IF($A133&lt;=AL$26,$AF133,0),0)</f>
        <v>0</v>
      </c>
      <c r="AL133" s="221" t="e">
        <f aca="false">AN133/AK133</f>
        <v>#DIV/0!</v>
      </c>
      <c r="AM133" s="1" t="n">
        <f aca="false">AK133*($B133+B$13)</f>
        <v>0</v>
      </c>
      <c r="AN133" s="33" t="n">
        <f aca="false">IF(ISNUMBER(((AM133/AK133)+B$14+$D133)*AK133),((AM133/AK133)+B$14+$D133)*AK133,0)</f>
        <v>0</v>
      </c>
      <c r="AO133" s="44" t="n">
        <f aca="false">IF(AK133=0,0,bsd(1,AP$27,AL133,$H133,$E133,$F133,$AE133,0.1))</f>
        <v>0</v>
      </c>
      <c r="AP133" s="44" t="n">
        <f aca="false">IF(AK133=0,0,bsd(2,AP$27,AL133,$H133,$E133,$F133,$AE133,0.1))</f>
        <v>0</v>
      </c>
      <c r="AQ133" s="44" t="n">
        <f aca="false">IF(AK133=0,0,bsd(AP$28,AP$27,AL133,$H133,$E133,$F133,$AE133,0.1))</f>
        <v>0</v>
      </c>
      <c r="AR133" s="45" t="n">
        <f aca="false">AK133*AO133</f>
        <v>0</v>
      </c>
      <c r="AS133" s="45" t="n">
        <f aca="false">AK133*AP133</f>
        <v>0</v>
      </c>
      <c r="AT133" s="45" t="n">
        <f aca="false">AK133*AQ133</f>
        <v>0</v>
      </c>
      <c r="AV133" s="9" t="n">
        <f aca="false">IF($A133&gt;=AW$25,IF($A133&lt;=AW$26,$AF133,0),0)</f>
        <v>0</v>
      </c>
      <c r="AW133" s="221" t="e">
        <f aca="false">AY133/AV133</f>
        <v>#DIV/0!</v>
      </c>
      <c r="AX133" s="1" t="n">
        <f aca="false">AV133*($B133+D$13)</f>
        <v>0</v>
      </c>
      <c r="AY133" s="33" t="n">
        <f aca="false">IF(ISNUMBER(((AX133/AV133)+D$14+$J133)*AV133),((AX133/AV133)+D$14+$J133)*AV133,0)</f>
        <v>0</v>
      </c>
      <c r="AZ133" s="44" t="n">
        <f aca="false">IF(AV133=0,0,bsd(1,BA$27,AW133,$N133,$K133,$L133,$AE133,0.1))</f>
        <v>0</v>
      </c>
      <c r="BA133" s="44" t="n">
        <f aca="false">IF(AV133=0,0,bsd(2,BA$27,AW133,$N133,$K133,$L133,$AE133,0.1))</f>
        <v>0</v>
      </c>
      <c r="BB133" s="44" t="n">
        <f aca="false">IF(AV133=0,0,bsd(BA$28,BA$27,AW133,$N133,$K133,$L133,$AE133,0.1))</f>
        <v>0</v>
      </c>
      <c r="BC133" s="45" t="n">
        <f aca="false">AV133*AZ133</f>
        <v>0</v>
      </c>
      <c r="BD133" s="45" t="n">
        <f aca="false">AV133*BA133</f>
        <v>0</v>
      </c>
      <c r="BE133" s="45" t="n">
        <f aca="false">AV133*BB133</f>
        <v>0</v>
      </c>
      <c r="BG133" s="9" t="n">
        <f aca="false">IF($A133&gt;=BH$25,IF($A133&lt;=BH$26,$AF133,0),0)</f>
        <v>0</v>
      </c>
      <c r="BH133" s="221" t="e">
        <f aca="false">BJ133/BG133</f>
        <v>#DIV/0!</v>
      </c>
      <c r="BI133" s="1" t="n">
        <f aca="false">BG133*($B133+F$13)</f>
        <v>0</v>
      </c>
      <c r="BJ133" s="33" t="n">
        <f aca="false">IF(ISNUMBER(((BI133/BG133)+F$14+$P133)*BG133),((BI133/BG133)+F$14+$P133)*BG133,0)</f>
        <v>0</v>
      </c>
      <c r="BK133" s="44" t="n">
        <f aca="false">IF(BG133=0,0,bsd(1,BL$27,BH133,$T133,$Q133,$R133,$AE133,0.1))</f>
        <v>0</v>
      </c>
      <c r="BL133" s="44" t="n">
        <f aca="false">IF(BG133=0,0,bsd(2,BL$27,BH133,$T133,$Q133,$R133,$AE133,0.1))</f>
        <v>0</v>
      </c>
      <c r="BM133" s="44" t="n">
        <f aca="false">IF(BG133=0,0,bsd(BL$28,BL$27,BH133,$T133,$Q133,$R133,$AE133,0.1))</f>
        <v>0</v>
      </c>
      <c r="BN133" s="45" t="n">
        <f aca="false">BG133*BK133</f>
        <v>0</v>
      </c>
      <c r="BO133" s="45" t="n">
        <f aca="false">BG133*BL133</f>
        <v>0</v>
      </c>
      <c r="BP133" s="45" t="n">
        <f aca="false">BG133*BM133</f>
        <v>0</v>
      </c>
      <c r="BR133" s="9" t="n">
        <f aca="false">IF($A133&gt;=BS$25,IF($A133&lt;=BS$26,$AF133,0),0)</f>
        <v>0</v>
      </c>
      <c r="BS133" s="221" t="e">
        <f aca="false">BU133/BR133</f>
        <v>#DIV/0!</v>
      </c>
      <c r="BT133" s="1" t="n">
        <f aca="false">BR133*($B133+H$13)</f>
        <v>0</v>
      </c>
      <c r="BU133" s="33" t="n">
        <f aca="false">IF(ISNUMBER(((BT133/BR133)+H$14+$V133)*BR133),((BT133/BR133)+H$14+$V133)*BR133,0)</f>
        <v>0</v>
      </c>
      <c r="BV133" s="44" t="n">
        <f aca="false">IF(BR133=0,0,bsd(1,BW$27,BS133,$Z133,$W133,$X133,$AE133,0.1))</f>
        <v>0</v>
      </c>
      <c r="BW133" s="44" t="n">
        <f aca="false">IF(BR133=0,0,bsd(2,BW$27,BS133,$Z133,$W133,$X133,$AE133,0.1))</f>
        <v>0</v>
      </c>
      <c r="BX133" s="44" t="n">
        <f aca="false">IF(BR133=0,0,bsd(BW$28,BW$27,BS133,$Z133,$W133,$X133,$AE133,0.1))</f>
        <v>0</v>
      </c>
      <c r="BY133" s="45" t="n">
        <f aca="false">BR133*BV133</f>
        <v>0</v>
      </c>
      <c r="BZ133" s="45" t="n">
        <f aca="false">BR133*BW133</f>
        <v>0</v>
      </c>
      <c r="CA133" s="45" t="n">
        <f aca="false">BR133*BX133</f>
        <v>0</v>
      </c>
    </row>
    <row r="134" customFormat="false" ht="12.75" hidden="false" customHeight="false" outlineLevel="0" collapsed="false">
      <c r="A134" s="48" t="n">
        <f aca="false">DATE(YEAR(A133),MONTH(A133)+1,1)</f>
        <v>40422</v>
      </c>
      <c r="B134" s="40" t="n">
        <f aca="false">VLOOKUP(A134,STRADDLE,5,FALSE())</f>
        <v>3.449</v>
      </c>
      <c r="C134" s="4" t="e">
        <f aca="false">VLOOKUP(A134,STRADDLE,6,FALSE())</f>
        <v>#VALUE!</v>
      </c>
      <c r="D134" s="40" t="n">
        <f aca="false">IF(D$28="nymex",0,VLOOKUP($A134,curvesettle,HLOOKUP(D$28,curvesettle,2,FALSE())))</f>
        <v>0</v>
      </c>
      <c r="E134" s="219" t="n">
        <f aca="false">IF(D$28="NYMEX",$AD134,$AC134)</f>
        <v>-5510</v>
      </c>
      <c r="F134" s="4" t="e">
        <f aca="false">($C134+G134)+B$15</f>
        <v>#DIV/0!</v>
      </c>
      <c r="G134" s="4" t="e">
        <f aca="false">IF(B$16=1,xCalcSkew(A134,H134-AL134,b)/100,0)</f>
        <v>#DIV/0!</v>
      </c>
      <c r="H134" s="41" t="n">
        <f aca="false">IF($B$19=4,$AL134,$B$18)</f>
        <v>2.44</v>
      </c>
      <c r="J134" s="40" t="n">
        <f aca="false">IF(J$28="nymex",0,VLOOKUP($A134,curvesettle,HLOOKUP(J$28,curvesettle,2,FALSE())))</f>
        <v>0</v>
      </c>
      <c r="K134" s="219" t="n">
        <f aca="false">IF(J$28="NYMEX",$AD134,$AC134)</f>
        <v>-5510</v>
      </c>
      <c r="L134" s="220" t="e">
        <f aca="false">($C134+M134)+D$15</f>
        <v>#DIV/0!</v>
      </c>
      <c r="M134" s="4" t="e">
        <f aca="false">IF(D$16=1,xCalcSkew($A134,N134-AW134,b)/100,0)</f>
        <v>#DIV/0!</v>
      </c>
      <c r="N134" s="41" t="n">
        <f aca="false">IF($D$19=4,$AW134,$D$18)</f>
        <v>2.44</v>
      </c>
      <c r="P134" s="40" t="n">
        <f aca="false">IF(P$28="nymex",0,VLOOKUP($A134,curvesettle,HLOOKUP(P$28,curvesettle,2,FALSE())))</f>
        <v>0</v>
      </c>
      <c r="Q134" s="219" t="n">
        <f aca="false">IF(P$28="NYMEX",$AD134,$AC134)</f>
        <v>-5510</v>
      </c>
      <c r="R134" s="220" t="e">
        <f aca="false">($C134+S134)+F$15</f>
        <v>#DIV/0!</v>
      </c>
      <c r="S134" s="4" t="e">
        <f aca="false">IF(F$16=1,xCalcSkew($A134,T134-BH134,b)/100,0)</f>
        <v>#DIV/0!</v>
      </c>
      <c r="T134" s="41" t="n">
        <f aca="false">IF($F$19=4,$BH134,$F$18)</f>
        <v>2.44</v>
      </c>
      <c r="V134" s="40" t="n">
        <f aca="false">IF(V$28="nymex",0,VLOOKUP($A134,curvesettle,HLOOKUP(V$28,curvesettle,2,FALSE())))</f>
        <v>0</v>
      </c>
      <c r="W134" s="219" t="n">
        <f aca="false">IF(V$28="NYMEX",$AD134,$AC134)</f>
        <v>-5510</v>
      </c>
      <c r="X134" s="4" t="e">
        <f aca="false">($C134+Y134)+H$15</f>
        <v>#DIV/0!</v>
      </c>
      <c r="Y134" s="4" t="e">
        <f aca="false">IF(H$16=1,xCalcSkew($A134,Z134-BS134,b)/100,0)</f>
        <v>#DIV/0!</v>
      </c>
      <c r="Z134" s="41" t="n">
        <f aca="false">IF($H$19=4,$BS134,$H$18)</f>
        <v>2.44</v>
      </c>
      <c r="AC134" s="219" t="n">
        <f aca="false">VLOOKUP($A134,expiration,2,FALSE())-$B$2</f>
        <v>-5509</v>
      </c>
      <c r="AD134" s="219" t="n">
        <f aca="false">VLOOKUP($A134,expiration,3,FALSE())-$B$2</f>
        <v>-5510</v>
      </c>
      <c r="AE134" s="4" t="n">
        <f aca="false">VLOOKUP($A134,STRADDLE,15,FALSE())</f>
        <v>0.0575556917913746</v>
      </c>
      <c r="AF134" s="43" t="n">
        <f aca="false">A135-A134</f>
        <v>30</v>
      </c>
      <c r="AI134" s="219"/>
      <c r="AJ134" s="9"/>
      <c r="AK134" s="9" t="n">
        <f aca="false">IF($A134&gt;=AL$25,IF($A134&lt;=AL$26,$AF134,0),0)</f>
        <v>0</v>
      </c>
      <c r="AL134" s="221" t="e">
        <f aca="false">AN134/AK134</f>
        <v>#DIV/0!</v>
      </c>
      <c r="AM134" s="1" t="n">
        <f aca="false">AK134*($B134+B$13)</f>
        <v>0</v>
      </c>
      <c r="AN134" s="33" t="n">
        <f aca="false">IF(ISNUMBER(((AM134/AK134)+B$14+$D134)*AK134),((AM134/AK134)+B$14+$D134)*AK134,0)</f>
        <v>0</v>
      </c>
      <c r="AO134" s="44" t="n">
        <f aca="false">IF(AK134=0,0,bsd(1,AP$27,AL134,$H134,$E134,$F134,$AE134,0.1))</f>
        <v>0</v>
      </c>
      <c r="AP134" s="44" t="n">
        <f aca="false">IF(AK134=0,0,bsd(2,AP$27,AL134,$H134,$E134,$F134,$AE134,0.1))</f>
        <v>0</v>
      </c>
      <c r="AQ134" s="44" t="n">
        <f aca="false">IF(AK134=0,0,bsd(AP$28,AP$27,AL134,$H134,$E134,$F134,$AE134,0.1))</f>
        <v>0</v>
      </c>
      <c r="AR134" s="45" t="n">
        <f aca="false">AK134*AO134</f>
        <v>0</v>
      </c>
      <c r="AS134" s="45" t="n">
        <f aca="false">AK134*AP134</f>
        <v>0</v>
      </c>
      <c r="AT134" s="45" t="n">
        <f aca="false">AK134*AQ134</f>
        <v>0</v>
      </c>
      <c r="AV134" s="9" t="n">
        <f aca="false">IF($A134&gt;=AW$25,IF($A134&lt;=AW$26,$AF134,0),0)</f>
        <v>0</v>
      </c>
      <c r="AW134" s="221" t="e">
        <f aca="false">AY134/AV134</f>
        <v>#DIV/0!</v>
      </c>
      <c r="AX134" s="1" t="n">
        <f aca="false">AV134*($B134+D$13)</f>
        <v>0</v>
      </c>
      <c r="AY134" s="33" t="n">
        <f aca="false">IF(ISNUMBER(((AX134/AV134)+D$14+$J134)*AV134),((AX134/AV134)+D$14+$J134)*AV134,0)</f>
        <v>0</v>
      </c>
      <c r="AZ134" s="44" t="n">
        <f aca="false">IF(AV134=0,0,bsd(1,BA$27,AW134,$N134,$K134,$L134,$AE134,0.1))</f>
        <v>0</v>
      </c>
      <c r="BA134" s="44" t="n">
        <f aca="false">IF(AV134=0,0,bsd(2,BA$27,AW134,$N134,$K134,$L134,$AE134,0.1))</f>
        <v>0</v>
      </c>
      <c r="BB134" s="44" t="n">
        <f aca="false">IF(AV134=0,0,bsd(BA$28,BA$27,AW134,$N134,$K134,$L134,$AE134,0.1))</f>
        <v>0</v>
      </c>
      <c r="BC134" s="45" t="n">
        <f aca="false">AV134*AZ134</f>
        <v>0</v>
      </c>
      <c r="BD134" s="45" t="n">
        <f aca="false">AV134*BA134</f>
        <v>0</v>
      </c>
      <c r="BE134" s="45" t="n">
        <f aca="false">AV134*BB134</f>
        <v>0</v>
      </c>
      <c r="BG134" s="9" t="n">
        <f aca="false">IF($A134&gt;=BH$25,IF($A134&lt;=BH$26,$AF134,0),0)</f>
        <v>0</v>
      </c>
      <c r="BH134" s="221" t="e">
        <f aca="false">BJ134/BG134</f>
        <v>#DIV/0!</v>
      </c>
      <c r="BI134" s="1" t="n">
        <f aca="false">BG134*($B134+F$13)</f>
        <v>0</v>
      </c>
      <c r="BJ134" s="33" t="n">
        <f aca="false">IF(ISNUMBER(((BI134/BG134)+F$14+$P134)*BG134),((BI134/BG134)+F$14+$P134)*BG134,0)</f>
        <v>0</v>
      </c>
      <c r="BK134" s="44" t="n">
        <f aca="false">IF(BG134=0,0,bsd(1,BL$27,BH134,$T134,$Q134,$R134,$AE134,0.1))</f>
        <v>0</v>
      </c>
      <c r="BL134" s="44" t="n">
        <f aca="false">IF(BG134=0,0,bsd(2,BL$27,BH134,$T134,$Q134,$R134,$AE134,0.1))</f>
        <v>0</v>
      </c>
      <c r="BM134" s="44" t="n">
        <f aca="false">IF(BG134=0,0,bsd(BL$28,BL$27,BH134,$T134,$Q134,$R134,$AE134,0.1))</f>
        <v>0</v>
      </c>
      <c r="BN134" s="45" t="n">
        <f aca="false">BG134*BK134</f>
        <v>0</v>
      </c>
      <c r="BO134" s="45" t="n">
        <f aca="false">BG134*BL134</f>
        <v>0</v>
      </c>
      <c r="BP134" s="45" t="n">
        <f aca="false">BG134*BM134</f>
        <v>0</v>
      </c>
      <c r="BR134" s="9" t="n">
        <f aca="false">IF($A134&gt;=BS$25,IF($A134&lt;=BS$26,$AF134,0),0)</f>
        <v>0</v>
      </c>
      <c r="BS134" s="221" t="e">
        <f aca="false">BU134/BR134</f>
        <v>#DIV/0!</v>
      </c>
      <c r="BT134" s="1" t="n">
        <f aca="false">BR134*($B134+H$13)</f>
        <v>0</v>
      </c>
      <c r="BU134" s="33" t="n">
        <f aca="false">IF(ISNUMBER(((BT134/BR134)+H$14+$V134)*BR134),((BT134/BR134)+H$14+$V134)*BR134,0)</f>
        <v>0</v>
      </c>
      <c r="BV134" s="44" t="n">
        <f aca="false">IF(BR134=0,0,bsd(1,BW$27,BS134,$Z134,$W134,$X134,$AE134,0.1))</f>
        <v>0</v>
      </c>
      <c r="BW134" s="44" t="n">
        <f aca="false">IF(BR134=0,0,bsd(2,BW$27,BS134,$Z134,$W134,$X134,$AE134,0.1))</f>
        <v>0</v>
      </c>
      <c r="BX134" s="44" t="n">
        <f aca="false">IF(BR134=0,0,bsd(BW$28,BW$27,BS134,$Z134,$W134,$X134,$AE134,0.1))</f>
        <v>0</v>
      </c>
      <c r="BY134" s="45" t="n">
        <f aca="false">BR134*BV134</f>
        <v>0</v>
      </c>
      <c r="BZ134" s="45" t="n">
        <f aca="false">BR134*BW134</f>
        <v>0</v>
      </c>
      <c r="CA134" s="45" t="n">
        <f aca="false">BR134*BX134</f>
        <v>0</v>
      </c>
    </row>
    <row r="135" customFormat="false" ht="12.75" hidden="false" customHeight="false" outlineLevel="0" collapsed="false">
      <c r="A135" s="48" t="n">
        <f aca="false">DATE(YEAR(A134),MONTH(A134)+1,1)</f>
        <v>40452</v>
      </c>
      <c r="B135" s="40" t="n">
        <f aca="false">VLOOKUP(A135,STRADDLE,5,FALSE())</f>
        <v>3.464</v>
      </c>
      <c r="C135" s="4" t="e">
        <f aca="false">VLOOKUP(A135,STRADDLE,6,FALSE())</f>
        <v>#VALUE!</v>
      </c>
      <c r="D135" s="40" t="n">
        <f aca="false">IF(D$28="nymex",0,VLOOKUP($A135,curvesettle,HLOOKUP(D$28,curvesettle,2,FALSE())))</f>
        <v>0</v>
      </c>
      <c r="E135" s="219" t="n">
        <f aca="false">IF(D$28="NYMEX",$AD135,$AC135)</f>
        <v>-5478</v>
      </c>
      <c r="F135" s="4" t="e">
        <f aca="false">($C135+G135)+B$15</f>
        <v>#DIV/0!</v>
      </c>
      <c r="G135" s="4" t="e">
        <f aca="false">IF(B$16=1,xCalcSkew(A135,H135-AL135,b)/100,0)</f>
        <v>#DIV/0!</v>
      </c>
      <c r="H135" s="41" t="n">
        <f aca="false">IF($B$19=4,$AL135,$B$18)</f>
        <v>2.44</v>
      </c>
      <c r="J135" s="40" t="n">
        <f aca="false">IF(J$28="nymex",0,VLOOKUP($A135,curvesettle,HLOOKUP(J$28,curvesettle,2,FALSE())))</f>
        <v>0</v>
      </c>
      <c r="K135" s="219" t="n">
        <f aca="false">IF(J$28="NYMEX",$AD135,$AC135)</f>
        <v>-5478</v>
      </c>
      <c r="L135" s="220" t="e">
        <f aca="false">($C135+M135)+D$15</f>
        <v>#DIV/0!</v>
      </c>
      <c r="M135" s="4" t="e">
        <f aca="false">IF(D$16=1,xCalcSkew($A135,N135-AW135,b)/100,0)</f>
        <v>#DIV/0!</v>
      </c>
      <c r="N135" s="41" t="n">
        <f aca="false">IF($D$19=4,$AW135,$D$18)</f>
        <v>2.44</v>
      </c>
      <c r="P135" s="40" t="n">
        <f aca="false">IF(P$28="nymex",0,VLOOKUP($A135,curvesettle,HLOOKUP(P$28,curvesettle,2,FALSE())))</f>
        <v>0</v>
      </c>
      <c r="Q135" s="219" t="n">
        <f aca="false">IF(P$28="NYMEX",$AD135,$AC135)</f>
        <v>-5478</v>
      </c>
      <c r="R135" s="220" t="e">
        <f aca="false">($C135+S135)+F$15</f>
        <v>#DIV/0!</v>
      </c>
      <c r="S135" s="4" t="e">
        <f aca="false">IF(F$16=1,xCalcSkew($A135,T135-BH135,b)/100,0)</f>
        <v>#DIV/0!</v>
      </c>
      <c r="T135" s="41" t="n">
        <f aca="false">IF($F$19=4,$BH135,$F$18)</f>
        <v>2.44</v>
      </c>
      <c r="V135" s="40" t="n">
        <f aca="false">IF(V$28="nymex",0,VLOOKUP($A135,curvesettle,HLOOKUP(V$28,curvesettle,2,FALSE())))</f>
        <v>0</v>
      </c>
      <c r="W135" s="219" t="n">
        <f aca="false">IF(V$28="NYMEX",$AD135,$AC135)</f>
        <v>-5478</v>
      </c>
      <c r="X135" s="4" t="e">
        <f aca="false">($C135+Y135)+H$15</f>
        <v>#DIV/0!</v>
      </c>
      <c r="Y135" s="4" t="e">
        <f aca="false">IF(H$16=1,xCalcSkew($A135,Z135-BS135,b)/100,0)</f>
        <v>#DIV/0!</v>
      </c>
      <c r="Z135" s="41" t="n">
        <f aca="false">IF($H$19=4,$BS135,$H$18)</f>
        <v>2.44</v>
      </c>
      <c r="AC135" s="219" t="n">
        <f aca="false">VLOOKUP($A135,expiration,2,FALSE())-$B$2</f>
        <v>-5477</v>
      </c>
      <c r="AD135" s="219" t="n">
        <f aca="false">VLOOKUP($A135,expiration,3,FALSE())-$B$2</f>
        <v>-5478</v>
      </c>
      <c r="AE135" s="4" t="n">
        <f aca="false">VLOOKUP($A135,STRADDLE,15,FALSE())</f>
        <v>0.0576591902413206</v>
      </c>
      <c r="AF135" s="43" t="n">
        <f aca="false">A136-A135</f>
        <v>31</v>
      </c>
      <c r="AI135" s="219"/>
      <c r="AJ135" s="9"/>
      <c r="AK135" s="9" t="n">
        <f aca="false">IF($A135&gt;=AL$25,IF($A135&lt;=AL$26,$AF135,0),0)</f>
        <v>0</v>
      </c>
      <c r="AL135" s="221" t="e">
        <f aca="false">AN135/AK135</f>
        <v>#DIV/0!</v>
      </c>
      <c r="AM135" s="1" t="n">
        <f aca="false">AK135*($B135+B$13)</f>
        <v>0</v>
      </c>
      <c r="AN135" s="33" t="n">
        <f aca="false">IF(ISNUMBER(((AM135/AK135)+B$14+$D135)*AK135),((AM135/AK135)+B$14+$D135)*AK135,0)</f>
        <v>0</v>
      </c>
      <c r="AO135" s="44" t="n">
        <f aca="false">IF(AK135=0,0,bsd(1,AP$27,AL135,$H135,$E135,$F135,$AE135,0.1))</f>
        <v>0</v>
      </c>
      <c r="AP135" s="44" t="n">
        <f aca="false">IF(AK135=0,0,bsd(2,AP$27,AL135,$H135,$E135,$F135,$AE135,0.1))</f>
        <v>0</v>
      </c>
      <c r="AQ135" s="44" t="n">
        <f aca="false">IF(AK135=0,0,bsd(AP$28,AP$27,AL135,$H135,$E135,$F135,$AE135,0.1))</f>
        <v>0</v>
      </c>
      <c r="AR135" s="45" t="n">
        <f aca="false">AK135*AO135</f>
        <v>0</v>
      </c>
      <c r="AS135" s="45" t="n">
        <f aca="false">AK135*AP135</f>
        <v>0</v>
      </c>
      <c r="AT135" s="45" t="n">
        <f aca="false">AK135*AQ135</f>
        <v>0</v>
      </c>
      <c r="AV135" s="9" t="n">
        <f aca="false">IF($A135&gt;=AW$25,IF($A135&lt;=AW$26,$AF135,0),0)</f>
        <v>0</v>
      </c>
      <c r="AW135" s="221" t="e">
        <f aca="false">AY135/AV135</f>
        <v>#DIV/0!</v>
      </c>
      <c r="AX135" s="1" t="n">
        <f aca="false">AV135*($B135+D$13)</f>
        <v>0</v>
      </c>
      <c r="AY135" s="33" t="n">
        <f aca="false">IF(ISNUMBER(((AX135/AV135)+D$14+$J135)*AV135),((AX135/AV135)+D$14+$J135)*AV135,0)</f>
        <v>0</v>
      </c>
      <c r="AZ135" s="44" t="n">
        <f aca="false">IF(AV135=0,0,bsd(1,BA$27,AW135,$N135,$K135,$L135,$AE135,0.1))</f>
        <v>0</v>
      </c>
      <c r="BA135" s="44" t="n">
        <f aca="false">IF(AV135=0,0,bsd(2,BA$27,AW135,$N135,$K135,$L135,$AE135,0.1))</f>
        <v>0</v>
      </c>
      <c r="BB135" s="44" t="n">
        <f aca="false">IF(AV135=0,0,bsd(BA$28,BA$27,AW135,$N135,$K135,$L135,$AE135,0.1))</f>
        <v>0</v>
      </c>
      <c r="BC135" s="45" t="n">
        <f aca="false">AV135*AZ135</f>
        <v>0</v>
      </c>
      <c r="BD135" s="45" t="n">
        <f aca="false">AV135*BA135</f>
        <v>0</v>
      </c>
      <c r="BE135" s="45" t="n">
        <f aca="false">AV135*BB135</f>
        <v>0</v>
      </c>
      <c r="BG135" s="9" t="n">
        <f aca="false">IF($A135&gt;=BH$25,IF($A135&lt;=BH$26,$AF135,0),0)</f>
        <v>0</v>
      </c>
      <c r="BH135" s="221" t="e">
        <f aca="false">BJ135/BG135</f>
        <v>#DIV/0!</v>
      </c>
      <c r="BI135" s="1" t="n">
        <f aca="false">BG135*($B135+F$13)</f>
        <v>0</v>
      </c>
      <c r="BJ135" s="33" t="n">
        <f aca="false">IF(ISNUMBER(((BI135/BG135)+F$14+$P135)*BG135),((BI135/BG135)+F$14+$P135)*BG135,0)</f>
        <v>0</v>
      </c>
      <c r="BK135" s="44" t="n">
        <f aca="false">IF(BG135=0,0,bsd(1,BL$27,BH135,$T135,$Q135,$R135,$AE135,0.1))</f>
        <v>0</v>
      </c>
      <c r="BL135" s="44" t="n">
        <f aca="false">IF(BG135=0,0,bsd(2,BL$27,BH135,$T135,$Q135,$R135,$AE135,0.1))</f>
        <v>0</v>
      </c>
      <c r="BM135" s="44" t="n">
        <f aca="false">IF(BG135=0,0,bsd(BL$28,BL$27,BH135,$T135,$Q135,$R135,$AE135,0.1))</f>
        <v>0</v>
      </c>
      <c r="BN135" s="45" t="n">
        <f aca="false">BG135*BK135</f>
        <v>0</v>
      </c>
      <c r="BO135" s="45" t="n">
        <f aca="false">BG135*BL135</f>
        <v>0</v>
      </c>
      <c r="BP135" s="45" t="n">
        <f aca="false">BG135*BM135</f>
        <v>0</v>
      </c>
      <c r="BR135" s="9" t="n">
        <f aca="false">IF($A135&gt;=BS$25,IF($A135&lt;=BS$26,$AF135,0),0)</f>
        <v>0</v>
      </c>
      <c r="BS135" s="221" t="e">
        <f aca="false">BU135/BR135</f>
        <v>#DIV/0!</v>
      </c>
      <c r="BT135" s="1" t="n">
        <f aca="false">BR135*($B135+H$13)</f>
        <v>0</v>
      </c>
      <c r="BU135" s="33" t="n">
        <f aca="false">IF(ISNUMBER(((BT135/BR135)+H$14+$V135)*BR135),((BT135/BR135)+H$14+$V135)*BR135,0)</f>
        <v>0</v>
      </c>
      <c r="BV135" s="44" t="n">
        <f aca="false">IF(BR135=0,0,bsd(1,BW$27,BS135,$Z135,$W135,$X135,$AE135,0.1))</f>
        <v>0</v>
      </c>
      <c r="BW135" s="44" t="n">
        <f aca="false">IF(BR135=0,0,bsd(2,BW$27,BS135,$Z135,$W135,$X135,$AE135,0.1))</f>
        <v>0</v>
      </c>
      <c r="BX135" s="44" t="n">
        <f aca="false">IF(BR135=0,0,bsd(BW$28,BW$27,BS135,$Z135,$W135,$X135,$AE135,0.1))</f>
        <v>0</v>
      </c>
      <c r="BY135" s="45" t="n">
        <f aca="false">BR135*BV135</f>
        <v>0</v>
      </c>
      <c r="BZ135" s="45" t="n">
        <f aca="false">BR135*BW135</f>
        <v>0</v>
      </c>
      <c r="CA135" s="45" t="n">
        <f aca="false">BR135*BX135</f>
        <v>0</v>
      </c>
    </row>
    <row r="136" customFormat="false" ht="12.75" hidden="false" customHeight="false" outlineLevel="0" collapsed="false">
      <c r="A136" s="48" t="n">
        <f aca="false">DATE(YEAR(A135),MONTH(A135)+1,1)</f>
        <v>40483</v>
      </c>
      <c r="B136" s="40" t="n">
        <f aca="false">VLOOKUP(A136,STRADDLE,5,FALSE())</f>
        <v>3.609</v>
      </c>
      <c r="C136" s="4" t="e">
        <f aca="false">VLOOKUP(A136,STRADDLE,6,FALSE())</f>
        <v>#VALUE!</v>
      </c>
      <c r="D136" s="40" t="n">
        <f aca="false">IF(D$28="nymex",0,VLOOKUP($A136,curvesettle,HLOOKUP(D$28,curvesettle,2,FALSE())))</f>
        <v>0</v>
      </c>
      <c r="E136" s="219" t="n">
        <f aca="false">IF(D$28="NYMEX",$AD136,$AC136)</f>
        <v>-5449</v>
      </c>
      <c r="F136" s="4" t="e">
        <f aca="false">($C136+G136)+B$15</f>
        <v>#DIV/0!</v>
      </c>
      <c r="G136" s="4" t="e">
        <f aca="false">IF(B$16=1,xCalcSkew(A136,H136-AL136,b)/100,0)</f>
        <v>#DIV/0!</v>
      </c>
      <c r="H136" s="41" t="n">
        <f aca="false">IF($B$19=4,$AL136,$B$18)</f>
        <v>2.44</v>
      </c>
      <c r="J136" s="40" t="n">
        <f aca="false">IF(J$28="nymex",0,VLOOKUP($A136,curvesettle,HLOOKUP(J$28,curvesettle,2,FALSE())))</f>
        <v>0</v>
      </c>
      <c r="K136" s="219" t="n">
        <f aca="false">IF(J$28="NYMEX",$AD136,$AC136)</f>
        <v>-5449</v>
      </c>
      <c r="L136" s="220" t="e">
        <f aca="false">($C136+M136)+D$15</f>
        <v>#DIV/0!</v>
      </c>
      <c r="M136" s="4" t="e">
        <f aca="false">IF(D$16=1,xCalcSkew($A136,N136-AW136,b)/100,0)</f>
        <v>#DIV/0!</v>
      </c>
      <c r="N136" s="41" t="n">
        <f aca="false">IF($D$19=4,$AW136,$D$18)</f>
        <v>2.44</v>
      </c>
      <c r="P136" s="40" t="n">
        <f aca="false">IF(P$28="nymex",0,VLOOKUP($A136,curvesettle,HLOOKUP(P$28,curvesettle,2,FALSE())))</f>
        <v>0</v>
      </c>
      <c r="Q136" s="219" t="n">
        <f aca="false">IF(P$28="NYMEX",$AD136,$AC136)</f>
        <v>-5449</v>
      </c>
      <c r="R136" s="220" t="e">
        <f aca="false">($C136+S136)+F$15</f>
        <v>#DIV/0!</v>
      </c>
      <c r="S136" s="4" t="e">
        <f aca="false">IF(F$16=1,xCalcSkew($A136,T136-BH136,b)/100,0)</f>
        <v>#DIV/0!</v>
      </c>
      <c r="T136" s="41" t="n">
        <f aca="false">IF($F$19=4,$BH136,$F$18)</f>
        <v>2.44</v>
      </c>
      <c r="V136" s="40" t="n">
        <f aca="false">IF(V$28="nymex",0,VLOOKUP($A136,curvesettle,HLOOKUP(V$28,curvesettle,2,FALSE())))</f>
        <v>0</v>
      </c>
      <c r="W136" s="219" t="n">
        <f aca="false">IF(V$28="NYMEX",$AD136,$AC136)</f>
        <v>-5449</v>
      </c>
      <c r="X136" s="4" t="e">
        <f aca="false">($C136+Y136)+H$15</f>
        <v>#DIV/0!</v>
      </c>
      <c r="Y136" s="4" t="e">
        <f aca="false">IF(H$16=1,xCalcSkew($A136,Z136-BS136,b)/100,0)</f>
        <v>#DIV/0!</v>
      </c>
      <c r="Z136" s="41" t="n">
        <f aca="false">IF($H$19=4,$BS136,$H$18)</f>
        <v>2.44</v>
      </c>
      <c r="AC136" s="219" t="n">
        <f aca="false">VLOOKUP($A136,expiration,2,FALSE())-$B$2</f>
        <v>-5448</v>
      </c>
      <c r="AD136" s="219" t="n">
        <f aca="false">VLOOKUP($A136,expiration,3,FALSE())-$B$2</f>
        <v>-5449</v>
      </c>
      <c r="AE136" s="4" t="n">
        <f aca="false">VLOOKUP($A136,STRADDLE,15,FALSE())</f>
        <v>0.057759350034984</v>
      </c>
      <c r="AF136" s="43" t="n">
        <f aca="false">A137-A136</f>
        <v>30</v>
      </c>
      <c r="AI136" s="219"/>
      <c r="AJ136" s="9"/>
      <c r="AK136" s="9" t="n">
        <f aca="false">IF($A136&gt;=AL$25,IF($A136&lt;=AL$26,$AF136,0),0)</f>
        <v>0</v>
      </c>
      <c r="AL136" s="221" t="e">
        <f aca="false">AN136/AK136</f>
        <v>#DIV/0!</v>
      </c>
      <c r="AM136" s="1" t="n">
        <f aca="false">AK136*($B136+B$13)</f>
        <v>0</v>
      </c>
      <c r="AN136" s="33" t="n">
        <f aca="false">IF(ISNUMBER(((AM136/AK136)+B$14+$D136)*AK136),((AM136/AK136)+B$14+$D136)*AK136,0)</f>
        <v>0</v>
      </c>
      <c r="AO136" s="44" t="n">
        <f aca="false">IF(AK136=0,0,bsd(1,AP$27,AL136,$H136,$E136,$F136,$AE136,0.1))</f>
        <v>0</v>
      </c>
      <c r="AP136" s="44" t="n">
        <f aca="false">IF(AK136=0,0,bsd(2,AP$27,AL136,$H136,$E136,$F136,$AE136,0.1))</f>
        <v>0</v>
      </c>
      <c r="AQ136" s="44" t="n">
        <f aca="false">IF(AK136=0,0,bsd(AP$28,AP$27,AL136,$H136,$E136,$F136,$AE136,0.1))</f>
        <v>0</v>
      </c>
      <c r="AR136" s="45" t="n">
        <f aca="false">AK136*AO136</f>
        <v>0</v>
      </c>
      <c r="AS136" s="45" t="n">
        <f aca="false">AK136*AP136</f>
        <v>0</v>
      </c>
      <c r="AT136" s="45" t="n">
        <f aca="false">AK136*AQ136</f>
        <v>0</v>
      </c>
      <c r="AV136" s="9" t="n">
        <f aca="false">IF($A136&gt;=AW$25,IF($A136&lt;=AW$26,$AF136,0),0)</f>
        <v>0</v>
      </c>
      <c r="AW136" s="221" t="e">
        <f aca="false">AY136/AV136</f>
        <v>#DIV/0!</v>
      </c>
      <c r="AX136" s="1" t="n">
        <f aca="false">AV136*($B136+D$13)</f>
        <v>0</v>
      </c>
      <c r="AY136" s="33" t="n">
        <f aca="false">IF(ISNUMBER(((AX136/AV136)+D$14+$J136)*AV136),((AX136/AV136)+D$14+$J136)*AV136,0)</f>
        <v>0</v>
      </c>
      <c r="AZ136" s="44" t="n">
        <f aca="false">IF(AV136=0,0,bsd(1,BA$27,AW136,$N136,$K136,$L136,$AE136,0.1))</f>
        <v>0</v>
      </c>
      <c r="BA136" s="44" t="n">
        <f aca="false">IF(AV136=0,0,bsd(2,BA$27,AW136,$N136,$K136,$L136,$AE136,0.1))</f>
        <v>0</v>
      </c>
      <c r="BB136" s="44" t="n">
        <f aca="false">IF(AV136=0,0,bsd(BA$28,BA$27,AW136,$N136,$K136,$L136,$AE136,0.1))</f>
        <v>0</v>
      </c>
      <c r="BC136" s="45" t="n">
        <f aca="false">AV136*AZ136</f>
        <v>0</v>
      </c>
      <c r="BD136" s="45" t="n">
        <f aca="false">AV136*BA136</f>
        <v>0</v>
      </c>
      <c r="BE136" s="45" t="n">
        <f aca="false">AV136*BB136</f>
        <v>0</v>
      </c>
      <c r="BG136" s="9" t="n">
        <f aca="false">IF($A136&gt;=BH$25,IF($A136&lt;=BH$26,$AF136,0),0)</f>
        <v>0</v>
      </c>
      <c r="BH136" s="221" t="e">
        <f aca="false">BJ136/BG136</f>
        <v>#DIV/0!</v>
      </c>
      <c r="BI136" s="1" t="n">
        <f aca="false">BG136*($B136+F$13)</f>
        <v>0</v>
      </c>
      <c r="BJ136" s="33" t="n">
        <f aca="false">IF(ISNUMBER(((BI136/BG136)+F$14+$P136)*BG136),((BI136/BG136)+F$14+$P136)*BG136,0)</f>
        <v>0</v>
      </c>
      <c r="BK136" s="44" t="n">
        <f aca="false">IF(BG136=0,0,bsd(1,BL$27,BH136,$T136,$Q136,$R136,$AE136,0.1))</f>
        <v>0</v>
      </c>
      <c r="BL136" s="44" t="n">
        <f aca="false">IF(BG136=0,0,bsd(2,BL$27,BH136,$T136,$Q136,$R136,$AE136,0.1))</f>
        <v>0</v>
      </c>
      <c r="BM136" s="44" t="n">
        <f aca="false">IF(BG136=0,0,bsd(BL$28,BL$27,BH136,$T136,$Q136,$R136,$AE136,0.1))</f>
        <v>0</v>
      </c>
      <c r="BN136" s="45" t="n">
        <f aca="false">BG136*BK136</f>
        <v>0</v>
      </c>
      <c r="BO136" s="45" t="n">
        <f aca="false">BG136*BL136</f>
        <v>0</v>
      </c>
      <c r="BP136" s="45" t="n">
        <f aca="false">BG136*BM136</f>
        <v>0</v>
      </c>
      <c r="BR136" s="9" t="n">
        <f aca="false">IF($A136&gt;=BS$25,IF($A136&lt;=BS$26,$AF136,0),0)</f>
        <v>0</v>
      </c>
      <c r="BS136" s="221" t="e">
        <f aca="false">BU136/BR136</f>
        <v>#DIV/0!</v>
      </c>
      <c r="BT136" s="1" t="n">
        <f aca="false">BR136*($B136+H$13)</f>
        <v>0</v>
      </c>
      <c r="BU136" s="33" t="n">
        <f aca="false">IF(ISNUMBER(((BT136/BR136)+H$14+$V136)*BR136),((BT136/BR136)+H$14+$V136)*BR136,0)</f>
        <v>0</v>
      </c>
      <c r="BV136" s="44" t="n">
        <f aca="false">IF(BR136=0,0,bsd(1,BW$27,BS136,$Z136,$W136,$X136,$AE136,0.1))</f>
        <v>0</v>
      </c>
      <c r="BW136" s="44" t="n">
        <f aca="false">IF(BR136=0,0,bsd(2,BW$27,BS136,$Z136,$W136,$X136,$AE136,0.1))</f>
        <v>0</v>
      </c>
      <c r="BX136" s="44" t="n">
        <f aca="false">IF(BR136=0,0,bsd(BW$28,BW$27,BS136,$Z136,$W136,$X136,$AE136,0.1))</f>
        <v>0</v>
      </c>
      <c r="BY136" s="45" t="n">
        <f aca="false">BR136*BV136</f>
        <v>0</v>
      </c>
      <c r="BZ136" s="45" t="n">
        <f aca="false">BR136*BW136</f>
        <v>0</v>
      </c>
      <c r="CA136" s="45" t="n">
        <f aca="false">BR136*BX136</f>
        <v>0</v>
      </c>
    </row>
    <row r="137" customFormat="false" ht="12.75" hidden="false" customHeight="false" outlineLevel="0" collapsed="false">
      <c r="A137" s="48" t="n">
        <f aca="false">DATE(YEAR(A136),MONTH(A136)+1,1)</f>
        <v>40513</v>
      </c>
      <c r="B137" s="40" t="n">
        <f aca="false">VLOOKUP(A137,STRADDLE,5,FALSE())</f>
        <v>3.744</v>
      </c>
      <c r="C137" s="4" t="e">
        <f aca="false">VLOOKUP(A137,STRADDLE,6,FALSE())</f>
        <v>#VALUE!</v>
      </c>
      <c r="D137" s="40" t="n">
        <f aca="false">IF(D$28="nymex",0,VLOOKUP($A137,curvesettle,HLOOKUP(D$28,curvesettle,2,FALSE())))</f>
        <v>0</v>
      </c>
      <c r="E137" s="219" t="n">
        <f aca="false">IF(D$28="NYMEX",$AD137,$AC137)</f>
        <v>-5420</v>
      </c>
      <c r="F137" s="4" t="e">
        <f aca="false">($C137+G137)+B$15</f>
        <v>#DIV/0!</v>
      </c>
      <c r="G137" s="4" t="e">
        <f aca="false">IF(B$16=1,xCalcSkew(A137,H137-AL137,b)/100,0)</f>
        <v>#DIV/0!</v>
      </c>
      <c r="H137" s="41" t="n">
        <f aca="false">IF($B$19=4,$AL137,$B$18)</f>
        <v>2.44</v>
      </c>
      <c r="J137" s="40" t="n">
        <f aca="false">IF(J$28="nymex",0,VLOOKUP($A137,curvesettle,HLOOKUP(J$28,curvesettle,2,FALSE())))</f>
        <v>0</v>
      </c>
      <c r="K137" s="219" t="n">
        <f aca="false">IF(J$28="NYMEX",$AD137,$AC137)</f>
        <v>-5420</v>
      </c>
      <c r="L137" s="220" t="e">
        <f aca="false">($C137+M137)+D$15</f>
        <v>#DIV/0!</v>
      </c>
      <c r="M137" s="4" t="e">
        <f aca="false">IF(D$16=1,xCalcSkew($A137,N137-AW137,b)/100,0)</f>
        <v>#DIV/0!</v>
      </c>
      <c r="N137" s="41" t="n">
        <f aca="false">IF($D$19=4,$AW137,$D$18)</f>
        <v>2.44</v>
      </c>
      <c r="P137" s="40" t="n">
        <f aca="false">IF(P$28="nymex",0,VLOOKUP($A137,curvesettle,HLOOKUP(P$28,curvesettle,2,FALSE())))</f>
        <v>0</v>
      </c>
      <c r="Q137" s="219" t="n">
        <f aca="false">IF(P$28="NYMEX",$AD137,$AC137)</f>
        <v>-5420</v>
      </c>
      <c r="R137" s="220" t="e">
        <f aca="false">($C137+S137)+F$15</f>
        <v>#DIV/0!</v>
      </c>
      <c r="S137" s="4" t="e">
        <f aca="false">IF(F$16=1,xCalcSkew($A137,T137-BH137,b)/100,0)</f>
        <v>#DIV/0!</v>
      </c>
      <c r="T137" s="41" t="n">
        <f aca="false">IF($F$19=4,$BH137,$F$18)</f>
        <v>2.44</v>
      </c>
      <c r="V137" s="40" t="n">
        <f aca="false">IF(V$28="nymex",0,VLOOKUP($A137,curvesettle,HLOOKUP(V$28,curvesettle,2,FALSE())))</f>
        <v>0</v>
      </c>
      <c r="W137" s="219" t="n">
        <f aca="false">IF(V$28="NYMEX",$AD137,$AC137)</f>
        <v>-5420</v>
      </c>
      <c r="X137" s="4" t="e">
        <f aca="false">($C137+Y137)+H$15</f>
        <v>#DIV/0!</v>
      </c>
      <c r="Y137" s="4" t="e">
        <f aca="false">IF(H$16=1,xCalcSkew($A137,Z137-BS137,b)/100,0)</f>
        <v>#DIV/0!</v>
      </c>
      <c r="Z137" s="41" t="n">
        <f aca="false">IF($H$19=4,$BS137,$H$18)</f>
        <v>2.44</v>
      </c>
      <c r="AC137" s="219" t="n">
        <f aca="false">VLOOKUP($A137,expiration,2,FALSE())-$B$2</f>
        <v>-5418</v>
      </c>
      <c r="AD137" s="219" t="n">
        <f aca="false">VLOOKUP($A137,expiration,3,FALSE())-$B$2</f>
        <v>-5420</v>
      </c>
      <c r="AE137" s="4" t="n">
        <f aca="false">VLOOKUP($A137,STRADDLE,15,FALSE())</f>
        <v>0.0578628484919417</v>
      </c>
      <c r="AF137" s="43" t="n">
        <f aca="false">A138-A137</f>
        <v>31</v>
      </c>
      <c r="AI137" s="219"/>
      <c r="AJ137" s="9"/>
      <c r="AK137" s="9" t="n">
        <f aca="false">IF($A137&gt;=AL$25,IF($A137&lt;=AL$26,$AF137,0),0)</f>
        <v>0</v>
      </c>
      <c r="AL137" s="221" t="e">
        <f aca="false">AN137/AK137</f>
        <v>#DIV/0!</v>
      </c>
      <c r="AM137" s="1" t="n">
        <f aca="false">AK137*($B137+B$13)</f>
        <v>0</v>
      </c>
      <c r="AN137" s="33" t="n">
        <f aca="false">IF(ISNUMBER(((AM137/AK137)+B$14+$D137)*AK137),((AM137/AK137)+B$14+$D137)*AK137,0)</f>
        <v>0</v>
      </c>
      <c r="AO137" s="44" t="n">
        <f aca="false">IF(AK137=0,0,bsd(1,AP$27,AL137,$H137,$E137,$F137,$AE137,0.1))</f>
        <v>0</v>
      </c>
      <c r="AP137" s="44" t="n">
        <f aca="false">IF(AK137=0,0,bsd(2,AP$27,AL137,$H137,$E137,$F137,$AE137,0.1))</f>
        <v>0</v>
      </c>
      <c r="AQ137" s="44" t="n">
        <f aca="false">IF(AK137=0,0,bsd(AP$28,AP$27,AL137,$H137,$E137,$F137,$AE137,0.1))</f>
        <v>0</v>
      </c>
      <c r="AR137" s="45" t="n">
        <f aca="false">AK137*AO137</f>
        <v>0</v>
      </c>
      <c r="AS137" s="45" t="n">
        <f aca="false">AK137*AP137</f>
        <v>0</v>
      </c>
      <c r="AT137" s="45" t="n">
        <f aca="false">AK137*AQ137</f>
        <v>0</v>
      </c>
      <c r="AV137" s="9" t="n">
        <f aca="false">IF($A137&gt;=AW$25,IF($A137&lt;=AW$26,$AF137,0),0)</f>
        <v>0</v>
      </c>
      <c r="AW137" s="221" t="e">
        <f aca="false">AY137/AV137</f>
        <v>#DIV/0!</v>
      </c>
      <c r="AX137" s="1" t="n">
        <f aca="false">AV137*($B137+D$13)</f>
        <v>0</v>
      </c>
      <c r="AY137" s="33" t="n">
        <f aca="false">IF(ISNUMBER(((AX137/AV137)+D$14+$J137)*AV137),((AX137/AV137)+D$14+$J137)*AV137,0)</f>
        <v>0</v>
      </c>
      <c r="AZ137" s="44" t="n">
        <f aca="false">IF(AV137=0,0,bsd(1,BA$27,AW137,$N137,$K137,$L137,$AE137,0.1))</f>
        <v>0</v>
      </c>
      <c r="BA137" s="44" t="n">
        <f aca="false">IF(AV137=0,0,bsd(2,BA$27,AW137,$N137,$K137,$L137,$AE137,0.1))</f>
        <v>0</v>
      </c>
      <c r="BB137" s="44" t="n">
        <f aca="false">IF(AV137=0,0,bsd(BA$28,BA$27,AW137,$N137,$K137,$L137,$AE137,0.1))</f>
        <v>0</v>
      </c>
      <c r="BC137" s="45" t="n">
        <f aca="false">AV137*AZ137</f>
        <v>0</v>
      </c>
      <c r="BD137" s="45" t="n">
        <f aca="false">AV137*BA137</f>
        <v>0</v>
      </c>
      <c r="BE137" s="45" t="n">
        <f aca="false">AV137*BB137</f>
        <v>0</v>
      </c>
      <c r="BG137" s="9" t="n">
        <f aca="false">IF($A137&gt;=BH$25,IF($A137&lt;=BH$26,$AF137,0),0)</f>
        <v>0</v>
      </c>
      <c r="BH137" s="221" t="e">
        <f aca="false">BJ137/BG137</f>
        <v>#DIV/0!</v>
      </c>
      <c r="BI137" s="1" t="n">
        <f aca="false">BG137*($B137+F$13)</f>
        <v>0</v>
      </c>
      <c r="BJ137" s="33" t="n">
        <f aca="false">IF(ISNUMBER(((BI137/BG137)+F$14+$P137)*BG137),((BI137/BG137)+F$14+$P137)*BG137,0)</f>
        <v>0</v>
      </c>
      <c r="BK137" s="44" t="n">
        <f aca="false">IF(BG137=0,0,bsd(1,BL$27,BH137,$T137,$Q137,$R137,$AE137,0.1))</f>
        <v>0</v>
      </c>
      <c r="BL137" s="44" t="n">
        <f aca="false">IF(BG137=0,0,bsd(2,BL$27,BH137,$T137,$Q137,$R137,$AE137,0.1))</f>
        <v>0</v>
      </c>
      <c r="BM137" s="44" t="n">
        <f aca="false">IF(BG137=0,0,bsd(BL$28,BL$27,BH137,$T137,$Q137,$R137,$AE137,0.1))</f>
        <v>0</v>
      </c>
      <c r="BN137" s="45" t="n">
        <f aca="false">BG137*BK137</f>
        <v>0</v>
      </c>
      <c r="BO137" s="45" t="n">
        <f aca="false">BG137*BL137</f>
        <v>0</v>
      </c>
      <c r="BP137" s="45" t="n">
        <f aca="false">BG137*BM137</f>
        <v>0</v>
      </c>
      <c r="BR137" s="9" t="n">
        <f aca="false">IF($A137&gt;=BS$25,IF($A137&lt;=BS$26,$AF137,0),0)</f>
        <v>0</v>
      </c>
      <c r="BS137" s="221" t="e">
        <f aca="false">BU137/BR137</f>
        <v>#DIV/0!</v>
      </c>
      <c r="BT137" s="1" t="n">
        <f aca="false">BR137*($B137+H$13)</f>
        <v>0</v>
      </c>
      <c r="BU137" s="33" t="n">
        <f aca="false">IF(ISNUMBER(((BT137/BR137)+H$14+$V137)*BR137),((BT137/BR137)+H$14+$V137)*BR137,0)</f>
        <v>0</v>
      </c>
      <c r="BV137" s="44" t="n">
        <f aca="false">IF(BR137=0,0,bsd(1,BW$27,BS137,$Z137,$W137,$X137,$AE137,0.1))</f>
        <v>0</v>
      </c>
      <c r="BW137" s="44" t="n">
        <f aca="false">IF(BR137=0,0,bsd(2,BW$27,BS137,$Z137,$W137,$X137,$AE137,0.1))</f>
        <v>0</v>
      </c>
      <c r="BX137" s="44" t="n">
        <f aca="false">IF(BR137=0,0,bsd(BW$28,BW$27,BS137,$Z137,$W137,$X137,$AE137,0.1))</f>
        <v>0</v>
      </c>
      <c r="BY137" s="45" t="n">
        <f aca="false">BR137*BV137</f>
        <v>0</v>
      </c>
      <c r="BZ137" s="45" t="n">
        <f aca="false">BR137*BW137</f>
        <v>0</v>
      </c>
      <c r="CA137" s="45" t="n">
        <f aca="false">BR137*BX137</f>
        <v>0</v>
      </c>
    </row>
    <row r="138" customFormat="false" ht="12.75" hidden="false" customHeight="false" outlineLevel="0" collapsed="false">
      <c r="A138" s="48" t="n">
        <f aca="false">DATE(YEAR(A137),MONTH(A137)+1,1)</f>
        <v>40544</v>
      </c>
      <c r="B138" s="40" t="n">
        <f aca="false">VLOOKUP(A138,STRADDLE,5,FALSE())</f>
        <v>3.799</v>
      </c>
      <c r="C138" s="4" t="e">
        <f aca="false">VLOOKUP(A138,STRADDLE,6,FALSE())</f>
        <v>#VALUE!</v>
      </c>
      <c r="D138" s="40" t="n">
        <f aca="false">IF(D$28="nymex",0,VLOOKUP($A138,curvesettle,HLOOKUP(D$28,curvesettle,2,FALSE())))</f>
        <v>0</v>
      </c>
      <c r="E138" s="219" t="n">
        <f aca="false">IF(D$28="NYMEX",$AD138,$AC138)</f>
        <v>-5387</v>
      </c>
      <c r="F138" s="4" t="e">
        <f aca="false">($C138+G138)+B$15</f>
        <v>#DIV/0!</v>
      </c>
      <c r="G138" s="4" t="e">
        <f aca="false">IF(B$16=1,xCalcSkew(A138,H138-AL138,b)/100,0)</f>
        <v>#DIV/0!</v>
      </c>
      <c r="H138" s="41" t="n">
        <f aca="false">IF($B$19=4,$AL138,$B$18)</f>
        <v>2.44</v>
      </c>
      <c r="J138" s="40" t="n">
        <f aca="false">IF(J$28="nymex",0,VLOOKUP($A138,curvesettle,HLOOKUP(J$28,curvesettle,2,FALSE())))</f>
        <v>0</v>
      </c>
      <c r="K138" s="219" t="n">
        <f aca="false">IF(J$28="NYMEX",$AD138,$AC138)</f>
        <v>-5387</v>
      </c>
      <c r="L138" s="220" t="e">
        <f aca="false">($C138+M138)+D$15</f>
        <v>#DIV/0!</v>
      </c>
      <c r="M138" s="4" t="e">
        <f aca="false">IF(D$16=1,xCalcSkew($A138,N138-AW138,b)/100,0)</f>
        <v>#DIV/0!</v>
      </c>
      <c r="N138" s="41" t="n">
        <f aca="false">IF($D$19=4,$AW138,$D$18)</f>
        <v>2.44</v>
      </c>
      <c r="P138" s="40" t="n">
        <f aca="false">IF(P$28="nymex",0,VLOOKUP($A138,curvesettle,HLOOKUP(P$28,curvesettle,2,FALSE())))</f>
        <v>0</v>
      </c>
      <c r="Q138" s="219" t="n">
        <f aca="false">IF(P$28="NYMEX",$AD138,$AC138)</f>
        <v>-5387</v>
      </c>
      <c r="R138" s="220" t="e">
        <f aca="false">($C138+S138)+F$15</f>
        <v>#DIV/0!</v>
      </c>
      <c r="S138" s="4" t="e">
        <f aca="false">IF(F$16=1,xCalcSkew($A138,T138-BH138,b)/100,0)</f>
        <v>#DIV/0!</v>
      </c>
      <c r="T138" s="41" t="n">
        <f aca="false">IF($F$19=4,$BH138,$F$18)</f>
        <v>2.44</v>
      </c>
      <c r="V138" s="40" t="n">
        <f aca="false">IF(V$28="nymex",0,VLOOKUP($A138,curvesettle,HLOOKUP(V$28,curvesettle,2,FALSE())))</f>
        <v>0</v>
      </c>
      <c r="W138" s="219" t="n">
        <f aca="false">IF(V$28="NYMEX",$AD138,$AC138)</f>
        <v>-5387</v>
      </c>
      <c r="X138" s="4" t="e">
        <f aca="false">($C138+Y138)+H$15</f>
        <v>#DIV/0!</v>
      </c>
      <c r="Y138" s="4" t="e">
        <f aca="false">IF(H$16=1,xCalcSkew($A138,Z138-BS138,b)/100,0)</f>
        <v>#DIV/0!</v>
      </c>
      <c r="Z138" s="41" t="n">
        <f aca="false">IF($H$19=4,$BS138,$H$18)</f>
        <v>2.44</v>
      </c>
      <c r="AC138" s="219" t="n">
        <f aca="false">VLOOKUP($A138,expiration,2,FALSE())-$B$2</f>
        <v>-5386</v>
      </c>
      <c r="AD138" s="219" t="n">
        <f aca="false">VLOOKUP($A138,expiration,3,FALSE())-$B$2</f>
        <v>-5387</v>
      </c>
      <c r="AE138" s="4" t="n">
        <f aca="false">VLOOKUP($A138,STRADDLE,15,FALSE())</f>
        <v>0.0579630082923899</v>
      </c>
      <c r="AF138" s="43" t="n">
        <f aca="false">A139-A138</f>
        <v>31</v>
      </c>
      <c r="AI138" s="219"/>
      <c r="AJ138" s="9"/>
      <c r="AK138" s="9" t="n">
        <f aca="false">IF($A138&gt;=AL$25,IF($A138&lt;=AL$26,$AF138,0),0)</f>
        <v>0</v>
      </c>
      <c r="AL138" s="221" t="e">
        <f aca="false">AN138/AK138</f>
        <v>#DIV/0!</v>
      </c>
      <c r="AM138" s="1" t="n">
        <f aca="false">AK138*($B138+B$13)</f>
        <v>0</v>
      </c>
      <c r="AN138" s="33" t="n">
        <f aca="false">IF(ISNUMBER(((AM138/AK138)+B$14+$D138)*AK138),((AM138/AK138)+B$14+$D138)*AK138,0)</f>
        <v>0</v>
      </c>
      <c r="AO138" s="44" t="n">
        <f aca="false">IF(AK138=0,0,bsd(1,AP$27,AL138,$H138,$E138,$F138,$AE138,0.1))</f>
        <v>0</v>
      </c>
      <c r="AP138" s="44" t="n">
        <f aca="false">IF(AK138=0,0,bsd(2,AP$27,AL138,$H138,$E138,$F138,$AE138,0.1))</f>
        <v>0</v>
      </c>
      <c r="AQ138" s="44" t="n">
        <f aca="false">IF(AK138=0,0,bsd(AP$28,AP$27,AL138,$H138,$E138,$F138,$AE138,0.1))</f>
        <v>0</v>
      </c>
      <c r="AR138" s="45" t="n">
        <f aca="false">AK138*AO138</f>
        <v>0</v>
      </c>
      <c r="AS138" s="45" t="n">
        <f aca="false">AK138*AP138</f>
        <v>0</v>
      </c>
      <c r="AT138" s="45" t="n">
        <f aca="false">AK138*AQ138</f>
        <v>0</v>
      </c>
      <c r="AV138" s="9" t="n">
        <f aca="false">IF($A138&gt;=AW$25,IF($A138&lt;=AW$26,$AF138,0),0)</f>
        <v>0</v>
      </c>
      <c r="AW138" s="221" t="e">
        <f aca="false">AY138/AV138</f>
        <v>#DIV/0!</v>
      </c>
      <c r="AX138" s="1" t="n">
        <f aca="false">AV138*($B138+D$13)</f>
        <v>0</v>
      </c>
      <c r="AY138" s="33" t="n">
        <f aca="false">IF(ISNUMBER(((AX138/AV138)+D$14+$J138)*AV138),((AX138/AV138)+D$14+$J138)*AV138,0)</f>
        <v>0</v>
      </c>
      <c r="AZ138" s="44" t="n">
        <f aca="false">IF(AV138=0,0,bsd(1,BA$27,AW138,$N138,$K138,$L138,$AE138,0.1))</f>
        <v>0</v>
      </c>
      <c r="BA138" s="44" t="n">
        <f aca="false">IF(AV138=0,0,bsd(2,BA$27,AW138,$N138,$K138,$L138,$AE138,0.1))</f>
        <v>0</v>
      </c>
      <c r="BB138" s="44" t="n">
        <f aca="false">IF(AV138=0,0,bsd(BA$28,BA$27,AW138,$N138,$K138,$L138,$AE138,0.1))</f>
        <v>0</v>
      </c>
      <c r="BC138" s="45" t="n">
        <f aca="false">AV138*AZ138</f>
        <v>0</v>
      </c>
      <c r="BD138" s="45" t="n">
        <f aca="false">AV138*BA138</f>
        <v>0</v>
      </c>
      <c r="BE138" s="45" t="n">
        <f aca="false">AV138*BB138</f>
        <v>0</v>
      </c>
      <c r="BG138" s="9" t="n">
        <f aca="false">IF($A138&gt;=BH$25,IF($A138&lt;=BH$26,$AF138,0),0)</f>
        <v>0</v>
      </c>
      <c r="BH138" s="221" t="e">
        <f aca="false">BJ138/BG138</f>
        <v>#DIV/0!</v>
      </c>
      <c r="BI138" s="1" t="n">
        <f aca="false">BG138*($B138+F$13)</f>
        <v>0</v>
      </c>
      <c r="BJ138" s="33" t="n">
        <f aca="false">IF(ISNUMBER(((BI138/BG138)+F$14+$P138)*BG138),((BI138/BG138)+F$14+$P138)*BG138,0)</f>
        <v>0</v>
      </c>
      <c r="BK138" s="44" t="n">
        <f aca="false">IF(BG138=0,0,bsd(1,BL$27,BH138,$T138,$Q138,$R138,$AE138,0.1))</f>
        <v>0</v>
      </c>
      <c r="BL138" s="44" t="n">
        <f aca="false">IF(BG138=0,0,bsd(2,BL$27,BH138,$T138,$Q138,$R138,$AE138,0.1))</f>
        <v>0</v>
      </c>
      <c r="BM138" s="44" t="n">
        <f aca="false">IF(BG138=0,0,bsd(BL$28,BL$27,BH138,$T138,$Q138,$R138,$AE138,0.1))</f>
        <v>0</v>
      </c>
      <c r="BN138" s="45" t="n">
        <f aca="false">BG138*BK138</f>
        <v>0</v>
      </c>
      <c r="BO138" s="45" t="n">
        <f aca="false">BG138*BL138</f>
        <v>0</v>
      </c>
      <c r="BP138" s="45" t="n">
        <f aca="false">BG138*BM138</f>
        <v>0</v>
      </c>
      <c r="BR138" s="9" t="n">
        <f aca="false">IF($A138&gt;=BS$25,IF($A138&lt;=BS$26,$AF138,0),0)</f>
        <v>0</v>
      </c>
      <c r="BS138" s="221" t="e">
        <f aca="false">BU138/BR138</f>
        <v>#DIV/0!</v>
      </c>
      <c r="BT138" s="1" t="n">
        <f aca="false">BR138*($B138+H$13)</f>
        <v>0</v>
      </c>
      <c r="BU138" s="33" t="n">
        <f aca="false">IF(ISNUMBER(((BT138/BR138)+H$14+$V138)*BR138),((BT138/BR138)+H$14+$V138)*BR138,0)</f>
        <v>0</v>
      </c>
      <c r="BV138" s="44" t="n">
        <f aca="false">IF(BR138=0,0,bsd(1,BW$27,BS138,$Z138,$W138,$X138,$AE138,0.1))</f>
        <v>0</v>
      </c>
      <c r="BW138" s="44" t="n">
        <f aca="false">IF(BR138=0,0,bsd(2,BW$27,BS138,$Z138,$W138,$X138,$AE138,0.1))</f>
        <v>0</v>
      </c>
      <c r="BX138" s="44" t="n">
        <f aca="false">IF(BR138=0,0,bsd(BW$28,BW$27,BS138,$Z138,$W138,$X138,$AE138,0.1))</f>
        <v>0</v>
      </c>
      <c r="BY138" s="45" t="n">
        <f aca="false">BR138*BV138</f>
        <v>0</v>
      </c>
      <c r="BZ138" s="45" t="n">
        <f aca="false">BR138*BW138</f>
        <v>0</v>
      </c>
      <c r="CA138" s="45" t="n">
        <f aca="false">BR138*BX138</f>
        <v>0</v>
      </c>
    </row>
    <row r="139" customFormat="false" ht="12.75" hidden="false" customHeight="false" outlineLevel="0" collapsed="false">
      <c r="A139" s="48" t="n">
        <f aca="false">DATE(YEAR(A138),MONTH(A138)+1,1)</f>
        <v>40575</v>
      </c>
      <c r="B139" s="40" t="n">
        <f aca="false">VLOOKUP(A139,STRADDLE,5,FALSE())</f>
        <v>3.651</v>
      </c>
      <c r="C139" s="4" t="e">
        <f aca="false">VLOOKUP(A139,STRADDLE,6,FALSE())</f>
        <v>#VALUE!</v>
      </c>
      <c r="D139" s="40" t="n">
        <f aca="false">IF(D$28="nymex",0,VLOOKUP($A139,curvesettle,HLOOKUP(D$28,curvesettle,2,FALSE())))</f>
        <v>0</v>
      </c>
      <c r="E139" s="219" t="n">
        <f aca="false">IF(D$28="NYMEX",$AD139,$AC139)</f>
        <v>-5357</v>
      </c>
      <c r="F139" s="4" t="e">
        <f aca="false">($C139+G139)+B$15</f>
        <v>#DIV/0!</v>
      </c>
      <c r="G139" s="4" t="e">
        <f aca="false">IF(B$16=1,xCalcSkew(A139,H139-AL139,b)/100,0)</f>
        <v>#DIV/0!</v>
      </c>
      <c r="H139" s="41" t="n">
        <f aca="false">IF($B$19=4,$AL139,$B$18)</f>
        <v>2.44</v>
      </c>
      <c r="J139" s="40" t="n">
        <f aca="false">IF(J$28="nymex",0,VLOOKUP($A139,curvesettle,HLOOKUP(J$28,curvesettle,2,FALSE())))</f>
        <v>0</v>
      </c>
      <c r="K139" s="219" t="n">
        <f aca="false">IF(J$28="NYMEX",$AD139,$AC139)</f>
        <v>-5357</v>
      </c>
      <c r="L139" s="220" t="e">
        <f aca="false">($C139+M139)+D$15</f>
        <v>#DIV/0!</v>
      </c>
      <c r="M139" s="4" t="e">
        <f aca="false">IF(D$16=1,xCalcSkew($A139,N139-AW139,b)/100,0)</f>
        <v>#DIV/0!</v>
      </c>
      <c r="N139" s="41" t="n">
        <f aca="false">IF($D$19=4,$AW139,$D$18)</f>
        <v>2.44</v>
      </c>
      <c r="P139" s="40" t="n">
        <f aca="false">IF(P$28="nymex",0,VLOOKUP($A139,curvesettle,HLOOKUP(P$28,curvesettle,2,FALSE())))</f>
        <v>0</v>
      </c>
      <c r="Q139" s="219" t="n">
        <f aca="false">IF(P$28="NYMEX",$AD139,$AC139)</f>
        <v>-5357</v>
      </c>
      <c r="R139" s="220" t="e">
        <f aca="false">($C139+S139)+F$15</f>
        <v>#DIV/0!</v>
      </c>
      <c r="S139" s="4" t="e">
        <f aca="false">IF(F$16=1,xCalcSkew($A139,T139-BH139,b)/100,0)</f>
        <v>#DIV/0!</v>
      </c>
      <c r="T139" s="41" t="n">
        <f aca="false">IF($F$19=4,$BH139,$F$18)</f>
        <v>2.44</v>
      </c>
      <c r="V139" s="40" t="n">
        <f aca="false">IF(V$28="nymex",0,VLOOKUP($A139,curvesettle,HLOOKUP(V$28,curvesettle,2,FALSE())))</f>
        <v>0</v>
      </c>
      <c r="W139" s="219" t="n">
        <f aca="false">IF(V$28="NYMEX",$AD139,$AC139)</f>
        <v>-5357</v>
      </c>
      <c r="X139" s="4" t="e">
        <f aca="false">($C139+Y139)+H$15</f>
        <v>#DIV/0!</v>
      </c>
      <c r="Y139" s="4" t="e">
        <f aca="false">IF(H$16=1,xCalcSkew($A139,Z139-BS139,b)/100,0)</f>
        <v>#DIV/0!</v>
      </c>
      <c r="Z139" s="41" t="n">
        <f aca="false">IF($H$19=4,$BS139,$H$18)</f>
        <v>2.44</v>
      </c>
      <c r="AC139" s="219" t="n">
        <f aca="false">VLOOKUP($A139,expiration,2,FALSE())-$B$2</f>
        <v>-5356</v>
      </c>
      <c r="AD139" s="219" t="n">
        <f aca="false">VLOOKUP($A139,expiration,3,FALSE())-$B$2</f>
        <v>-5357</v>
      </c>
      <c r="AE139" s="4" t="n">
        <f aca="false">VLOOKUP($A139,STRADDLE,15,FALSE())</f>
        <v>0.0580665067563584</v>
      </c>
      <c r="AF139" s="43" t="n">
        <f aca="false">A140-A139</f>
        <v>28</v>
      </c>
      <c r="AI139" s="219"/>
      <c r="AJ139" s="9"/>
      <c r="AK139" s="9" t="n">
        <f aca="false">IF($A139&gt;=AL$25,IF($A139&lt;=AL$26,$AF139,0),0)</f>
        <v>0</v>
      </c>
      <c r="AL139" s="221" t="e">
        <f aca="false">AN139/AK139</f>
        <v>#DIV/0!</v>
      </c>
      <c r="AM139" s="1" t="n">
        <f aca="false">AK139*($B139+B$13)</f>
        <v>0</v>
      </c>
      <c r="AN139" s="33" t="n">
        <f aca="false">IF(ISNUMBER(((AM139/AK139)+B$14+$D139)*AK139),((AM139/AK139)+B$14+$D139)*AK139,0)</f>
        <v>0</v>
      </c>
      <c r="AO139" s="44" t="n">
        <f aca="false">IF(AK139=0,0,bsd(1,AP$27,AL139,$H139,$E139,$F139,$AE139,0.1))</f>
        <v>0</v>
      </c>
      <c r="AP139" s="44" t="n">
        <f aca="false">IF(AK139=0,0,bsd(2,AP$27,AL139,$H139,$E139,$F139,$AE139,0.1))</f>
        <v>0</v>
      </c>
      <c r="AQ139" s="44" t="n">
        <f aca="false">IF(AK139=0,0,bsd(AP$28,AP$27,AL139,$H139,$E139,$F139,$AE139,0.1))</f>
        <v>0</v>
      </c>
      <c r="AR139" s="45" t="n">
        <f aca="false">AK139*AO139</f>
        <v>0</v>
      </c>
      <c r="AS139" s="45" t="n">
        <f aca="false">AK139*AP139</f>
        <v>0</v>
      </c>
      <c r="AT139" s="45" t="n">
        <f aca="false">AK139*AQ139</f>
        <v>0</v>
      </c>
      <c r="AV139" s="9" t="n">
        <f aca="false">IF($A139&gt;=AW$25,IF($A139&lt;=AW$26,$AF139,0),0)</f>
        <v>0</v>
      </c>
      <c r="AW139" s="221" t="e">
        <f aca="false">AY139/AV139</f>
        <v>#DIV/0!</v>
      </c>
      <c r="AX139" s="1" t="n">
        <f aca="false">AV139*($B139+D$13)</f>
        <v>0</v>
      </c>
      <c r="AY139" s="33" t="n">
        <f aca="false">IF(ISNUMBER(((AX139/AV139)+D$14+$J139)*AV139),((AX139/AV139)+D$14+$J139)*AV139,0)</f>
        <v>0</v>
      </c>
      <c r="AZ139" s="44" t="n">
        <f aca="false">IF(AV139=0,0,bsd(1,BA$27,AW139,$N139,$K139,$L139,$AE139,0.1))</f>
        <v>0</v>
      </c>
      <c r="BA139" s="44" t="n">
        <f aca="false">IF(AV139=0,0,bsd(2,BA$27,AW139,$N139,$K139,$L139,$AE139,0.1))</f>
        <v>0</v>
      </c>
      <c r="BB139" s="44" t="n">
        <f aca="false">IF(AV139=0,0,bsd(BA$28,BA$27,AW139,$N139,$K139,$L139,$AE139,0.1))</f>
        <v>0</v>
      </c>
      <c r="BC139" s="45" t="n">
        <f aca="false">AV139*AZ139</f>
        <v>0</v>
      </c>
      <c r="BD139" s="45" t="n">
        <f aca="false">AV139*BA139</f>
        <v>0</v>
      </c>
      <c r="BE139" s="45" t="n">
        <f aca="false">AV139*BB139</f>
        <v>0</v>
      </c>
      <c r="BG139" s="9" t="n">
        <f aca="false">IF($A139&gt;=BH$25,IF($A139&lt;=BH$26,$AF139,0),0)</f>
        <v>0</v>
      </c>
      <c r="BH139" s="221" t="e">
        <f aca="false">BJ139/BG139</f>
        <v>#DIV/0!</v>
      </c>
      <c r="BI139" s="1" t="n">
        <f aca="false">BG139*($B139+F$13)</f>
        <v>0</v>
      </c>
      <c r="BJ139" s="33" t="n">
        <f aca="false">IF(ISNUMBER(((BI139/BG139)+F$14+$P139)*BG139),((BI139/BG139)+F$14+$P139)*BG139,0)</f>
        <v>0</v>
      </c>
      <c r="BK139" s="44" t="n">
        <f aca="false">IF(BG139=0,0,bsd(1,BL$27,BH139,$T139,$Q139,$R139,$AE139,0.1))</f>
        <v>0</v>
      </c>
      <c r="BL139" s="44" t="n">
        <f aca="false">IF(BG139=0,0,bsd(2,BL$27,BH139,$T139,$Q139,$R139,$AE139,0.1))</f>
        <v>0</v>
      </c>
      <c r="BM139" s="44" t="n">
        <f aca="false">IF(BG139=0,0,bsd(BL$28,BL$27,BH139,$T139,$Q139,$R139,$AE139,0.1))</f>
        <v>0</v>
      </c>
      <c r="BN139" s="45" t="n">
        <f aca="false">BG139*BK139</f>
        <v>0</v>
      </c>
      <c r="BO139" s="45" t="n">
        <f aca="false">BG139*BL139</f>
        <v>0</v>
      </c>
      <c r="BP139" s="45" t="n">
        <f aca="false">BG139*BM139</f>
        <v>0</v>
      </c>
      <c r="BR139" s="9" t="n">
        <f aca="false">IF($A139&gt;=BS$25,IF($A139&lt;=BS$26,$AF139,0),0)</f>
        <v>0</v>
      </c>
      <c r="BS139" s="221" t="e">
        <f aca="false">BU139/BR139</f>
        <v>#DIV/0!</v>
      </c>
      <c r="BT139" s="1" t="n">
        <f aca="false">BR139*($B139+H$13)</f>
        <v>0</v>
      </c>
      <c r="BU139" s="33" t="n">
        <f aca="false">IF(ISNUMBER(((BT139/BR139)+H$14+$V139)*BR139),((BT139/BR139)+H$14+$V139)*BR139,0)</f>
        <v>0</v>
      </c>
      <c r="BV139" s="44" t="n">
        <f aca="false">IF(BR139=0,0,bsd(1,BW$27,BS139,$Z139,$W139,$X139,$AE139,0.1))</f>
        <v>0</v>
      </c>
      <c r="BW139" s="44" t="n">
        <f aca="false">IF(BR139=0,0,bsd(2,BW$27,BS139,$Z139,$W139,$X139,$AE139,0.1))</f>
        <v>0</v>
      </c>
      <c r="BX139" s="44" t="n">
        <f aca="false">IF(BR139=0,0,bsd(BW$28,BW$27,BS139,$Z139,$W139,$X139,$AE139,0.1))</f>
        <v>0</v>
      </c>
      <c r="BY139" s="45" t="n">
        <f aca="false">BR139*BV139</f>
        <v>0</v>
      </c>
      <c r="BZ139" s="45" t="n">
        <f aca="false">BR139*BW139</f>
        <v>0</v>
      </c>
      <c r="CA139" s="45" t="n">
        <f aca="false">BR139*BX139</f>
        <v>0</v>
      </c>
    </row>
    <row r="140" customFormat="false" ht="12.75" hidden="false" customHeight="false" outlineLevel="0" collapsed="false">
      <c r="A140" s="48" t="n">
        <f aca="false">DATE(YEAR(A139),MONTH(A139)+1,1)</f>
        <v>40603</v>
      </c>
      <c r="B140" s="40" t="n">
        <f aca="false">VLOOKUP(A140,STRADDLE,5,FALSE())</f>
        <v>3.6</v>
      </c>
      <c r="C140" s="4" t="e">
        <f aca="false">VLOOKUP(A140,STRADDLE,6,FALSE())</f>
        <v>#VALUE!</v>
      </c>
      <c r="D140" s="40" t="n">
        <f aca="false">IF(D$28="nymex",0,VLOOKUP($A140,curvesettle,HLOOKUP(D$28,curvesettle,2,FALSE())))</f>
        <v>0</v>
      </c>
      <c r="E140" s="219" t="n">
        <f aca="false">IF(D$28="NYMEX",$AD140,$AC140)</f>
        <v>-5329</v>
      </c>
      <c r="F140" s="4" t="e">
        <f aca="false">($C140+G140)+B$15</f>
        <v>#DIV/0!</v>
      </c>
      <c r="G140" s="4" t="e">
        <f aca="false">IF(B$16=1,xCalcSkew(A140,H140-AL140,b)/100,0)</f>
        <v>#DIV/0!</v>
      </c>
      <c r="H140" s="41" t="n">
        <f aca="false">IF($B$19=4,$AL140,$B$18)</f>
        <v>2.44</v>
      </c>
      <c r="J140" s="40" t="n">
        <f aca="false">IF(J$28="nymex",0,VLOOKUP($A140,curvesettle,HLOOKUP(J$28,curvesettle,2,FALSE())))</f>
        <v>0</v>
      </c>
      <c r="K140" s="219" t="n">
        <f aca="false">IF(J$28="NYMEX",$AD140,$AC140)</f>
        <v>-5329</v>
      </c>
      <c r="L140" s="220" t="e">
        <f aca="false">($C140+M140)+D$15</f>
        <v>#DIV/0!</v>
      </c>
      <c r="M140" s="4" t="e">
        <f aca="false">IF(D$16=1,xCalcSkew($A140,N140-AW140,b)/100,0)</f>
        <v>#DIV/0!</v>
      </c>
      <c r="N140" s="41" t="n">
        <f aca="false">IF($D$19=4,$AW140,$D$18)</f>
        <v>2.44</v>
      </c>
      <c r="P140" s="40" t="n">
        <f aca="false">IF(P$28="nymex",0,VLOOKUP($A140,curvesettle,HLOOKUP(P$28,curvesettle,2,FALSE())))</f>
        <v>0</v>
      </c>
      <c r="Q140" s="219" t="n">
        <f aca="false">IF(P$28="NYMEX",$AD140,$AC140)</f>
        <v>-5329</v>
      </c>
      <c r="R140" s="220" t="e">
        <f aca="false">($C140+S140)+F$15</f>
        <v>#DIV/0!</v>
      </c>
      <c r="S140" s="4" t="e">
        <f aca="false">IF(F$16=1,xCalcSkew($A140,T140-BH140,b)/100,0)</f>
        <v>#DIV/0!</v>
      </c>
      <c r="T140" s="41" t="n">
        <f aca="false">IF($F$19=4,$BH140,$F$18)</f>
        <v>2.44</v>
      </c>
      <c r="V140" s="40" t="n">
        <f aca="false">IF(V$28="nymex",0,VLOOKUP($A140,curvesettle,HLOOKUP(V$28,curvesettle,2,FALSE())))</f>
        <v>0</v>
      </c>
      <c r="W140" s="219" t="n">
        <f aca="false">IF(V$28="NYMEX",$AD140,$AC140)</f>
        <v>-5329</v>
      </c>
      <c r="X140" s="4" t="e">
        <f aca="false">($C140+Y140)+H$15</f>
        <v>#DIV/0!</v>
      </c>
      <c r="Y140" s="4" t="e">
        <f aca="false">IF(H$16=1,xCalcSkew($A140,Z140-BS140,b)/100,0)</f>
        <v>#DIV/0!</v>
      </c>
      <c r="Z140" s="41" t="n">
        <f aca="false">IF($H$19=4,$BS140,$H$18)</f>
        <v>2.44</v>
      </c>
      <c r="AC140" s="219" t="n">
        <f aca="false">VLOOKUP($A140,expiration,2,FALSE())-$B$2</f>
        <v>-5328</v>
      </c>
      <c r="AD140" s="219" t="n">
        <f aca="false">VLOOKUP($A140,expiration,3,FALSE())-$B$2</f>
        <v>-5329</v>
      </c>
      <c r="AE140" s="4" t="n">
        <f aca="false">VLOOKUP($A140,STRADDLE,15,FALSE())</f>
        <v>0.0581700052238889</v>
      </c>
      <c r="AF140" s="43" t="n">
        <f aca="false">A141-A140</f>
        <v>31</v>
      </c>
      <c r="AI140" s="219"/>
      <c r="AJ140" s="9"/>
      <c r="AK140" s="9" t="n">
        <f aca="false">IF($A140&gt;=AL$25,IF($A140&lt;=AL$26,$AF140,0),0)</f>
        <v>0</v>
      </c>
      <c r="AL140" s="221" t="e">
        <f aca="false">AN140/AK140</f>
        <v>#DIV/0!</v>
      </c>
      <c r="AM140" s="1" t="n">
        <f aca="false">AK140*($B140+B$13)</f>
        <v>0</v>
      </c>
      <c r="AN140" s="33" t="n">
        <f aca="false">IF(ISNUMBER(((AM140/AK140)+B$14+$D140)*AK140),((AM140/AK140)+B$14+$D140)*AK140,0)</f>
        <v>0</v>
      </c>
      <c r="AO140" s="44" t="n">
        <f aca="false">IF(AK140=0,0,bsd(1,AP$27,AL140,$H140,$E140,$F140,$AE140,0.1))</f>
        <v>0</v>
      </c>
      <c r="AP140" s="44" t="n">
        <f aca="false">IF(AK140=0,0,bsd(2,AP$27,AL140,$H140,$E140,$F140,$AE140,0.1))</f>
        <v>0</v>
      </c>
      <c r="AQ140" s="44" t="n">
        <f aca="false">IF(AK140=0,0,bsd(AP$28,AP$27,AL140,$H140,$E140,$F140,$AE140,0.1))</f>
        <v>0</v>
      </c>
      <c r="AR140" s="45" t="n">
        <f aca="false">AK140*AO140</f>
        <v>0</v>
      </c>
      <c r="AS140" s="45" t="n">
        <f aca="false">AK140*AP140</f>
        <v>0</v>
      </c>
      <c r="AT140" s="45" t="n">
        <f aca="false">AK140*AQ140</f>
        <v>0</v>
      </c>
      <c r="AV140" s="9" t="n">
        <f aca="false">IF($A140&gt;=AW$25,IF($A140&lt;=AW$26,$AF140,0),0)</f>
        <v>0</v>
      </c>
      <c r="AW140" s="221" t="e">
        <f aca="false">AY140/AV140</f>
        <v>#DIV/0!</v>
      </c>
      <c r="AX140" s="1" t="n">
        <f aca="false">AV140*($B140+D$13)</f>
        <v>0</v>
      </c>
      <c r="AY140" s="33" t="n">
        <f aca="false">IF(ISNUMBER(((AX140/AV140)+D$14+$J140)*AV140),((AX140/AV140)+D$14+$J140)*AV140,0)</f>
        <v>0</v>
      </c>
      <c r="AZ140" s="44" t="n">
        <f aca="false">IF(AV140=0,0,bsd(1,BA$27,AW140,$N140,$K140,$L140,$AE140,0.1))</f>
        <v>0</v>
      </c>
      <c r="BA140" s="44" t="n">
        <f aca="false">IF(AV140=0,0,bsd(2,BA$27,AW140,$N140,$K140,$L140,$AE140,0.1))</f>
        <v>0</v>
      </c>
      <c r="BB140" s="44" t="n">
        <f aca="false">IF(AV140=0,0,bsd(BA$28,BA$27,AW140,$N140,$K140,$L140,$AE140,0.1))</f>
        <v>0</v>
      </c>
      <c r="BC140" s="45" t="n">
        <f aca="false">AV140*AZ140</f>
        <v>0</v>
      </c>
      <c r="BD140" s="45" t="n">
        <f aca="false">AV140*BA140</f>
        <v>0</v>
      </c>
      <c r="BE140" s="45" t="n">
        <f aca="false">AV140*BB140</f>
        <v>0</v>
      </c>
      <c r="BG140" s="9" t="n">
        <f aca="false">IF($A140&gt;=BH$25,IF($A140&lt;=BH$26,$AF140,0),0)</f>
        <v>0</v>
      </c>
      <c r="BH140" s="221" t="e">
        <f aca="false">BJ140/BG140</f>
        <v>#DIV/0!</v>
      </c>
      <c r="BI140" s="1" t="n">
        <f aca="false">BG140*($B140+F$13)</f>
        <v>0</v>
      </c>
      <c r="BJ140" s="33" t="n">
        <f aca="false">IF(ISNUMBER(((BI140/BG140)+F$14+$P140)*BG140),((BI140/BG140)+F$14+$P140)*BG140,0)</f>
        <v>0</v>
      </c>
      <c r="BK140" s="44" t="n">
        <f aca="false">IF(BG140=0,0,bsd(1,BL$27,BH140,$T140,$Q140,$R140,$AE140,0.1))</f>
        <v>0</v>
      </c>
      <c r="BL140" s="44" t="n">
        <f aca="false">IF(BG140=0,0,bsd(2,BL$27,BH140,$T140,$Q140,$R140,$AE140,0.1))</f>
        <v>0</v>
      </c>
      <c r="BM140" s="44" t="n">
        <f aca="false">IF(BG140=0,0,bsd(BL$28,BL$27,BH140,$T140,$Q140,$R140,$AE140,0.1))</f>
        <v>0</v>
      </c>
      <c r="BN140" s="45" t="n">
        <f aca="false">BG140*BK140</f>
        <v>0</v>
      </c>
      <c r="BO140" s="45" t="n">
        <f aca="false">BG140*BL140</f>
        <v>0</v>
      </c>
      <c r="BP140" s="45" t="n">
        <f aca="false">BG140*BM140</f>
        <v>0</v>
      </c>
      <c r="BR140" s="9" t="n">
        <f aca="false">IF($A140&gt;=BS$25,IF($A140&lt;=BS$26,$AF140,0),0)</f>
        <v>0</v>
      </c>
      <c r="BS140" s="221" t="e">
        <f aca="false">BU140/BR140</f>
        <v>#DIV/0!</v>
      </c>
      <c r="BT140" s="1" t="n">
        <f aca="false">BR140*($B140+H$13)</f>
        <v>0</v>
      </c>
      <c r="BU140" s="33" t="n">
        <f aca="false">IF(ISNUMBER(((BT140/BR140)+H$14+$V140)*BR140),((BT140/BR140)+H$14+$V140)*BR140,0)</f>
        <v>0</v>
      </c>
      <c r="BV140" s="44" t="n">
        <f aca="false">IF(BR140=0,0,bsd(1,BW$27,BS140,$Z140,$W140,$X140,$AE140,0.1))</f>
        <v>0</v>
      </c>
      <c r="BW140" s="44" t="n">
        <f aca="false">IF(BR140=0,0,bsd(2,BW$27,BS140,$Z140,$W140,$X140,$AE140,0.1))</f>
        <v>0</v>
      </c>
      <c r="BX140" s="44" t="n">
        <f aca="false">IF(BR140=0,0,bsd(BW$28,BW$27,BS140,$Z140,$W140,$X140,$AE140,0.1))</f>
        <v>0</v>
      </c>
      <c r="BY140" s="45" t="n">
        <f aca="false">BR140*BV140</f>
        <v>0</v>
      </c>
      <c r="BZ140" s="45" t="n">
        <f aca="false">BR140*BW140</f>
        <v>0</v>
      </c>
      <c r="CA140" s="45" t="n">
        <f aca="false">BR140*BX140</f>
        <v>0</v>
      </c>
    </row>
    <row r="141" customFormat="false" ht="12.75" hidden="false" customHeight="false" outlineLevel="0" collapsed="false">
      <c r="A141" s="48" t="n">
        <f aca="false">DATE(YEAR(A140),MONTH(A140)+1,1)</f>
        <v>40634</v>
      </c>
      <c r="B141" s="40" t="n">
        <f aca="false">VLOOKUP(A141,STRADDLE,5,FALSE())</f>
        <v>3.381</v>
      </c>
      <c r="C141" s="4" t="e">
        <f aca="false">VLOOKUP(A141,STRADDLE,6,FALSE())</f>
        <v>#VALUE!</v>
      </c>
      <c r="D141" s="40" t="n">
        <f aca="false">IF(D$28="nymex",0,VLOOKUP($A141,curvesettle,HLOOKUP(D$28,curvesettle,2,FALSE())))</f>
        <v>0</v>
      </c>
      <c r="E141" s="219" t="n">
        <f aca="false">IF(D$28="NYMEX",$AD141,$AC141)</f>
        <v>-5296</v>
      </c>
      <c r="F141" s="4" t="e">
        <f aca="false">($C141+G141)+B$15</f>
        <v>#DIV/0!</v>
      </c>
      <c r="G141" s="4" t="e">
        <f aca="false">IF(B$16=1,xCalcSkew(A141,H141-AL141,b)/100,0)</f>
        <v>#DIV/0!</v>
      </c>
      <c r="H141" s="41" t="n">
        <f aca="false">IF($B$19=4,$AL141,$B$18)</f>
        <v>2.44</v>
      </c>
      <c r="J141" s="40" t="n">
        <f aca="false">IF(J$28="nymex",0,VLOOKUP($A141,curvesettle,HLOOKUP(J$28,curvesettle,2,FALSE())))</f>
        <v>0</v>
      </c>
      <c r="K141" s="219" t="n">
        <f aca="false">IF(J$28="NYMEX",$AD141,$AC141)</f>
        <v>-5296</v>
      </c>
      <c r="L141" s="220" t="e">
        <f aca="false">($C141+M141)+D$15</f>
        <v>#DIV/0!</v>
      </c>
      <c r="M141" s="4" t="e">
        <f aca="false">IF(D$16=1,xCalcSkew($A141,N141-AW141,b)/100,0)</f>
        <v>#DIV/0!</v>
      </c>
      <c r="N141" s="41" t="n">
        <f aca="false">IF($D$19=4,$AW141,$D$18)</f>
        <v>2.44</v>
      </c>
      <c r="P141" s="40" t="n">
        <f aca="false">IF(P$28="nymex",0,VLOOKUP($A141,curvesettle,HLOOKUP(P$28,curvesettle,2,FALSE())))</f>
        <v>0</v>
      </c>
      <c r="Q141" s="219" t="n">
        <f aca="false">IF(P$28="NYMEX",$AD141,$AC141)</f>
        <v>-5296</v>
      </c>
      <c r="R141" s="220" t="e">
        <f aca="false">($C141+S141)+F$15</f>
        <v>#DIV/0!</v>
      </c>
      <c r="S141" s="4" t="e">
        <f aca="false">IF(F$16=1,xCalcSkew($A141,T141-BH141,b)/100,0)</f>
        <v>#DIV/0!</v>
      </c>
      <c r="T141" s="41" t="n">
        <f aca="false">IF($F$19=4,$BH141,$F$18)</f>
        <v>2.44</v>
      </c>
      <c r="V141" s="40" t="n">
        <f aca="false">IF(V$28="nymex",0,VLOOKUP($A141,curvesettle,HLOOKUP(V$28,curvesettle,2,FALSE())))</f>
        <v>0</v>
      </c>
      <c r="W141" s="219" t="n">
        <f aca="false">IF(V$28="NYMEX",$AD141,$AC141)</f>
        <v>-5296</v>
      </c>
      <c r="X141" s="4" t="e">
        <f aca="false">($C141+Y141)+H$15</f>
        <v>#DIV/0!</v>
      </c>
      <c r="Y141" s="4" t="e">
        <f aca="false">IF(H$16=1,xCalcSkew($A141,Z141-BS141,b)/100,0)</f>
        <v>#DIV/0!</v>
      </c>
      <c r="Z141" s="41" t="n">
        <f aca="false">IF($H$19=4,$BS141,$H$18)</f>
        <v>2.44</v>
      </c>
      <c r="AC141" s="219" t="n">
        <f aca="false">VLOOKUP($A141,expiration,2,FALSE())-$B$2</f>
        <v>-5295</v>
      </c>
      <c r="AD141" s="219" t="n">
        <f aca="false">VLOOKUP($A141,expiration,3,FALSE())-$B$2</f>
        <v>-5296</v>
      </c>
      <c r="AE141" s="4" t="n">
        <f aca="false">VLOOKUP($A141,STRADDLE,15,FALSE())</f>
        <v>0.0582634877137527</v>
      </c>
      <c r="AF141" s="43" t="n">
        <f aca="false">A142-A141</f>
        <v>30</v>
      </c>
      <c r="AI141" s="219"/>
      <c r="AJ141" s="9"/>
      <c r="AK141" s="9" t="n">
        <f aca="false">IF($A141&gt;=AL$25,IF($A141&lt;=AL$26,$AF141,0),0)</f>
        <v>0</v>
      </c>
      <c r="AL141" s="221" t="e">
        <f aca="false">AN141/AK141</f>
        <v>#DIV/0!</v>
      </c>
      <c r="AM141" s="1" t="n">
        <f aca="false">AK141*($B141+B$13)</f>
        <v>0</v>
      </c>
      <c r="AN141" s="33" t="n">
        <f aca="false">IF(ISNUMBER(((AM141/AK141)+B$14+$D141)*AK141),((AM141/AK141)+B$14+$D141)*AK141,0)</f>
        <v>0</v>
      </c>
      <c r="AO141" s="44" t="n">
        <f aca="false">IF(AK141=0,0,bsd(1,AP$27,AL141,$H141,$E141,$F141,$AE141,0.1))</f>
        <v>0</v>
      </c>
      <c r="AP141" s="44" t="n">
        <f aca="false">IF(AK141=0,0,bsd(2,AP$27,AL141,$H141,$E141,$F141,$AE141,0.1))</f>
        <v>0</v>
      </c>
      <c r="AQ141" s="44" t="n">
        <f aca="false">IF(AK141=0,0,bsd(AP$28,AP$27,AL141,$H141,$E141,$F141,$AE141,0.1))</f>
        <v>0</v>
      </c>
      <c r="AR141" s="45" t="n">
        <f aca="false">AK141*AO141</f>
        <v>0</v>
      </c>
      <c r="AS141" s="45" t="n">
        <f aca="false">AK141*AP141</f>
        <v>0</v>
      </c>
      <c r="AT141" s="45" t="n">
        <f aca="false">AK141*AQ141</f>
        <v>0</v>
      </c>
      <c r="AV141" s="9" t="n">
        <f aca="false">IF($A141&gt;=AW$25,IF($A141&lt;=AW$26,$AF141,0),0)</f>
        <v>0</v>
      </c>
      <c r="AW141" s="221" t="e">
        <f aca="false">AY141/AV141</f>
        <v>#DIV/0!</v>
      </c>
      <c r="AX141" s="1" t="n">
        <f aca="false">AV141*($B141+D$13)</f>
        <v>0</v>
      </c>
      <c r="AY141" s="33" t="n">
        <f aca="false">IF(ISNUMBER(((AX141/AV141)+D$14+$J141)*AV141),((AX141/AV141)+D$14+$J141)*AV141,0)</f>
        <v>0</v>
      </c>
      <c r="AZ141" s="44" t="n">
        <f aca="false">IF(AV141=0,0,bsd(1,BA$27,AW141,$N141,$K141,$L141,$AE141,0.1))</f>
        <v>0</v>
      </c>
      <c r="BA141" s="44" t="n">
        <f aca="false">IF(AV141=0,0,bsd(2,BA$27,AW141,$N141,$K141,$L141,$AE141,0.1))</f>
        <v>0</v>
      </c>
      <c r="BB141" s="44" t="n">
        <f aca="false">IF(AV141=0,0,bsd(BA$28,BA$27,AW141,$N141,$K141,$L141,$AE141,0.1))</f>
        <v>0</v>
      </c>
      <c r="BC141" s="45" t="n">
        <f aca="false">AV141*AZ141</f>
        <v>0</v>
      </c>
      <c r="BD141" s="45" t="n">
        <f aca="false">AV141*BA141</f>
        <v>0</v>
      </c>
      <c r="BE141" s="45" t="n">
        <f aca="false">AV141*BB141</f>
        <v>0</v>
      </c>
      <c r="BG141" s="9" t="n">
        <f aca="false">IF($A141&gt;=BH$25,IF($A141&lt;=BH$26,$AF141,0),0)</f>
        <v>0</v>
      </c>
      <c r="BH141" s="221" t="e">
        <f aca="false">BJ141/BG141</f>
        <v>#DIV/0!</v>
      </c>
      <c r="BI141" s="1" t="n">
        <f aca="false">BG141*($B141+F$13)</f>
        <v>0</v>
      </c>
      <c r="BJ141" s="33" t="n">
        <f aca="false">IF(ISNUMBER(((BI141/BG141)+F$14+$P141)*BG141),((BI141/BG141)+F$14+$P141)*BG141,0)</f>
        <v>0</v>
      </c>
      <c r="BK141" s="44" t="n">
        <f aca="false">IF(BG141=0,0,bsd(1,BL$27,BH141,$T141,$Q141,$R141,$AE141,0.1))</f>
        <v>0</v>
      </c>
      <c r="BL141" s="44" t="n">
        <f aca="false">IF(BG141=0,0,bsd(2,BL$27,BH141,$T141,$Q141,$R141,$AE141,0.1))</f>
        <v>0</v>
      </c>
      <c r="BM141" s="44" t="n">
        <f aca="false">IF(BG141=0,0,bsd(BL$28,BL$27,BH141,$T141,$Q141,$R141,$AE141,0.1))</f>
        <v>0</v>
      </c>
      <c r="BN141" s="45" t="n">
        <f aca="false">BG141*BK141</f>
        <v>0</v>
      </c>
      <c r="BO141" s="45" t="n">
        <f aca="false">BG141*BL141</f>
        <v>0</v>
      </c>
      <c r="BP141" s="45" t="n">
        <f aca="false">BG141*BM141</f>
        <v>0</v>
      </c>
      <c r="BR141" s="9" t="n">
        <f aca="false">IF($A141&gt;=BS$25,IF($A141&lt;=BS$26,$AF141,0),0)</f>
        <v>0</v>
      </c>
      <c r="BS141" s="221" t="e">
        <f aca="false">BU141/BR141</f>
        <v>#DIV/0!</v>
      </c>
      <c r="BT141" s="1" t="n">
        <f aca="false">BR141*($B141+H$13)</f>
        <v>0</v>
      </c>
      <c r="BU141" s="33" t="n">
        <f aca="false">IF(ISNUMBER(((BT141/BR141)+H$14+$V141)*BR141),((BT141/BR141)+H$14+$V141)*BR141,0)</f>
        <v>0</v>
      </c>
      <c r="BV141" s="44" t="n">
        <f aca="false">IF(BR141=0,0,bsd(1,BW$27,BS141,$Z141,$W141,$X141,$AE141,0.1))</f>
        <v>0</v>
      </c>
      <c r="BW141" s="44" t="n">
        <f aca="false">IF(BR141=0,0,bsd(2,BW$27,BS141,$Z141,$W141,$X141,$AE141,0.1))</f>
        <v>0</v>
      </c>
      <c r="BX141" s="44" t="n">
        <f aca="false">IF(BR141=0,0,bsd(BW$28,BW$27,BS141,$Z141,$W141,$X141,$AE141,0.1))</f>
        <v>0</v>
      </c>
      <c r="BY141" s="45" t="n">
        <f aca="false">BR141*BV141</f>
        <v>0</v>
      </c>
      <c r="BZ141" s="45" t="n">
        <f aca="false">BR141*BW141</f>
        <v>0</v>
      </c>
      <c r="CA141" s="45" t="n">
        <f aca="false">BR141*BX141</f>
        <v>0</v>
      </c>
    </row>
    <row r="142" customFormat="false" ht="12.75" hidden="false" customHeight="false" outlineLevel="0" collapsed="false">
      <c r="A142" s="48" t="n">
        <f aca="false">DATE(YEAR(A141),MONTH(A141)+1,1)</f>
        <v>40664</v>
      </c>
      <c r="B142" s="40" t="n">
        <f aca="false">VLOOKUP(A142,STRADDLE,5,FALSE())</f>
        <v>3.384</v>
      </c>
      <c r="C142" s="4" t="e">
        <f aca="false">VLOOKUP(A142,STRADDLE,6,FALSE())</f>
        <v>#VALUE!</v>
      </c>
      <c r="D142" s="40" t="n">
        <f aca="false">IF(D$28="nymex",0,VLOOKUP($A142,curvesettle,HLOOKUP(D$28,curvesettle,2,FALSE())))</f>
        <v>0</v>
      </c>
      <c r="E142" s="219" t="n">
        <f aca="false">IF(D$28="NYMEX",$AD142,$AC142)</f>
        <v>-5267</v>
      </c>
      <c r="F142" s="4" t="e">
        <f aca="false">($C142+G142)+B$15</f>
        <v>#DIV/0!</v>
      </c>
      <c r="G142" s="4" t="e">
        <f aca="false">IF(B$16=1,xCalcSkew(A142,H142-AL142,b)/100,0)</f>
        <v>#DIV/0!</v>
      </c>
      <c r="H142" s="41" t="n">
        <f aca="false">IF($B$19=4,$AL142,$B$18)</f>
        <v>2.44</v>
      </c>
      <c r="J142" s="40" t="n">
        <f aca="false">IF(J$28="nymex",0,VLOOKUP($A142,curvesettle,HLOOKUP(J$28,curvesettle,2,FALSE())))</f>
        <v>0</v>
      </c>
      <c r="K142" s="219" t="n">
        <f aca="false">IF(J$28="NYMEX",$AD142,$AC142)</f>
        <v>-5267</v>
      </c>
      <c r="L142" s="220" t="e">
        <f aca="false">($C142+M142)+D$15</f>
        <v>#DIV/0!</v>
      </c>
      <c r="M142" s="4" t="e">
        <f aca="false">IF(D$16=1,xCalcSkew($A142,N142-AW142,b)/100,0)</f>
        <v>#DIV/0!</v>
      </c>
      <c r="N142" s="41" t="n">
        <f aca="false">IF($D$19=4,$AW142,$D$18)</f>
        <v>2.44</v>
      </c>
      <c r="P142" s="40" t="n">
        <f aca="false">IF(P$28="nymex",0,VLOOKUP($A142,curvesettle,HLOOKUP(P$28,curvesettle,2,FALSE())))</f>
        <v>0</v>
      </c>
      <c r="Q142" s="219" t="n">
        <f aca="false">IF(P$28="NYMEX",$AD142,$AC142)</f>
        <v>-5267</v>
      </c>
      <c r="R142" s="220" t="e">
        <f aca="false">($C142+S142)+F$15</f>
        <v>#DIV/0!</v>
      </c>
      <c r="S142" s="4" t="e">
        <f aca="false">IF(F$16=1,xCalcSkew($A142,T142-BH142,b)/100,0)</f>
        <v>#DIV/0!</v>
      </c>
      <c r="T142" s="41" t="n">
        <f aca="false">IF($F$19=4,$BH142,$F$18)</f>
        <v>2.44</v>
      </c>
      <c r="V142" s="40" t="n">
        <f aca="false">IF(V$28="nymex",0,VLOOKUP($A142,curvesettle,HLOOKUP(V$28,curvesettle,2,FALSE())))</f>
        <v>0</v>
      </c>
      <c r="W142" s="219" t="n">
        <f aca="false">IF(V$28="NYMEX",$AD142,$AC142)</f>
        <v>-5267</v>
      </c>
      <c r="X142" s="4" t="e">
        <f aca="false">($C142+Y142)+H$15</f>
        <v>#DIV/0!</v>
      </c>
      <c r="Y142" s="4" t="e">
        <f aca="false">IF(H$16=1,xCalcSkew($A142,Z142-BS142,b)/100,0)</f>
        <v>#DIV/0!</v>
      </c>
      <c r="Z142" s="41" t="n">
        <f aca="false">IF($H$19=4,$BS142,$H$18)</f>
        <v>2.44</v>
      </c>
      <c r="AC142" s="219" t="n">
        <f aca="false">VLOOKUP($A142,expiration,2,FALSE())-$B$2</f>
        <v>-5266</v>
      </c>
      <c r="AD142" s="219" t="n">
        <f aca="false">VLOOKUP($A142,expiration,3,FALSE())-$B$2</f>
        <v>-5267</v>
      </c>
      <c r="AE142" s="4" t="n">
        <f aca="false">VLOOKUP($A142,STRADDLE,15,FALSE())</f>
        <v>0.0583669861880636</v>
      </c>
      <c r="AF142" s="43" t="n">
        <f aca="false">A143-A142</f>
        <v>31</v>
      </c>
      <c r="AI142" s="219"/>
      <c r="AJ142" s="9"/>
      <c r="AK142" s="9" t="n">
        <f aca="false">IF($A142&gt;=AL$25,IF($A142&lt;=AL$26,$AF142,0),0)</f>
        <v>0</v>
      </c>
      <c r="AL142" s="221" t="e">
        <f aca="false">AN142/AK142</f>
        <v>#DIV/0!</v>
      </c>
      <c r="AM142" s="1" t="n">
        <f aca="false">AK142*($B142+B$13)</f>
        <v>0</v>
      </c>
      <c r="AN142" s="33" t="n">
        <f aca="false">IF(ISNUMBER(((AM142/AK142)+B$14+$D142)*AK142),((AM142/AK142)+B$14+$D142)*AK142,0)</f>
        <v>0</v>
      </c>
      <c r="AO142" s="44" t="n">
        <f aca="false">IF(AK142=0,0,bsd(1,AP$27,AL142,$H142,$E142,$F142,$AE142,0.1))</f>
        <v>0</v>
      </c>
      <c r="AP142" s="44" t="n">
        <f aca="false">IF(AK142=0,0,bsd(2,AP$27,AL142,$H142,$E142,$F142,$AE142,0.1))</f>
        <v>0</v>
      </c>
      <c r="AQ142" s="44" t="n">
        <f aca="false">IF(AK142=0,0,bsd(AP$28,AP$27,AL142,$H142,$E142,$F142,$AE142,0.1))</f>
        <v>0</v>
      </c>
      <c r="AR142" s="45" t="n">
        <f aca="false">AK142*AO142</f>
        <v>0</v>
      </c>
      <c r="AS142" s="45" t="n">
        <f aca="false">AK142*AP142</f>
        <v>0</v>
      </c>
      <c r="AT142" s="45" t="n">
        <f aca="false">AK142*AQ142</f>
        <v>0</v>
      </c>
      <c r="AV142" s="9" t="n">
        <f aca="false">IF($A142&gt;=AW$25,IF($A142&lt;=AW$26,$AF142,0),0)</f>
        <v>0</v>
      </c>
      <c r="AW142" s="221" t="e">
        <f aca="false">AY142/AV142</f>
        <v>#DIV/0!</v>
      </c>
      <c r="AX142" s="1" t="n">
        <f aca="false">AV142*($B142+D$13)</f>
        <v>0</v>
      </c>
      <c r="AY142" s="33" t="n">
        <f aca="false">IF(ISNUMBER(((AX142/AV142)+D$14+$J142)*AV142),((AX142/AV142)+D$14+$J142)*AV142,0)</f>
        <v>0</v>
      </c>
      <c r="AZ142" s="44" t="n">
        <f aca="false">IF(AV142=0,0,bsd(1,BA$27,AW142,$N142,$K142,$L142,$AE142,0.1))</f>
        <v>0</v>
      </c>
      <c r="BA142" s="44" t="n">
        <f aca="false">IF(AV142=0,0,bsd(2,BA$27,AW142,$N142,$K142,$L142,$AE142,0.1))</f>
        <v>0</v>
      </c>
      <c r="BB142" s="44" t="n">
        <f aca="false">IF(AV142=0,0,bsd(BA$28,BA$27,AW142,$N142,$K142,$L142,$AE142,0.1))</f>
        <v>0</v>
      </c>
      <c r="BC142" s="45" t="n">
        <f aca="false">AV142*AZ142</f>
        <v>0</v>
      </c>
      <c r="BD142" s="45" t="n">
        <f aca="false">AV142*BA142</f>
        <v>0</v>
      </c>
      <c r="BE142" s="45" t="n">
        <f aca="false">AV142*BB142</f>
        <v>0</v>
      </c>
      <c r="BG142" s="9" t="n">
        <f aca="false">IF($A142&gt;=BH$25,IF($A142&lt;=BH$26,$AF142,0),0)</f>
        <v>0</v>
      </c>
      <c r="BH142" s="221" t="e">
        <f aca="false">BJ142/BG142</f>
        <v>#DIV/0!</v>
      </c>
      <c r="BI142" s="1" t="n">
        <f aca="false">BG142*($B142+F$13)</f>
        <v>0</v>
      </c>
      <c r="BJ142" s="33" t="n">
        <f aca="false">IF(ISNUMBER(((BI142/BG142)+F$14+$P142)*BG142),((BI142/BG142)+F$14+$P142)*BG142,0)</f>
        <v>0</v>
      </c>
      <c r="BK142" s="44" t="n">
        <f aca="false">IF(BG142=0,0,bsd(1,BL$27,BH142,$T142,$Q142,$R142,$AE142,0.1))</f>
        <v>0</v>
      </c>
      <c r="BL142" s="44" t="n">
        <f aca="false">IF(BG142=0,0,bsd(2,BL$27,BH142,$T142,$Q142,$R142,$AE142,0.1))</f>
        <v>0</v>
      </c>
      <c r="BM142" s="44" t="n">
        <f aca="false">IF(BG142=0,0,bsd(BL$28,BL$27,BH142,$T142,$Q142,$R142,$AE142,0.1))</f>
        <v>0</v>
      </c>
      <c r="BN142" s="45" t="n">
        <f aca="false">BG142*BK142</f>
        <v>0</v>
      </c>
      <c r="BO142" s="45" t="n">
        <f aca="false">BG142*BL142</f>
        <v>0</v>
      </c>
      <c r="BP142" s="45" t="n">
        <f aca="false">BG142*BM142</f>
        <v>0</v>
      </c>
      <c r="BR142" s="9" t="n">
        <f aca="false">IF($A142&gt;=BS$25,IF($A142&lt;=BS$26,$AF142,0),0)</f>
        <v>0</v>
      </c>
      <c r="BS142" s="221" t="e">
        <f aca="false">BU142/BR142</f>
        <v>#DIV/0!</v>
      </c>
      <c r="BT142" s="1" t="n">
        <f aca="false">BR142*($B142+H$13)</f>
        <v>0</v>
      </c>
      <c r="BU142" s="33" t="n">
        <f aca="false">IF(ISNUMBER(((BT142/BR142)+H$14+$V142)*BR142),((BT142/BR142)+H$14+$V142)*BR142,0)</f>
        <v>0</v>
      </c>
      <c r="BV142" s="44" t="n">
        <f aca="false">IF(BR142=0,0,bsd(1,BW$27,BS142,$Z142,$W142,$X142,$AE142,0.1))</f>
        <v>0</v>
      </c>
      <c r="BW142" s="44" t="n">
        <f aca="false">IF(BR142=0,0,bsd(2,BW$27,BS142,$Z142,$W142,$X142,$AE142,0.1))</f>
        <v>0</v>
      </c>
      <c r="BX142" s="44" t="n">
        <f aca="false">IF(BR142=0,0,bsd(BW$28,BW$27,BS142,$Z142,$W142,$X142,$AE142,0.1))</f>
        <v>0</v>
      </c>
      <c r="BY142" s="45" t="n">
        <f aca="false">BR142*BV142</f>
        <v>0</v>
      </c>
      <c r="BZ142" s="45" t="n">
        <f aca="false">BR142*BW142</f>
        <v>0</v>
      </c>
      <c r="CA142" s="45" t="n">
        <f aca="false">BR142*BX142</f>
        <v>0</v>
      </c>
    </row>
    <row r="143" customFormat="false" ht="12.75" hidden="false" customHeight="false" outlineLevel="0" collapsed="false">
      <c r="A143" s="48" t="n">
        <f aca="false">DATE(YEAR(A142),MONTH(A142)+1,1)</f>
        <v>40695</v>
      </c>
      <c r="B143" s="40" t="n">
        <f aca="false">VLOOKUP(A143,STRADDLE,5,FALSE())</f>
        <v>3.424</v>
      </c>
      <c r="C143" s="4" t="e">
        <f aca="false">VLOOKUP(A143,STRADDLE,6,FALSE())</f>
        <v>#VALUE!</v>
      </c>
      <c r="D143" s="40" t="n">
        <f aca="false">IF(D$28="nymex",0,VLOOKUP($A143,curvesettle,HLOOKUP(D$28,curvesettle,2,FALSE())))</f>
        <v>0</v>
      </c>
      <c r="E143" s="219" t="n">
        <f aca="false">IF(D$28="NYMEX",$AD143,$AC143)</f>
        <v>-5238</v>
      </c>
      <c r="F143" s="4" t="e">
        <f aca="false">($C143+G143)+B$15</f>
        <v>#DIV/0!</v>
      </c>
      <c r="G143" s="4" t="e">
        <f aca="false">IF(B$16=1,xCalcSkew(A143,H143-AL143,b)/100,0)</f>
        <v>#DIV/0!</v>
      </c>
      <c r="H143" s="41" t="n">
        <f aca="false">IF($B$19=4,$AL143,$B$18)</f>
        <v>2.44</v>
      </c>
      <c r="J143" s="40" t="n">
        <f aca="false">IF(J$28="nymex",0,VLOOKUP($A143,curvesettle,HLOOKUP(J$28,curvesettle,2,FALSE())))</f>
        <v>0</v>
      </c>
      <c r="K143" s="219" t="n">
        <f aca="false">IF(J$28="NYMEX",$AD143,$AC143)</f>
        <v>-5238</v>
      </c>
      <c r="L143" s="220" t="e">
        <f aca="false">($C143+M143)+D$15</f>
        <v>#DIV/0!</v>
      </c>
      <c r="M143" s="4" t="e">
        <f aca="false">IF(D$16=1,xCalcSkew($A143,N143-AW143,b)/100,0)</f>
        <v>#DIV/0!</v>
      </c>
      <c r="N143" s="41" t="n">
        <f aca="false">IF($D$19=4,$AW143,$D$18)</f>
        <v>2.44</v>
      </c>
      <c r="P143" s="40" t="n">
        <f aca="false">IF(P$28="nymex",0,VLOOKUP($A143,curvesettle,HLOOKUP(P$28,curvesettle,2,FALSE())))</f>
        <v>0</v>
      </c>
      <c r="Q143" s="219" t="n">
        <f aca="false">IF(P$28="NYMEX",$AD143,$AC143)</f>
        <v>-5238</v>
      </c>
      <c r="R143" s="220" t="e">
        <f aca="false">($C143+S143)+F$15</f>
        <v>#DIV/0!</v>
      </c>
      <c r="S143" s="4" t="e">
        <f aca="false">IF(F$16=1,xCalcSkew($A143,T143-BH143,b)/100,0)</f>
        <v>#DIV/0!</v>
      </c>
      <c r="T143" s="41" t="n">
        <f aca="false">IF($F$19=4,$BH143,$F$18)</f>
        <v>2.44</v>
      </c>
      <c r="V143" s="40" t="n">
        <f aca="false">IF(V$28="nymex",0,VLOOKUP($A143,curvesettle,HLOOKUP(V$28,curvesettle,2,FALSE())))</f>
        <v>0</v>
      </c>
      <c r="W143" s="219" t="n">
        <f aca="false">IF(V$28="NYMEX",$AD143,$AC143)</f>
        <v>-5238</v>
      </c>
      <c r="X143" s="4" t="e">
        <f aca="false">($C143+Y143)+H$15</f>
        <v>#DIV/0!</v>
      </c>
      <c r="Y143" s="4" t="e">
        <f aca="false">IF(H$16=1,xCalcSkew($A143,Z143-BS143,b)/100,0)</f>
        <v>#DIV/0!</v>
      </c>
      <c r="Z143" s="41" t="n">
        <f aca="false">IF($H$19=4,$BS143,$H$18)</f>
        <v>2.44</v>
      </c>
      <c r="AC143" s="219" t="n">
        <f aca="false">VLOOKUP($A143,expiration,2,FALSE())-$B$2</f>
        <v>-5237</v>
      </c>
      <c r="AD143" s="219" t="n">
        <f aca="false">VLOOKUP($A143,expiration,3,FALSE())-$B$2</f>
        <v>-5238</v>
      </c>
      <c r="AE143" s="4" t="n">
        <f aca="false">VLOOKUP($A143,STRADDLE,15,FALSE())</f>
        <v>0.0584671460053037</v>
      </c>
      <c r="AF143" s="43" t="n">
        <f aca="false">A144-A143</f>
        <v>30</v>
      </c>
      <c r="AI143" s="219"/>
      <c r="AJ143" s="9"/>
      <c r="AK143" s="9" t="n">
        <f aca="false">IF($A143&gt;=AL$25,IF($A143&lt;=AL$26,$AF143,0),0)</f>
        <v>0</v>
      </c>
      <c r="AL143" s="221" t="e">
        <f aca="false">AN143/AK143</f>
        <v>#DIV/0!</v>
      </c>
      <c r="AM143" s="1" t="n">
        <f aca="false">AK143*($B143+B$13)</f>
        <v>0</v>
      </c>
      <c r="AN143" s="33" t="n">
        <f aca="false">IF(ISNUMBER(((AM143/AK143)+B$14+$D143)*AK143),((AM143/AK143)+B$14+$D143)*AK143,0)</f>
        <v>0</v>
      </c>
      <c r="AO143" s="44" t="n">
        <f aca="false">IF(AK143=0,0,bsd(1,AP$27,AL143,$H143,$E143,$F143,$AE143,0.1))</f>
        <v>0</v>
      </c>
      <c r="AP143" s="44" t="n">
        <f aca="false">IF(AK143=0,0,bsd(2,AP$27,AL143,$H143,$E143,$F143,$AE143,0.1))</f>
        <v>0</v>
      </c>
      <c r="AQ143" s="44" t="n">
        <f aca="false">IF(AK143=0,0,bsd(AP$28,AP$27,AL143,$H143,$E143,$F143,$AE143,0.1))</f>
        <v>0</v>
      </c>
      <c r="AR143" s="45" t="n">
        <f aca="false">AK143*AO143</f>
        <v>0</v>
      </c>
      <c r="AS143" s="45" t="n">
        <f aca="false">AK143*AP143</f>
        <v>0</v>
      </c>
      <c r="AT143" s="45" t="n">
        <f aca="false">AK143*AQ143</f>
        <v>0</v>
      </c>
      <c r="AV143" s="9" t="n">
        <f aca="false">IF($A143&gt;=AW$25,IF($A143&lt;=AW$26,$AF143,0),0)</f>
        <v>0</v>
      </c>
      <c r="AW143" s="221" t="e">
        <f aca="false">AY143/AV143</f>
        <v>#DIV/0!</v>
      </c>
      <c r="AX143" s="1" t="n">
        <f aca="false">AV143*($B143+D$13)</f>
        <v>0</v>
      </c>
      <c r="AY143" s="33" t="n">
        <f aca="false">IF(ISNUMBER(((AX143/AV143)+D$14+$J143)*AV143),((AX143/AV143)+D$14+$J143)*AV143,0)</f>
        <v>0</v>
      </c>
      <c r="AZ143" s="44" t="n">
        <f aca="false">IF(AV143=0,0,bsd(1,BA$27,AW143,$N143,$K143,$L143,$AE143,0.1))</f>
        <v>0</v>
      </c>
      <c r="BA143" s="44" t="n">
        <f aca="false">IF(AV143=0,0,bsd(2,BA$27,AW143,$N143,$K143,$L143,$AE143,0.1))</f>
        <v>0</v>
      </c>
      <c r="BB143" s="44" t="n">
        <f aca="false">IF(AV143=0,0,bsd(BA$28,BA$27,AW143,$N143,$K143,$L143,$AE143,0.1))</f>
        <v>0</v>
      </c>
      <c r="BC143" s="45" t="n">
        <f aca="false">AV143*AZ143</f>
        <v>0</v>
      </c>
      <c r="BD143" s="45" t="n">
        <f aca="false">AV143*BA143</f>
        <v>0</v>
      </c>
      <c r="BE143" s="45" t="n">
        <f aca="false">AV143*BB143</f>
        <v>0</v>
      </c>
      <c r="BG143" s="9" t="n">
        <f aca="false">IF($A143&gt;=BH$25,IF($A143&lt;=BH$26,$AF143,0),0)</f>
        <v>0</v>
      </c>
      <c r="BH143" s="221" t="e">
        <f aca="false">BJ143/BG143</f>
        <v>#DIV/0!</v>
      </c>
      <c r="BI143" s="1" t="n">
        <f aca="false">BG143*($B143+F$13)</f>
        <v>0</v>
      </c>
      <c r="BJ143" s="33" t="n">
        <f aca="false">IF(ISNUMBER(((BI143/BG143)+F$14+$P143)*BG143),((BI143/BG143)+F$14+$P143)*BG143,0)</f>
        <v>0</v>
      </c>
      <c r="BK143" s="44" t="n">
        <f aca="false">IF(BG143=0,0,bsd(1,BL$27,BH143,$T143,$Q143,$R143,$AE143,0.1))</f>
        <v>0</v>
      </c>
      <c r="BL143" s="44" t="n">
        <f aca="false">IF(BG143=0,0,bsd(2,BL$27,BH143,$T143,$Q143,$R143,$AE143,0.1))</f>
        <v>0</v>
      </c>
      <c r="BM143" s="44" t="n">
        <f aca="false">IF(BG143=0,0,bsd(BL$28,BL$27,BH143,$T143,$Q143,$R143,$AE143,0.1))</f>
        <v>0</v>
      </c>
      <c r="BN143" s="45" t="n">
        <f aca="false">BG143*BK143</f>
        <v>0</v>
      </c>
      <c r="BO143" s="45" t="n">
        <f aca="false">BG143*BL143</f>
        <v>0</v>
      </c>
      <c r="BP143" s="45" t="n">
        <f aca="false">BG143*BM143</f>
        <v>0</v>
      </c>
      <c r="BR143" s="9" t="n">
        <f aca="false">IF($A143&gt;=BS$25,IF($A143&lt;=BS$26,$AF143,0),0)</f>
        <v>0</v>
      </c>
      <c r="BS143" s="221" t="e">
        <f aca="false">BU143/BR143</f>
        <v>#DIV/0!</v>
      </c>
      <c r="BT143" s="1" t="n">
        <f aca="false">BR143*($B143+H$13)</f>
        <v>0</v>
      </c>
      <c r="BU143" s="33" t="n">
        <f aca="false">IF(ISNUMBER(((BT143/BR143)+H$14+$V143)*BR143),((BT143/BR143)+H$14+$V143)*BR143,0)</f>
        <v>0</v>
      </c>
      <c r="BV143" s="44" t="n">
        <f aca="false">IF(BR143=0,0,bsd(1,BW$27,BS143,$Z143,$W143,$X143,$AE143,0.1))</f>
        <v>0</v>
      </c>
      <c r="BW143" s="44" t="n">
        <f aca="false">IF(BR143=0,0,bsd(2,BW$27,BS143,$Z143,$W143,$X143,$AE143,0.1))</f>
        <v>0</v>
      </c>
      <c r="BX143" s="44" t="n">
        <f aca="false">IF(BR143=0,0,bsd(BW$28,BW$27,BS143,$Z143,$W143,$X143,$AE143,0.1))</f>
        <v>0</v>
      </c>
      <c r="BY143" s="45" t="n">
        <f aca="false">BR143*BV143</f>
        <v>0</v>
      </c>
      <c r="BZ143" s="45" t="n">
        <f aca="false">BR143*BW143</f>
        <v>0</v>
      </c>
      <c r="CA143" s="45" t="n">
        <f aca="false">BR143*BX143</f>
        <v>0</v>
      </c>
    </row>
    <row r="144" customFormat="false" ht="12.75" hidden="false" customHeight="false" outlineLevel="0" collapsed="false">
      <c r="A144" s="48" t="n">
        <f aca="false">DATE(YEAR(A143),MONTH(A143)+1,1)</f>
        <v>40725</v>
      </c>
      <c r="B144" s="40" t="n">
        <f aca="false">VLOOKUP(A144,STRADDLE,5,FALSE())</f>
        <v>3.464</v>
      </c>
      <c r="C144" s="4" t="e">
        <f aca="false">VLOOKUP(A144,STRADDLE,6,FALSE())</f>
        <v>#VALUE!</v>
      </c>
      <c r="D144" s="40" t="n">
        <f aca="false">IF(D$28="nymex",0,VLOOKUP($A144,curvesettle,HLOOKUP(D$28,curvesettle,2,FALSE())))</f>
        <v>0</v>
      </c>
      <c r="E144" s="219" t="n">
        <f aca="false">IF(D$28="NYMEX",$AD144,$AC144)</f>
        <v>-5205</v>
      </c>
      <c r="F144" s="4" t="e">
        <f aca="false">($C144+G144)+B$15</f>
        <v>#DIV/0!</v>
      </c>
      <c r="G144" s="4" t="e">
        <f aca="false">IF(B$16=1,xCalcSkew(A144,H144-AL144,b)/100,0)</f>
        <v>#DIV/0!</v>
      </c>
      <c r="H144" s="41" t="n">
        <f aca="false">IF($B$19=4,$AL144,$B$18)</f>
        <v>2.44</v>
      </c>
      <c r="J144" s="40" t="n">
        <f aca="false">IF(J$28="nymex",0,VLOOKUP($A144,curvesettle,HLOOKUP(J$28,curvesettle,2,FALSE())))</f>
        <v>0</v>
      </c>
      <c r="K144" s="219" t="n">
        <f aca="false">IF(J$28="NYMEX",$AD144,$AC144)</f>
        <v>-5205</v>
      </c>
      <c r="L144" s="220" t="e">
        <f aca="false">($C144+M144)+D$15</f>
        <v>#DIV/0!</v>
      </c>
      <c r="M144" s="4" t="e">
        <f aca="false">IF(D$16=1,xCalcSkew($A144,N144-AW144,b)/100,0)</f>
        <v>#DIV/0!</v>
      </c>
      <c r="N144" s="41" t="n">
        <f aca="false">IF($D$19=4,$AW144,$D$18)</f>
        <v>2.44</v>
      </c>
      <c r="P144" s="40" t="n">
        <f aca="false">IF(P$28="nymex",0,VLOOKUP($A144,curvesettle,HLOOKUP(P$28,curvesettle,2,FALSE())))</f>
        <v>0</v>
      </c>
      <c r="Q144" s="219" t="n">
        <f aca="false">IF(P$28="NYMEX",$AD144,$AC144)</f>
        <v>-5205</v>
      </c>
      <c r="R144" s="220" t="e">
        <f aca="false">($C144+S144)+F$15</f>
        <v>#DIV/0!</v>
      </c>
      <c r="S144" s="4" t="e">
        <f aca="false">IF(F$16=1,xCalcSkew($A144,T144-BH144,b)/100,0)</f>
        <v>#DIV/0!</v>
      </c>
      <c r="T144" s="41" t="n">
        <f aca="false">IF($F$19=4,$BH144,$F$18)</f>
        <v>2.44</v>
      </c>
      <c r="V144" s="40" t="n">
        <f aca="false">IF(V$28="nymex",0,VLOOKUP($A144,curvesettle,HLOOKUP(V$28,curvesettle,2,FALSE())))</f>
        <v>0</v>
      </c>
      <c r="W144" s="219" t="n">
        <f aca="false">IF(V$28="NYMEX",$AD144,$AC144)</f>
        <v>-5205</v>
      </c>
      <c r="X144" s="4" t="e">
        <f aca="false">($C144+Y144)+H$15</f>
        <v>#DIV/0!</v>
      </c>
      <c r="Y144" s="4" t="e">
        <f aca="false">IF(H$16=1,xCalcSkew($A144,Z144-BS144,b)/100,0)</f>
        <v>#DIV/0!</v>
      </c>
      <c r="Z144" s="41" t="n">
        <f aca="false">IF($H$19=4,$BS144,$H$18)</f>
        <v>2.44</v>
      </c>
      <c r="AC144" s="219" t="n">
        <f aca="false">VLOOKUP($A144,expiration,2,FALSE())-$B$2</f>
        <v>-5204</v>
      </c>
      <c r="AD144" s="219" t="n">
        <f aca="false">VLOOKUP($A144,expiration,3,FALSE())-$B$2</f>
        <v>-5205</v>
      </c>
      <c r="AE144" s="4" t="n">
        <f aca="false">VLOOKUP($A144,STRADDLE,15,FALSE())</f>
        <v>0.0585706444866236</v>
      </c>
      <c r="AF144" s="43" t="n">
        <f aca="false">A145-A144</f>
        <v>31</v>
      </c>
      <c r="AI144" s="219"/>
      <c r="AJ144" s="9"/>
      <c r="AK144" s="9" t="n">
        <f aca="false">IF($A144&gt;=AL$25,IF($A144&lt;=AL$26,$AF144,0),0)</f>
        <v>0</v>
      </c>
      <c r="AL144" s="221" t="e">
        <f aca="false">AN144/AK144</f>
        <v>#DIV/0!</v>
      </c>
      <c r="AM144" s="1" t="n">
        <f aca="false">AK144*($B144+B$13)</f>
        <v>0</v>
      </c>
      <c r="AN144" s="33" t="n">
        <f aca="false">IF(ISNUMBER(((AM144/AK144)+B$14+$D144)*AK144),((AM144/AK144)+B$14+$D144)*AK144,0)</f>
        <v>0</v>
      </c>
      <c r="AO144" s="44" t="n">
        <f aca="false">IF(AK144=0,0,bsd(1,AP$27,AL144,$H144,$E144,$F144,$AE144,0.1))</f>
        <v>0</v>
      </c>
      <c r="AP144" s="44" t="n">
        <f aca="false">IF(AK144=0,0,bsd(2,AP$27,AL144,$H144,$E144,$F144,$AE144,0.1))</f>
        <v>0</v>
      </c>
      <c r="AQ144" s="44" t="n">
        <f aca="false">IF(AK144=0,0,bsd(AP$28,AP$27,AL144,$H144,$E144,$F144,$AE144,0.1))</f>
        <v>0</v>
      </c>
      <c r="AR144" s="45" t="n">
        <f aca="false">AK144*AO144</f>
        <v>0</v>
      </c>
      <c r="AS144" s="45" t="n">
        <f aca="false">AK144*AP144</f>
        <v>0</v>
      </c>
      <c r="AT144" s="45" t="n">
        <f aca="false">AK144*AQ144</f>
        <v>0</v>
      </c>
      <c r="AV144" s="9" t="n">
        <f aca="false">IF($A144&gt;=AW$25,IF($A144&lt;=AW$26,$AF144,0),0)</f>
        <v>0</v>
      </c>
      <c r="AW144" s="221" t="e">
        <f aca="false">AY144/AV144</f>
        <v>#DIV/0!</v>
      </c>
      <c r="AX144" s="1" t="n">
        <f aca="false">AV144*($B144+D$13)</f>
        <v>0</v>
      </c>
      <c r="AY144" s="33" t="n">
        <f aca="false">IF(ISNUMBER(((AX144/AV144)+D$14+$J144)*AV144),((AX144/AV144)+D$14+$J144)*AV144,0)</f>
        <v>0</v>
      </c>
      <c r="AZ144" s="44" t="n">
        <f aca="false">IF(AV144=0,0,bsd(1,BA$27,AW144,$N144,$K144,$L144,$AE144,0.1))</f>
        <v>0</v>
      </c>
      <c r="BA144" s="44" t="n">
        <f aca="false">IF(AV144=0,0,bsd(2,BA$27,AW144,$N144,$K144,$L144,$AE144,0.1))</f>
        <v>0</v>
      </c>
      <c r="BB144" s="44" t="n">
        <f aca="false">IF(AV144=0,0,bsd(BA$28,BA$27,AW144,$N144,$K144,$L144,$AE144,0.1))</f>
        <v>0</v>
      </c>
      <c r="BC144" s="45" t="n">
        <f aca="false">AV144*AZ144</f>
        <v>0</v>
      </c>
      <c r="BD144" s="45" t="n">
        <f aca="false">AV144*BA144</f>
        <v>0</v>
      </c>
      <c r="BE144" s="45" t="n">
        <f aca="false">AV144*BB144</f>
        <v>0</v>
      </c>
      <c r="BG144" s="9" t="n">
        <f aca="false">IF($A144&gt;=BH$25,IF($A144&lt;=BH$26,$AF144,0),0)</f>
        <v>0</v>
      </c>
      <c r="BH144" s="221" t="e">
        <f aca="false">BJ144/BG144</f>
        <v>#DIV/0!</v>
      </c>
      <c r="BI144" s="1" t="n">
        <f aca="false">BG144*($B144+F$13)</f>
        <v>0</v>
      </c>
      <c r="BJ144" s="33" t="n">
        <f aca="false">IF(ISNUMBER(((BI144/BG144)+F$14+$P144)*BG144),((BI144/BG144)+F$14+$P144)*BG144,0)</f>
        <v>0</v>
      </c>
      <c r="BK144" s="44" t="n">
        <f aca="false">IF(BG144=0,0,bsd(1,BL$27,BH144,$T144,$Q144,$R144,$AE144,0.1))</f>
        <v>0</v>
      </c>
      <c r="BL144" s="44" t="n">
        <f aca="false">IF(BG144=0,0,bsd(2,BL$27,BH144,$T144,$Q144,$R144,$AE144,0.1))</f>
        <v>0</v>
      </c>
      <c r="BM144" s="44" t="n">
        <f aca="false">IF(BG144=0,0,bsd(BL$28,BL$27,BH144,$T144,$Q144,$R144,$AE144,0.1))</f>
        <v>0</v>
      </c>
      <c r="BN144" s="45" t="n">
        <f aca="false">BG144*BK144</f>
        <v>0</v>
      </c>
      <c r="BO144" s="45" t="n">
        <f aca="false">BG144*BL144</f>
        <v>0</v>
      </c>
      <c r="BP144" s="45" t="n">
        <f aca="false">BG144*BM144</f>
        <v>0</v>
      </c>
      <c r="BR144" s="9" t="n">
        <f aca="false">IF($A144&gt;=BS$25,IF($A144&lt;=BS$26,$AF144,0),0)</f>
        <v>0</v>
      </c>
      <c r="BS144" s="221" t="e">
        <f aca="false">BU144/BR144</f>
        <v>#DIV/0!</v>
      </c>
      <c r="BT144" s="1" t="n">
        <f aca="false">BR144*($B144+H$13)</f>
        <v>0</v>
      </c>
      <c r="BU144" s="33" t="n">
        <f aca="false">IF(ISNUMBER(((BT144/BR144)+H$14+$V144)*BR144),((BT144/BR144)+H$14+$V144)*BR144,0)</f>
        <v>0</v>
      </c>
      <c r="BV144" s="44" t="n">
        <f aca="false">IF(BR144=0,0,bsd(1,BW$27,BS144,$Z144,$W144,$X144,$AE144,0.1))</f>
        <v>0</v>
      </c>
      <c r="BW144" s="44" t="n">
        <f aca="false">IF(BR144=0,0,bsd(2,BW$27,BS144,$Z144,$W144,$X144,$AE144,0.1))</f>
        <v>0</v>
      </c>
      <c r="BX144" s="44" t="n">
        <f aca="false">IF(BR144=0,0,bsd(BW$28,BW$27,BS144,$Z144,$W144,$X144,$AE144,0.1))</f>
        <v>0</v>
      </c>
      <c r="BY144" s="45" t="n">
        <f aca="false">BR144*BV144</f>
        <v>0</v>
      </c>
      <c r="BZ144" s="45" t="n">
        <f aca="false">BR144*BW144</f>
        <v>0</v>
      </c>
      <c r="CA144" s="45" t="n">
        <f aca="false">BR144*BX144</f>
        <v>0</v>
      </c>
    </row>
    <row r="145" customFormat="false" ht="12.75" hidden="false" customHeight="false" outlineLevel="0" collapsed="false">
      <c r="A145" s="48" t="n">
        <f aca="false">DATE(YEAR(A144),MONTH(A144)+1,1)</f>
        <v>40756</v>
      </c>
      <c r="B145" s="40" t="n">
        <f aca="false">VLOOKUP(A145,STRADDLE,5,FALSE())</f>
        <v>3.514</v>
      </c>
      <c r="C145" s="4" t="e">
        <f aca="false">VLOOKUP(A145,STRADDLE,6,FALSE())</f>
        <v>#VALUE!</v>
      </c>
      <c r="D145" s="40" t="n">
        <f aca="false">IF(D$28="nymex",0,VLOOKUP($A145,curvesettle,HLOOKUP(D$28,curvesettle,2,FALSE())))</f>
        <v>0</v>
      </c>
      <c r="E145" s="219" t="n">
        <f aca="false">IF(D$28="NYMEX",$AD145,$AC145)</f>
        <v>-5176</v>
      </c>
      <c r="F145" s="4" t="e">
        <f aca="false">($C145+G145)+B$15</f>
        <v>#DIV/0!</v>
      </c>
      <c r="G145" s="4" t="e">
        <f aca="false">IF(B$16=1,xCalcSkew(A145,H145-AL145,b)/100,0)</f>
        <v>#DIV/0!</v>
      </c>
      <c r="H145" s="41" t="n">
        <f aca="false">IF($B$19=4,$AL145,$B$18)</f>
        <v>2.44</v>
      </c>
      <c r="J145" s="40" t="n">
        <f aca="false">IF(J$28="nymex",0,VLOOKUP($A145,curvesettle,HLOOKUP(J$28,curvesettle,2,FALSE())))</f>
        <v>0</v>
      </c>
      <c r="K145" s="219" t="n">
        <f aca="false">IF(J$28="NYMEX",$AD145,$AC145)</f>
        <v>-5176</v>
      </c>
      <c r="L145" s="220" t="e">
        <f aca="false">($C145+M145)+D$15</f>
        <v>#DIV/0!</v>
      </c>
      <c r="M145" s="4" t="e">
        <f aca="false">IF(D$16=1,xCalcSkew($A145,N145-AW145,b)/100,0)</f>
        <v>#DIV/0!</v>
      </c>
      <c r="N145" s="41" t="n">
        <f aca="false">IF($D$19=4,$AW145,$D$18)</f>
        <v>2.44</v>
      </c>
      <c r="P145" s="40" t="n">
        <f aca="false">IF(P$28="nymex",0,VLOOKUP($A145,curvesettle,HLOOKUP(P$28,curvesettle,2,FALSE())))</f>
        <v>0</v>
      </c>
      <c r="Q145" s="219" t="n">
        <f aca="false">IF(P$28="NYMEX",$AD145,$AC145)</f>
        <v>-5176</v>
      </c>
      <c r="R145" s="220" t="e">
        <f aca="false">($C145+S145)+F$15</f>
        <v>#DIV/0!</v>
      </c>
      <c r="S145" s="4" t="e">
        <f aca="false">IF(F$16=1,xCalcSkew($A145,T145-BH145,b)/100,0)</f>
        <v>#DIV/0!</v>
      </c>
      <c r="T145" s="41" t="n">
        <f aca="false">IF($F$19=4,$BH145,$F$18)</f>
        <v>2.44</v>
      </c>
      <c r="V145" s="40" t="n">
        <f aca="false">IF(V$28="nymex",0,VLOOKUP($A145,curvesettle,HLOOKUP(V$28,curvesettle,2,FALSE())))</f>
        <v>0</v>
      </c>
      <c r="W145" s="219" t="n">
        <f aca="false">IF(V$28="NYMEX",$AD145,$AC145)</f>
        <v>-5176</v>
      </c>
      <c r="X145" s="4" t="e">
        <f aca="false">($C145+Y145)+H$15</f>
        <v>#DIV/0!</v>
      </c>
      <c r="Y145" s="4" t="e">
        <f aca="false">IF(H$16=1,xCalcSkew($A145,Z145-BS145,b)/100,0)</f>
        <v>#DIV/0!</v>
      </c>
      <c r="Z145" s="41" t="n">
        <f aca="false">IF($H$19=4,$BS145,$H$18)</f>
        <v>2.44</v>
      </c>
      <c r="AC145" s="219" t="n">
        <f aca="false">VLOOKUP($A145,expiration,2,FALSE())-$B$2</f>
        <v>-5175</v>
      </c>
      <c r="AD145" s="219" t="n">
        <f aca="false">VLOOKUP($A145,expiration,3,FALSE())-$B$2</f>
        <v>-5176</v>
      </c>
      <c r="AE145" s="4" t="n">
        <f aca="false">VLOOKUP($A145,STRADDLE,15,FALSE())</f>
        <v>0.0586708043106468</v>
      </c>
      <c r="AF145" s="43" t="n">
        <f aca="false">A146-A145</f>
        <v>31</v>
      </c>
      <c r="AI145" s="219"/>
      <c r="AJ145" s="9"/>
      <c r="AK145" s="9" t="n">
        <f aca="false">IF($A145&gt;=AL$25,IF($A145&lt;=AL$26,$AF145,0),0)</f>
        <v>0</v>
      </c>
      <c r="AL145" s="221" t="e">
        <f aca="false">AN145/AK145</f>
        <v>#DIV/0!</v>
      </c>
      <c r="AM145" s="1" t="n">
        <f aca="false">AK145*($B145+B$13)</f>
        <v>0</v>
      </c>
      <c r="AN145" s="33" t="n">
        <f aca="false">IF(ISNUMBER(((AM145/AK145)+B$14+$D145)*AK145),((AM145/AK145)+B$14+$D145)*AK145,0)</f>
        <v>0</v>
      </c>
      <c r="AO145" s="44" t="n">
        <f aca="false">IF(AK145=0,0,bsd(1,AP$27,AL145,$H145,$E145,$F145,$AE145,0.1))</f>
        <v>0</v>
      </c>
      <c r="AP145" s="44" t="n">
        <f aca="false">IF(AK145=0,0,bsd(2,AP$27,AL145,$H145,$E145,$F145,$AE145,0.1))</f>
        <v>0</v>
      </c>
      <c r="AQ145" s="44" t="n">
        <f aca="false">IF(AK145=0,0,bsd(AP$28,AP$27,AL145,$H145,$E145,$F145,$AE145,0.1))</f>
        <v>0</v>
      </c>
      <c r="AR145" s="45" t="n">
        <f aca="false">AK145*AO145</f>
        <v>0</v>
      </c>
      <c r="AS145" s="45" t="n">
        <f aca="false">AK145*AP145</f>
        <v>0</v>
      </c>
      <c r="AT145" s="45" t="n">
        <f aca="false">AK145*AQ145</f>
        <v>0</v>
      </c>
      <c r="AV145" s="9" t="n">
        <f aca="false">IF($A145&gt;=AW$25,IF($A145&lt;=AW$26,$AF145,0),0)</f>
        <v>0</v>
      </c>
      <c r="AW145" s="221" t="e">
        <f aca="false">AY145/AV145</f>
        <v>#DIV/0!</v>
      </c>
      <c r="AX145" s="1" t="n">
        <f aca="false">AV145*($B145+D$13)</f>
        <v>0</v>
      </c>
      <c r="AY145" s="33" t="n">
        <f aca="false">IF(ISNUMBER(((AX145/AV145)+D$14+$J145)*AV145),((AX145/AV145)+D$14+$J145)*AV145,0)</f>
        <v>0</v>
      </c>
      <c r="AZ145" s="44" t="n">
        <f aca="false">IF(AV145=0,0,bsd(1,BA$27,AW145,$N145,$K145,$L145,$AE145,0.1))</f>
        <v>0</v>
      </c>
      <c r="BA145" s="44" t="n">
        <f aca="false">IF(AV145=0,0,bsd(2,BA$27,AW145,$N145,$K145,$L145,$AE145,0.1))</f>
        <v>0</v>
      </c>
      <c r="BB145" s="44" t="n">
        <f aca="false">IF(AV145=0,0,bsd(BA$28,BA$27,AW145,$N145,$K145,$L145,$AE145,0.1))</f>
        <v>0</v>
      </c>
      <c r="BC145" s="45" t="n">
        <f aca="false">AV145*AZ145</f>
        <v>0</v>
      </c>
      <c r="BD145" s="45" t="n">
        <f aca="false">AV145*BA145</f>
        <v>0</v>
      </c>
      <c r="BE145" s="45" t="n">
        <f aca="false">AV145*BB145</f>
        <v>0</v>
      </c>
      <c r="BG145" s="9" t="n">
        <f aca="false">IF($A145&gt;=BH$25,IF($A145&lt;=BH$26,$AF145,0),0)</f>
        <v>0</v>
      </c>
      <c r="BH145" s="221" t="e">
        <f aca="false">BJ145/BG145</f>
        <v>#DIV/0!</v>
      </c>
      <c r="BI145" s="1" t="n">
        <f aca="false">BG145*($B145+F$13)</f>
        <v>0</v>
      </c>
      <c r="BJ145" s="33" t="n">
        <f aca="false">IF(ISNUMBER(((BI145/BG145)+F$14+$P145)*BG145),((BI145/BG145)+F$14+$P145)*BG145,0)</f>
        <v>0</v>
      </c>
      <c r="BK145" s="44" t="n">
        <f aca="false">IF(BG145=0,0,bsd(1,BL$27,BH145,$T145,$Q145,$R145,$AE145,0.1))</f>
        <v>0</v>
      </c>
      <c r="BL145" s="44" t="n">
        <f aca="false">IF(BG145=0,0,bsd(2,BL$27,BH145,$T145,$Q145,$R145,$AE145,0.1))</f>
        <v>0</v>
      </c>
      <c r="BM145" s="44" t="n">
        <f aca="false">IF(BG145=0,0,bsd(BL$28,BL$27,BH145,$T145,$Q145,$R145,$AE145,0.1))</f>
        <v>0</v>
      </c>
      <c r="BN145" s="45" t="n">
        <f aca="false">BG145*BK145</f>
        <v>0</v>
      </c>
      <c r="BO145" s="45" t="n">
        <f aca="false">BG145*BL145</f>
        <v>0</v>
      </c>
      <c r="BP145" s="45" t="n">
        <f aca="false">BG145*BM145</f>
        <v>0</v>
      </c>
      <c r="BR145" s="9" t="n">
        <f aca="false">IF($A145&gt;=BS$25,IF($A145&lt;=BS$26,$AF145,0),0)</f>
        <v>0</v>
      </c>
      <c r="BS145" s="221" t="e">
        <f aca="false">BU145/BR145</f>
        <v>#DIV/0!</v>
      </c>
      <c r="BT145" s="1" t="n">
        <f aca="false">BR145*($B145+H$13)</f>
        <v>0</v>
      </c>
      <c r="BU145" s="33" t="n">
        <f aca="false">IF(ISNUMBER(((BT145/BR145)+H$14+$V145)*BR145),((BT145/BR145)+H$14+$V145)*BR145,0)</f>
        <v>0</v>
      </c>
      <c r="BV145" s="44" t="n">
        <f aca="false">IF(BR145=0,0,bsd(1,BW$27,BS145,$Z145,$W145,$X145,$AE145,0.1))</f>
        <v>0</v>
      </c>
      <c r="BW145" s="44" t="n">
        <f aca="false">IF(BR145=0,0,bsd(2,BW$27,BS145,$Z145,$W145,$X145,$AE145,0.1))</f>
        <v>0</v>
      </c>
      <c r="BX145" s="44" t="n">
        <f aca="false">IF(BR145=0,0,bsd(BW$28,BW$27,BS145,$Z145,$W145,$X145,$AE145,0.1))</f>
        <v>0</v>
      </c>
      <c r="BY145" s="45" t="n">
        <f aca="false">BR145*BV145</f>
        <v>0</v>
      </c>
      <c r="BZ145" s="45" t="n">
        <f aca="false">BR145*BW145</f>
        <v>0</v>
      </c>
      <c r="CA145" s="45" t="n">
        <f aca="false">BR145*BX145</f>
        <v>0</v>
      </c>
    </row>
    <row r="146" customFormat="false" ht="12.75" hidden="false" customHeight="false" outlineLevel="0" collapsed="false">
      <c r="A146" s="48" t="n">
        <f aca="false">DATE(YEAR(A145),MONTH(A145)+1,1)</f>
        <v>40787</v>
      </c>
      <c r="B146" s="40" t="n">
        <f aca="false">VLOOKUP(A146,STRADDLE,5,FALSE())</f>
        <v>3.499</v>
      </c>
      <c r="C146" s="4" t="e">
        <f aca="false">VLOOKUP(A146,STRADDLE,6,FALSE())</f>
        <v>#VALUE!</v>
      </c>
      <c r="D146" s="40" t="n">
        <f aca="false">IF(D$28="nymex",0,VLOOKUP($A146,curvesettle,HLOOKUP(D$28,curvesettle,2,FALSE())))</f>
        <v>0</v>
      </c>
      <c r="E146" s="219" t="n">
        <f aca="false">IF(D$28="NYMEX",$AD146,$AC146)</f>
        <v>-5145</v>
      </c>
      <c r="F146" s="4" t="e">
        <f aca="false">($C146+G146)+B$15</f>
        <v>#DIV/0!</v>
      </c>
      <c r="G146" s="4" t="e">
        <f aca="false">IF(B$16=1,xCalcSkew(A146,H146-AL146,b)/100,0)</f>
        <v>#DIV/0!</v>
      </c>
      <c r="H146" s="41" t="n">
        <f aca="false">IF($B$19=4,$AL146,$B$18)</f>
        <v>2.44</v>
      </c>
      <c r="J146" s="40" t="n">
        <f aca="false">IF(J$28="nymex",0,VLOOKUP($A146,curvesettle,HLOOKUP(J$28,curvesettle,2,FALSE())))</f>
        <v>0</v>
      </c>
      <c r="K146" s="219" t="n">
        <f aca="false">IF(J$28="NYMEX",$AD146,$AC146)</f>
        <v>-5145</v>
      </c>
      <c r="L146" s="220" t="e">
        <f aca="false">($C146+M146)+D$15</f>
        <v>#DIV/0!</v>
      </c>
      <c r="M146" s="4" t="e">
        <f aca="false">IF(D$16=1,xCalcSkew($A146,N146-AW146,b)/100,0)</f>
        <v>#DIV/0!</v>
      </c>
      <c r="N146" s="41" t="n">
        <f aca="false">IF($D$19=4,$AW146,$D$18)</f>
        <v>2.44</v>
      </c>
      <c r="P146" s="40" t="n">
        <f aca="false">IF(P$28="nymex",0,VLOOKUP($A146,curvesettle,HLOOKUP(P$28,curvesettle,2,FALSE())))</f>
        <v>0</v>
      </c>
      <c r="Q146" s="219" t="n">
        <f aca="false">IF(P$28="NYMEX",$AD146,$AC146)</f>
        <v>-5145</v>
      </c>
      <c r="R146" s="220" t="e">
        <f aca="false">($C146+S146)+F$15</f>
        <v>#DIV/0!</v>
      </c>
      <c r="S146" s="4" t="e">
        <f aca="false">IF(F$16=1,xCalcSkew($A146,T146-BH146,b)/100,0)</f>
        <v>#DIV/0!</v>
      </c>
      <c r="T146" s="41" t="n">
        <f aca="false">IF($F$19=4,$BH146,$F$18)</f>
        <v>2.44</v>
      </c>
      <c r="V146" s="40" t="n">
        <f aca="false">IF(V$28="nymex",0,VLOOKUP($A146,curvesettle,HLOOKUP(V$28,curvesettle,2,FALSE())))</f>
        <v>0</v>
      </c>
      <c r="W146" s="219" t="n">
        <f aca="false">IF(V$28="NYMEX",$AD146,$AC146)</f>
        <v>-5145</v>
      </c>
      <c r="X146" s="4" t="e">
        <f aca="false">($C146+Y146)+H$15</f>
        <v>#DIV/0!</v>
      </c>
      <c r="Y146" s="4" t="e">
        <f aca="false">IF(H$16=1,xCalcSkew($A146,Z146-BS146,b)/100,0)</f>
        <v>#DIV/0!</v>
      </c>
      <c r="Z146" s="41" t="n">
        <f aca="false">IF($H$19=4,$BS146,$H$18)</f>
        <v>2.44</v>
      </c>
      <c r="AC146" s="219" t="n">
        <f aca="false">VLOOKUP($A146,expiration,2,FALSE())-$B$2</f>
        <v>-5142</v>
      </c>
      <c r="AD146" s="219" t="n">
        <f aca="false">VLOOKUP($A146,expiration,3,FALSE())-$B$2</f>
        <v>-5145</v>
      </c>
      <c r="AE146" s="4" t="n">
        <f aca="false">VLOOKUP($A146,STRADDLE,15,FALSE())</f>
        <v>0.0587743027989744</v>
      </c>
      <c r="AF146" s="43" t="n">
        <f aca="false">A147-A146</f>
        <v>30</v>
      </c>
      <c r="AI146" s="219"/>
      <c r="AJ146" s="9"/>
      <c r="AK146" s="9" t="n">
        <f aca="false">IF($A146&gt;=AL$25,IF($A146&lt;=AL$26,$AF146,0),0)</f>
        <v>0</v>
      </c>
      <c r="AL146" s="221" t="e">
        <f aca="false">AN146/AK146</f>
        <v>#DIV/0!</v>
      </c>
      <c r="AM146" s="1" t="n">
        <f aca="false">AK146*($B146+B$13)</f>
        <v>0</v>
      </c>
      <c r="AN146" s="33" t="n">
        <f aca="false">IF(ISNUMBER(((AM146/AK146)+B$14+$D146)*AK146),((AM146/AK146)+B$14+$D146)*AK146,0)</f>
        <v>0</v>
      </c>
      <c r="AO146" s="44" t="n">
        <f aca="false">IF(AK146=0,0,bsd(1,AP$27,AL146,$H146,$E146,$F146,$AE146,0.1))</f>
        <v>0</v>
      </c>
      <c r="AP146" s="44" t="n">
        <f aca="false">IF(AK146=0,0,bsd(2,AP$27,AL146,$H146,$E146,$F146,$AE146,0.1))</f>
        <v>0</v>
      </c>
      <c r="AQ146" s="44" t="n">
        <f aca="false">IF(AK146=0,0,bsd(AP$28,AP$27,AL146,$H146,$E146,$F146,$AE146,0.1))</f>
        <v>0</v>
      </c>
      <c r="AR146" s="45" t="n">
        <f aca="false">AK146*AO146</f>
        <v>0</v>
      </c>
      <c r="AS146" s="45" t="n">
        <f aca="false">AK146*AP146</f>
        <v>0</v>
      </c>
      <c r="AT146" s="45" t="n">
        <f aca="false">AK146*AQ146</f>
        <v>0</v>
      </c>
      <c r="AV146" s="9" t="n">
        <f aca="false">IF($A146&gt;=AW$25,IF($A146&lt;=AW$26,$AF146,0),0)</f>
        <v>0</v>
      </c>
      <c r="AW146" s="221" t="e">
        <f aca="false">AY146/AV146</f>
        <v>#DIV/0!</v>
      </c>
      <c r="AX146" s="1" t="n">
        <f aca="false">AV146*($B146+D$13)</f>
        <v>0</v>
      </c>
      <c r="AY146" s="33" t="n">
        <f aca="false">IF(ISNUMBER(((AX146/AV146)+D$14+$J146)*AV146),((AX146/AV146)+D$14+$J146)*AV146,0)</f>
        <v>0</v>
      </c>
      <c r="AZ146" s="44" t="n">
        <f aca="false">IF(AV146=0,0,bsd(1,BA$27,AW146,$N146,$K146,$L146,$AE146,0.1))</f>
        <v>0</v>
      </c>
      <c r="BA146" s="44" t="n">
        <f aca="false">IF(AV146=0,0,bsd(2,BA$27,AW146,$N146,$K146,$L146,$AE146,0.1))</f>
        <v>0</v>
      </c>
      <c r="BB146" s="44" t="n">
        <f aca="false">IF(AV146=0,0,bsd(BA$28,BA$27,AW146,$N146,$K146,$L146,$AE146,0.1))</f>
        <v>0</v>
      </c>
      <c r="BC146" s="45" t="n">
        <f aca="false">AV146*AZ146</f>
        <v>0</v>
      </c>
      <c r="BD146" s="45" t="n">
        <f aca="false">AV146*BA146</f>
        <v>0</v>
      </c>
      <c r="BE146" s="45" t="n">
        <f aca="false">AV146*BB146</f>
        <v>0</v>
      </c>
      <c r="BG146" s="9" t="n">
        <f aca="false">IF($A146&gt;=BH$25,IF($A146&lt;=BH$26,$AF146,0),0)</f>
        <v>0</v>
      </c>
      <c r="BH146" s="221" t="e">
        <f aca="false">BJ146/BG146</f>
        <v>#DIV/0!</v>
      </c>
      <c r="BI146" s="1" t="n">
        <f aca="false">BG146*($B146+F$13)</f>
        <v>0</v>
      </c>
      <c r="BJ146" s="33" t="n">
        <f aca="false">IF(ISNUMBER(((BI146/BG146)+F$14+$P146)*BG146),((BI146/BG146)+F$14+$P146)*BG146,0)</f>
        <v>0</v>
      </c>
      <c r="BK146" s="44" t="n">
        <f aca="false">IF(BG146=0,0,bsd(1,BL$27,BH146,$T146,$Q146,$R146,$AE146,0.1))</f>
        <v>0</v>
      </c>
      <c r="BL146" s="44" t="n">
        <f aca="false">IF(BG146=0,0,bsd(2,BL$27,BH146,$T146,$Q146,$R146,$AE146,0.1))</f>
        <v>0</v>
      </c>
      <c r="BM146" s="44" t="n">
        <f aca="false">IF(BG146=0,0,bsd(BL$28,BL$27,BH146,$T146,$Q146,$R146,$AE146,0.1))</f>
        <v>0</v>
      </c>
      <c r="BN146" s="45" t="n">
        <f aca="false">BG146*BK146</f>
        <v>0</v>
      </c>
      <c r="BO146" s="45" t="n">
        <f aca="false">BG146*BL146</f>
        <v>0</v>
      </c>
      <c r="BP146" s="45" t="n">
        <f aca="false">BG146*BM146</f>
        <v>0</v>
      </c>
      <c r="BR146" s="9" t="n">
        <f aca="false">IF($A146&gt;=BS$25,IF($A146&lt;=BS$26,$AF146,0),0)</f>
        <v>0</v>
      </c>
      <c r="BS146" s="221" t="e">
        <f aca="false">BU146/BR146</f>
        <v>#DIV/0!</v>
      </c>
      <c r="BT146" s="1" t="n">
        <f aca="false">BR146*($B146+H$13)</f>
        <v>0</v>
      </c>
      <c r="BU146" s="33" t="n">
        <f aca="false">IF(ISNUMBER(((BT146/BR146)+H$14+$V146)*BR146),((BT146/BR146)+H$14+$V146)*BR146,0)</f>
        <v>0</v>
      </c>
      <c r="BV146" s="44" t="n">
        <f aca="false">IF(BR146=0,0,bsd(1,BW$27,BS146,$Z146,$W146,$X146,$AE146,0.1))</f>
        <v>0</v>
      </c>
      <c r="BW146" s="44" t="n">
        <f aca="false">IF(BR146=0,0,bsd(2,BW$27,BS146,$Z146,$W146,$X146,$AE146,0.1))</f>
        <v>0</v>
      </c>
      <c r="BX146" s="44" t="n">
        <f aca="false">IF(BR146=0,0,bsd(BW$28,BW$27,BS146,$Z146,$W146,$X146,$AE146,0.1))</f>
        <v>0</v>
      </c>
      <c r="BY146" s="45" t="n">
        <f aca="false">BR146*BV146</f>
        <v>0</v>
      </c>
      <c r="BZ146" s="45" t="n">
        <f aca="false">BR146*BW146</f>
        <v>0</v>
      </c>
      <c r="CA146" s="45" t="n">
        <f aca="false">BR146*BX146</f>
        <v>0</v>
      </c>
    </row>
    <row r="147" customFormat="false" ht="12.75" hidden="false" customHeight="false" outlineLevel="0" collapsed="false">
      <c r="A147" s="48" t="n">
        <f aca="false">DATE(YEAR(A146),MONTH(A146)+1,1)</f>
        <v>40817</v>
      </c>
      <c r="B147" s="40" t="n">
        <f aca="false">VLOOKUP(A147,STRADDLE,5,FALSE())</f>
        <v>3.514</v>
      </c>
      <c r="C147" s="4" t="e">
        <f aca="false">VLOOKUP(A147,STRADDLE,6,FALSE())</f>
        <v>#VALUE!</v>
      </c>
      <c r="D147" s="40" t="n">
        <f aca="false">IF(D$28="nymex",0,VLOOKUP($A147,curvesettle,HLOOKUP(D$28,curvesettle,2,FALSE())))</f>
        <v>0</v>
      </c>
      <c r="E147" s="219" t="n">
        <f aca="false">IF(D$28="NYMEX",$AD147,$AC147)</f>
        <v>-5113</v>
      </c>
      <c r="F147" s="4" t="e">
        <f aca="false">($C147+G147)+B$15</f>
        <v>#DIV/0!</v>
      </c>
      <c r="G147" s="4" t="e">
        <f aca="false">IF(B$16=1,xCalcSkew(A147,H147-AL147,b)/100,0)</f>
        <v>#DIV/0!</v>
      </c>
      <c r="H147" s="41" t="n">
        <f aca="false">IF($B$19=4,$AL147,$B$18)</f>
        <v>2.44</v>
      </c>
      <c r="J147" s="40" t="n">
        <f aca="false">IF(J$28="nymex",0,VLOOKUP($A147,curvesettle,HLOOKUP(J$28,curvesettle,2,FALSE())))</f>
        <v>0</v>
      </c>
      <c r="K147" s="219" t="n">
        <f aca="false">IF(J$28="NYMEX",$AD147,$AC147)</f>
        <v>-5113</v>
      </c>
      <c r="L147" s="220" t="e">
        <f aca="false">($C147+M147)+D$15</f>
        <v>#DIV/0!</v>
      </c>
      <c r="M147" s="4" t="e">
        <f aca="false">IF(D$16=1,xCalcSkew($A147,N147-AW147,b)/100,0)</f>
        <v>#DIV/0!</v>
      </c>
      <c r="N147" s="41" t="n">
        <f aca="false">IF($D$19=4,$AW147,$D$18)</f>
        <v>2.44</v>
      </c>
      <c r="P147" s="40" t="n">
        <f aca="false">IF(P$28="nymex",0,VLOOKUP($A147,curvesettle,HLOOKUP(P$28,curvesettle,2,FALSE())))</f>
        <v>0</v>
      </c>
      <c r="Q147" s="219" t="n">
        <f aca="false">IF(P$28="NYMEX",$AD147,$AC147)</f>
        <v>-5113</v>
      </c>
      <c r="R147" s="220" t="e">
        <f aca="false">($C147+S147)+F$15</f>
        <v>#DIV/0!</v>
      </c>
      <c r="S147" s="4" t="e">
        <f aca="false">IF(F$16=1,xCalcSkew($A147,T147-BH147,b)/100,0)</f>
        <v>#DIV/0!</v>
      </c>
      <c r="T147" s="41" t="n">
        <f aca="false">IF($F$19=4,$BH147,$F$18)</f>
        <v>2.44</v>
      </c>
      <c r="V147" s="40" t="n">
        <f aca="false">IF(V$28="nymex",0,VLOOKUP($A147,curvesettle,HLOOKUP(V$28,curvesettle,2,FALSE())))</f>
        <v>0</v>
      </c>
      <c r="W147" s="219" t="n">
        <f aca="false">IF(V$28="NYMEX",$AD147,$AC147)</f>
        <v>-5113</v>
      </c>
      <c r="X147" s="4" t="e">
        <f aca="false">($C147+Y147)+H$15</f>
        <v>#DIV/0!</v>
      </c>
      <c r="Y147" s="4" t="e">
        <f aca="false">IF(H$16=1,xCalcSkew($A147,Z147-BS147,b)/100,0)</f>
        <v>#DIV/0!</v>
      </c>
      <c r="Z147" s="41" t="n">
        <f aca="false">IF($H$19=4,$BS147,$H$18)</f>
        <v>2.44</v>
      </c>
      <c r="AC147" s="219" t="n">
        <f aca="false">VLOOKUP($A147,expiration,2,FALSE())-$B$2</f>
        <v>-5112</v>
      </c>
      <c r="AD147" s="219" t="n">
        <f aca="false">VLOOKUP($A147,expiration,3,FALSE())-$B$2</f>
        <v>-5113</v>
      </c>
      <c r="AE147" s="4" t="n">
        <f aca="false">VLOOKUP($A147,STRADDLE,15,FALSE())</f>
        <v>0.0588778012908637</v>
      </c>
      <c r="AF147" s="43" t="n">
        <f aca="false">A148-A147</f>
        <v>31</v>
      </c>
      <c r="AI147" s="219"/>
      <c r="AJ147" s="9"/>
      <c r="AK147" s="9" t="n">
        <f aca="false">IF($A147&gt;=AL$25,IF($A147&lt;=AL$26,$AF147,0),0)</f>
        <v>0</v>
      </c>
      <c r="AL147" s="221" t="e">
        <f aca="false">AN147/AK147</f>
        <v>#DIV/0!</v>
      </c>
      <c r="AM147" s="1" t="n">
        <f aca="false">AK147*($B147+B$13)</f>
        <v>0</v>
      </c>
      <c r="AN147" s="33" t="n">
        <f aca="false">IF(ISNUMBER(((AM147/AK147)+B$14+$D147)*AK147),((AM147/AK147)+B$14+$D147)*AK147,0)</f>
        <v>0</v>
      </c>
      <c r="AO147" s="44" t="n">
        <f aca="false">IF(AK147=0,0,bsd(1,AP$27,AL147,$H147,$E147,$F147,$AE147,0.1))</f>
        <v>0</v>
      </c>
      <c r="AP147" s="44" t="n">
        <f aca="false">IF(AK147=0,0,bsd(2,AP$27,AL147,$H147,$E147,$F147,$AE147,0.1))</f>
        <v>0</v>
      </c>
      <c r="AQ147" s="44" t="n">
        <f aca="false">IF(AK147=0,0,bsd(AP$28,AP$27,AL147,$H147,$E147,$F147,$AE147,0.1))</f>
        <v>0</v>
      </c>
      <c r="AR147" s="45" t="n">
        <f aca="false">AK147*AO147</f>
        <v>0</v>
      </c>
      <c r="AS147" s="45" t="n">
        <f aca="false">AK147*AP147</f>
        <v>0</v>
      </c>
      <c r="AT147" s="45" t="n">
        <f aca="false">AK147*AQ147</f>
        <v>0</v>
      </c>
      <c r="AV147" s="9" t="n">
        <f aca="false">IF($A147&gt;=AW$25,IF($A147&lt;=AW$26,$AF147,0),0)</f>
        <v>0</v>
      </c>
      <c r="AW147" s="221" t="e">
        <f aca="false">AY147/AV147</f>
        <v>#DIV/0!</v>
      </c>
      <c r="AX147" s="1" t="n">
        <f aca="false">AV147*($B147+D$13)</f>
        <v>0</v>
      </c>
      <c r="AY147" s="33" t="n">
        <f aca="false">IF(ISNUMBER(((AX147/AV147)+D$14+$J147)*AV147),((AX147/AV147)+D$14+$J147)*AV147,0)</f>
        <v>0</v>
      </c>
      <c r="AZ147" s="44" t="n">
        <f aca="false">IF(AV147=0,0,bsd(1,BA$27,AW147,$N147,$K147,$L147,$AE147,0.1))</f>
        <v>0</v>
      </c>
      <c r="BA147" s="44" t="n">
        <f aca="false">IF(AV147=0,0,bsd(2,BA$27,AW147,$N147,$K147,$L147,$AE147,0.1))</f>
        <v>0</v>
      </c>
      <c r="BB147" s="44" t="n">
        <f aca="false">IF(AV147=0,0,bsd(BA$28,BA$27,AW147,$N147,$K147,$L147,$AE147,0.1))</f>
        <v>0</v>
      </c>
      <c r="BC147" s="45" t="n">
        <f aca="false">AV147*AZ147</f>
        <v>0</v>
      </c>
      <c r="BD147" s="45" t="n">
        <f aca="false">AV147*BA147</f>
        <v>0</v>
      </c>
      <c r="BE147" s="45" t="n">
        <f aca="false">AV147*BB147</f>
        <v>0</v>
      </c>
      <c r="BG147" s="9" t="n">
        <f aca="false">IF($A147&gt;=BH$25,IF($A147&lt;=BH$26,$AF147,0),0)</f>
        <v>0</v>
      </c>
      <c r="BH147" s="221" t="e">
        <f aca="false">BJ147/BG147</f>
        <v>#DIV/0!</v>
      </c>
      <c r="BI147" s="1" t="n">
        <f aca="false">BG147*($B147+F$13)</f>
        <v>0</v>
      </c>
      <c r="BJ147" s="33" t="n">
        <f aca="false">IF(ISNUMBER(((BI147/BG147)+F$14+$P147)*BG147),((BI147/BG147)+F$14+$P147)*BG147,0)</f>
        <v>0</v>
      </c>
      <c r="BK147" s="44" t="n">
        <f aca="false">IF(BG147=0,0,bsd(1,BL$27,BH147,$T147,$Q147,$R147,$AE147,0.1))</f>
        <v>0</v>
      </c>
      <c r="BL147" s="44" t="n">
        <f aca="false">IF(BG147=0,0,bsd(2,BL$27,BH147,$T147,$Q147,$R147,$AE147,0.1))</f>
        <v>0</v>
      </c>
      <c r="BM147" s="44" t="n">
        <f aca="false">IF(BG147=0,0,bsd(BL$28,BL$27,BH147,$T147,$Q147,$R147,$AE147,0.1))</f>
        <v>0</v>
      </c>
      <c r="BN147" s="45" t="n">
        <f aca="false">BG147*BK147</f>
        <v>0</v>
      </c>
      <c r="BO147" s="45" t="n">
        <f aca="false">BG147*BL147</f>
        <v>0</v>
      </c>
      <c r="BP147" s="45" t="n">
        <f aca="false">BG147*BM147</f>
        <v>0</v>
      </c>
      <c r="BR147" s="9" t="n">
        <f aca="false">IF($A147&gt;=BS$25,IF($A147&lt;=BS$26,$AF147,0),0)</f>
        <v>0</v>
      </c>
      <c r="BS147" s="221" t="e">
        <f aca="false">BU147/BR147</f>
        <v>#DIV/0!</v>
      </c>
      <c r="BT147" s="1" t="n">
        <f aca="false">BR147*($B147+H$13)</f>
        <v>0</v>
      </c>
      <c r="BU147" s="33" t="n">
        <f aca="false">IF(ISNUMBER(((BT147/BR147)+H$14+$V147)*BR147),((BT147/BR147)+H$14+$V147)*BR147,0)</f>
        <v>0</v>
      </c>
      <c r="BV147" s="44" t="n">
        <f aca="false">IF(BR147=0,0,bsd(1,BW$27,BS147,$Z147,$W147,$X147,$AE147,0.1))</f>
        <v>0</v>
      </c>
      <c r="BW147" s="44" t="n">
        <f aca="false">IF(BR147=0,0,bsd(2,BW$27,BS147,$Z147,$W147,$X147,$AE147,0.1))</f>
        <v>0</v>
      </c>
      <c r="BX147" s="44" t="n">
        <f aca="false">IF(BR147=0,0,bsd(BW$28,BW$27,BS147,$Z147,$W147,$X147,$AE147,0.1))</f>
        <v>0</v>
      </c>
      <c r="BY147" s="45" t="n">
        <f aca="false">BR147*BV147</f>
        <v>0</v>
      </c>
      <c r="BZ147" s="45" t="n">
        <f aca="false">BR147*BW147</f>
        <v>0</v>
      </c>
      <c r="CA147" s="45" t="n">
        <f aca="false">BR147*BX147</f>
        <v>0</v>
      </c>
    </row>
    <row r="148" customFormat="false" ht="12.75" hidden="false" customHeight="false" outlineLevel="0" collapsed="false">
      <c r="A148" s="48" t="n">
        <f aca="false">DATE(YEAR(A147),MONTH(A147)+1,1)</f>
        <v>40848</v>
      </c>
      <c r="B148" s="40" t="n">
        <f aca="false">VLOOKUP(A148,STRADDLE,5,FALSE())</f>
        <v>3.659</v>
      </c>
      <c r="C148" s="4" t="e">
        <f aca="false">VLOOKUP(A148,STRADDLE,6,FALSE())</f>
        <v>#VALUE!</v>
      </c>
      <c r="D148" s="40" t="n">
        <f aca="false">IF(D$28="nymex",0,VLOOKUP($A148,curvesettle,HLOOKUP(D$28,curvesettle,2,FALSE())))</f>
        <v>0</v>
      </c>
      <c r="E148" s="219" t="n">
        <f aca="false">IF(D$28="NYMEX",$AD148,$AC148)</f>
        <v>-5084</v>
      </c>
      <c r="F148" s="4" t="e">
        <f aca="false">($C148+G148)+B$15</f>
        <v>#DIV/0!</v>
      </c>
      <c r="G148" s="4" t="e">
        <f aca="false">IF(B$16=1,xCalcSkew(A148,H148-AL148,b)/100,0)</f>
        <v>#DIV/0!</v>
      </c>
      <c r="H148" s="41" t="n">
        <f aca="false">IF($B$19=4,$AL148,$B$18)</f>
        <v>2.44</v>
      </c>
      <c r="J148" s="40" t="n">
        <f aca="false">IF(J$28="nymex",0,VLOOKUP($A148,curvesettle,HLOOKUP(J$28,curvesettle,2,FALSE())))</f>
        <v>0</v>
      </c>
      <c r="K148" s="219" t="n">
        <f aca="false">IF(J$28="NYMEX",$AD148,$AC148)</f>
        <v>-5084</v>
      </c>
      <c r="L148" s="220" t="e">
        <f aca="false">($C148+M148)+D$15</f>
        <v>#DIV/0!</v>
      </c>
      <c r="M148" s="4" t="e">
        <f aca="false">IF(D$16=1,xCalcSkew($A148,N148-AW148,b)/100,0)</f>
        <v>#DIV/0!</v>
      </c>
      <c r="N148" s="41" t="n">
        <f aca="false">IF($D$19=4,$AW148,$D$18)</f>
        <v>2.44</v>
      </c>
      <c r="P148" s="40" t="n">
        <f aca="false">IF(P$28="nymex",0,VLOOKUP($A148,curvesettle,HLOOKUP(P$28,curvesettle,2,FALSE())))</f>
        <v>0</v>
      </c>
      <c r="Q148" s="219" t="n">
        <f aca="false">IF(P$28="NYMEX",$AD148,$AC148)</f>
        <v>-5084</v>
      </c>
      <c r="R148" s="220" t="e">
        <f aca="false">($C148+S148)+F$15</f>
        <v>#DIV/0!</v>
      </c>
      <c r="S148" s="4" t="e">
        <f aca="false">IF(F$16=1,xCalcSkew($A148,T148-BH148,b)/100,0)</f>
        <v>#DIV/0!</v>
      </c>
      <c r="T148" s="41" t="n">
        <f aca="false">IF($F$19=4,$BH148,$F$18)</f>
        <v>2.44</v>
      </c>
      <c r="V148" s="40" t="n">
        <f aca="false">IF(V$28="nymex",0,VLOOKUP($A148,curvesettle,HLOOKUP(V$28,curvesettle,2,FALSE())))</f>
        <v>0</v>
      </c>
      <c r="W148" s="219" t="n">
        <f aca="false">IF(V$28="NYMEX",$AD148,$AC148)</f>
        <v>-5084</v>
      </c>
      <c r="X148" s="4" t="e">
        <f aca="false">($C148+Y148)+H$15</f>
        <v>#DIV/0!</v>
      </c>
      <c r="Y148" s="4" t="e">
        <f aca="false">IF(H$16=1,xCalcSkew($A148,Z148-BS148,b)/100,0)</f>
        <v>#DIV/0!</v>
      </c>
      <c r="Z148" s="41" t="n">
        <f aca="false">IF($H$19=4,$BS148,$H$18)</f>
        <v>2.44</v>
      </c>
      <c r="AC148" s="219" t="n">
        <f aca="false">VLOOKUP($A148,expiration,2,FALSE())-$B$2</f>
        <v>-5083</v>
      </c>
      <c r="AD148" s="219" t="n">
        <f aca="false">VLOOKUP($A148,expiration,3,FALSE())-$B$2</f>
        <v>-5084</v>
      </c>
      <c r="AE148" s="4" t="n">
        <f aca="false">VLOOKUP($A148,STRADDLE,15,FALSE())</f>
        <v>0.0589779611251142</v>
      </c>
      <c r="AF148" s="43" t="n">
        <f aca="false">A149-A148</f>
        <v>30</v>
      </c>
      <c r="AI148" s="219"/>
      <c r="AJ148" s="9"/>
      <c r="AK148" s="9" t="n">
        <f aca="false">IF($A148&gt;=AL$25,IF($A148&lt;=AL$26,$AF148,0),0)</f>
        <v>0</v>
      </c>
      <c r="AL148" s="221" t="e">
        <f aca="false">AN148/AK148</f>
        <v>#DIV/0!</v>
      </c>
      <c r="AM148" s="1" t="n">
        <f aca="false">AK148*($B148+B$13)</f>
        <v>0</v>
      </c>
      <c r="AN148" s="33" t="n">
        <f aca="false">IF(ISNUMBER(((AM148/AK148)+B$14+$D148)*AK148),((AM148/AK148)+B$14+$D148)*AK148,0)</f>
        <v>0</v>
      </c>
      <c r="AO148" s="44" t="n">
        <f aca="false">IF(AK148=0,0,bsd(1,AP$27,AL148,$H148,$E148,$F148,$AE148,0.1))</f>
        <v>0</v>
      </c>
      <c r="AP148" s="44" t="n">
        <f aca="false">IF(AK148=0,0,bsd(2,AP$27,AL148,$H148,$E148,$F148,$AE148,0.1))</f>
        <v>0</v>
      </c>
      <c r="AQ148" s="44" t="n">
        <f aca="false">IF(AK148=0,0,bsd(AP$28,AP$27,AL148,$H148,$E148,$F148,$AE148,0.1))</f>
        <v>0</v>
      </c>
      <c r="AR148" s="45" t="n">
        <f aca="false">AK148*AO148</f>
        <v>0</v>
      </c>
      <c r="AS148" s="45" t="n">
        <f aca="false">AK148*AP148</f>
        <v>0</v>
      </c>
      <c r="AT148" s="45" t="n">
        <f aca="false">AK148*AQ148</f>
        <v>0</v>
      </c>
      <c r="AV148" s="9" t="n">
        <f aca="false">IF($A148&gt;=AW$25,IF($A148&lt;=AW$26,$AF148,0),0)</f>
        <v>0</v>
      </c>
      <c r="AW148" s="221" t="e">
        <f aca="false">AY148/AV148</f>
        <v>#DIV/0!</v>
      </c>
      <c r="AX148" s="1" t="n">
        <f aca="false">AV148*($B148+D$13)</f>
        <v>0</v>
      </c>
      <c r="AY148" s="33" t="n">
        <f aca="false">IF(ISNUMBER(((AX148/AV148)+D$14+$J148)*AV148),((AX148/AV148)+D$14+$J148)*AV148,0)</f>
        <v>0</v>
      </c>
      <c r="AZ148" s="44" t="n">
        <f aca="false">IF(AV148=0,0,bsd(1,BA$27,AW148,$N148,$K148,$L148,$AE148,0.1))</f>
        <v>0</v>
      </c>
      <c r="BA148" s="44" t="n">
        <f aca="false">IF(AV148=0,0,bsd(2,BA$27,AW148,$N148,$K148,$L148,$AE148,0.1))</f>
        <v>0</v>
      </c>
      <c r="BB148" s="44" t="n">
        <f aca="false">IF(AV148=0,0,bsd(BA$28,BA$27,AW148,$N148,$K148,$L148,$AE148,0.1))</f>
        <v>0</v>
      </c>
      <c r="BC148" s="45" t="n">
        <f aca="false">AV148*AZ148</f>
        <v>0</v>
      </c>
      <c r="BD148" s="45" t="n">
        <f aca="false">AV148*BA148</f>
        <v>0</v>
      </c>
      <c r="BE148" s="45" t="n">
        <f aca="false">AV148*BB148</f>
        <v>0</v>
      </c>
      <c r="BG148" s="9" t="n">
        <f aca="false">IF($A148&gt;=BH$25,IF($A148&lt;=BH$26,$AF148,0),0)</f>
        <v>0</v>
      </c>
      <c r="BH148" s="221" t="e">
        <f aca="false">BJ148/BG148</f>
        <v>#DIV/0!</v>
      </c>
      <c r="BI148" s="1" t="n">
        <f aca="false">BG148*($B148+F$13)</f>
        <v>0</v>
      </c>
      <c r="BJ148" s="33" t="n">
        <f aca="false">IF(ISNUMBER(((BI148/BG148)+F$14+$P148)*BG148),((BI148/BG148)+F$14+$P148)*BG148,0)</f>
        <v>0</v>
      </c>
      <c r="BK148" s="44" t="n">
        <f aca="false">IF(BG148=0,0,bsd(1,BL$27,BH148,$T148,$Q148,$R148,$AE148,0.1))</f>
        <v>0</v>
      </c>
      <c r="BL148" s="44" t="n">
        <f aca="false">IF(BG148=0,0,bsd(2,BL$27,BH148,$T148,$Q148,$R148,$AE148,0.1))</f>
        <v>0</v>
      </c>
      <c r="BM148" s="44" t="n">
        <f aca="false">IF(BG148=0,0,bsd(BL$28,BL$27,BH148,$T148,$Q148,$R148,$AE148,0.1))</f>
        <v>0</v>
      </c>
      <c r="BN148" s="45" t="n">
        <f aca="false">BG148*BK148</f>
        <v>0</v>
      </c>
      <c r="BO148" s="45" t="n">
        <f aca="false">BG148*BL148</f>
        <v>0</v>
      </c>
      <c r="BP148" s="45" t="n">
        <f aca="false">BG148*BM148</f>
        <v>0</v>
      </c>
      <c r="BR148" s="9" t="n">
        <f aca="false">IF($A148&gt;=BS$25,IF($A148&lt;=BS$26,$AF148,0),0)</f>
        <v>0</v>
      </c>
      <c r="BS148" s="221" t="e">
        <f aca="false">BU148/BR148</f>
        <v>#DIV/0!</v>
      </c>
      <c r="BT148" s="1" t="n">
        <f aca="false">BR148*($B148+H$13)</f>
        <v>0</v>
      </c>
      <c r="BU148" s="33" t="n">
        <f aca="false">IF(ISNUMBER(((BT148/BR148)+H$14+$V148)*BR148),((BT148/BR148)+H$14+$V148)*BR148,0)</f>
        <v>0</v>
      </c>
      <c r="BV148" s="44" t="n">
        <f aca="false">IF(BR148=0,0,bsd(1,BW$27,BS148,$Z148,$W148,$X148,$AE148,0.1))</f>
        <v>0</v>
      </c>
      <c r="BW148" s="44" t="n">
        <f aca="false">IF(BR148=0,0,bsd(2,BW$27,BS148,$Z148,$W148,$X148,$AE148,0.1))</f>
        <v>0</v>
      </c>
      <c r="BX148" s="44" t="n">
        <f aca="false">IF(BR148=0,0,bsd(BW$28,BW$27,BS148,$Z148,$W148,$X148,$AE148,0.1))</f>
        <v>0</v>
      </c>
      <c r="BY148" s="45" t="n">
        <f aca="false">BR148*BV148</f>
        <v>0</v>
      </c>
      <c r="BZ148" s="45" t="n">
        <f aca="false">BR148*BW148</f>
        <v>0</v>
      </c>
      <c r="CA148" s="45" t="n">
        <f aca="false">BR148*BX148</f>
        <v>0</v>
      </c>
    </row>
    <row r="149" customFormat="false" ht="12.75" hidden="false" customHeight="false" outlineLevel="0" collapsed="false">
      <c r="A149" s="48" t="n">
        <f aca="false">DATE(YEAR(A148),MONTH(A148)+1,1)</f>
        <v>40878</v>
      </c>
      <c r="B149" s="40" t="n">
        <f aca="false">VLOOKUP(A149,STRADDLE,5,FALSE())</f>
        <v>3.794</v>
      </c>
      <c r="C149" s="4" t="e">
        <f aca="false">VLOOKUP(A149,STRADDLE,6,FALSE())</f>
        <v>#VALUE!</v>
      </c>
      <c r="D149" s="40" t="n">
        <f aca="false">IF(D$28="nymex",0,VLOOKUP($A149,curvesettle,HLOOKUP(D$28,curvesettle,2,FALSE())))</f>
        <v>0</v>
      </c>
      <c r="E149" s="219" t="n">
        <f aca="false">IF(D$28="NYMEX",$AD149,$AC149)</f>
        <v>-5054</v>
      </c>
      <c r="F149" s="4" t="e">
        <f aca="false">($C149+G149)+B$15</f>
        <v>#DIV/0!</v>
      </c>
      <c r="G149" s="4" t="e">
        <f aca="false">IF(B$16=1,xCalcSkew(A149,H149-AL149,b)/100,0)</f>
        <v>#DIV/0!</v>
      </c>
      <c r="H149" s="41" t="n">
        <f aca="false">IF($B$19=4,$AL149,$B$18)</f>
        <v>2.44</v>
      </c>
      <c r="J149" s="40" t="n">
        <f aca="false">IF(J$28="nymex",0,VLOOKUP($A149,curvesettle,HLOOKUP(J$28,curvesettle,2,FALSE())))</f>
        <v>0</v>
      </c>
      <c r="K149" s="219" t="n">
        <f aca="false">IF(J$28="NYMEX",$AD149,$AC149)</f>
        <v>-5054</v>
      </c>
      <c r="L149" s="220" t="e">
        <f aca="false">($C149+M149)+D$15</f>
        <v>#DIV/0!</v>
      </c>
      <c r="M149" s="4" t="e">
        <f aca="false">IF(D$16=1,xCalcSkew($A149,N149-AW149,b)/100,0)</f>
        <v>#DIV/0!</v>
      </c>
      <c r="N149" s="41" t="n">
        <f aca="false">IF($D$19=4,$AW149,$D$18)</f>
        <v>2.44</v>
      </c>
      <c r="P149" s="40" t="n">
        <f aca="false">IF(P$28="nymex",0,VLOOKUP($A149,curvesettle,HLOOKUP(P$28,curvesettle,2,FALSE())))</f>
        <v>0</v>
      </c>
      <c r="Q149" s="219" t="n">
        <f aca="false">IF(P$28="NYMEX",$AD149,$AC149)</f>
        <v>-5054</v>
      </c>
      <c r="R149" s="220" t="e">
        <f aca="false">($C149+S149)+F$15</f>
        <v>#DIV/0!</v>
      </c>
      <c r="S149" s="4" t="e">
        <f aca="false">IF(F$16=1,xCalcSkew($A149,T149-BH149,b)/100,0)</f>
        <v>#DIV/0!</v>
      </c>
      <c r="T149" s="41" t="n">
        <f aca="false">IF($F$19=4,$BH149,$F$18)</f>
        <v>2.44</v>
      </c>
      <c r="V149" s="40" t="n">
        <f aca="false">IF(V$28="nymex",0,VLOOKUP($A149,curvesettle,HLOOKUP(V$28,curvesettle,2,FALSE())))</f>
        <v>0</v>
      </c>
      <c r="W149" s="219" t="n">
        <f aca="false">IF(V$28="NYMEX",$AD149,$AC149)</f>
        <v>-5054</v>
      </c>
      <c r="X149" s="4" t="e">
        <f aca="false">($C149+Y149)+H$15</f>
        <v>#DIV/0!</v>
      </c>
      <c r="Y149" s="4" t="e">
        <f aca="false">IF(H$16=1,xCalcSkew($A149,Z149-BS149,b)/100,0)</f>
        <v>#DIV/0!</v>
      </c>
      <c r="Z149" s="41" t="n">
        <f aca="false">IF($H$19=4,$BS149,$H$18)</f>
        <v>2.44</v>
      </c>
      <c r="AC149" s="219" t="n">
        <f aca="false">VLOOKUP($A149,expiration,2,FALSE())-$B$2</f>
        <v>-5051</v>
      </c>
      <c r="AD149" s="219" t="n">
        <f aca="false">VLOOKUP($A149,expiration,3,FALSE())-$B$2</f>
        <v>-5054</v>
      </c>
      <c r="AE149" s="4" t="n">
        <f aca="false">VLOOKUP($A149,STRADDLE,15,FALSE())</f>
        <v>0.0590814596240108</v>
      </c>
      <c r="AF149" s="43" t="e">
        <f aca="false">#REF!-A149</f>
        <v>#REF!</v>
      </c>
      <c r="AI149" s="219"/>
      <c r="AJ149" s="9"/>
      <c r="AK149" s="9" t="n">
        <f aca="false">IF($A149&gt;=AL$25,IF($A149&lt;=AL$26,$AF149,0),0)</f>
        <v>0</v>
      </c>
      <c r="AL149" s="221" t="e">
        <f aca="false">AN149/AK149</f>
        <v>#DIV/0!</v>
      </c>
      <c r="AM149" s="1" t="n">
        <f aca="false">AK149*($B149+B$13)</f>
        <v>0</v>
      </c>
      <c r="AN149" s="33" t="n">
        <f aca="false">IF(ISNUMBER(((AM149/AK149)+B$14+$D149)*AK149),((AM149/AK149)+B$14+$D149)*AK149,0)</f>
        <v>0</v>
      </c>
      <c r="AO149" s="44" t="n">
        <f aca="false">IF(AK149=0,0,bsd(1,AP$27,AL149,$H149,$E149,$F149,$AE149,0.1))</f>
        <v>0</v>
      </c>
      <c r="AP149" s="44" t="n">
        <f aca="false">IF(AK149=0,0,bsd(2,AP$27,AL149,$H149,$E149,$F149,$AE149,0.1))</f>
        <v>0</v>
      </c>
      <c r="AQ149" s="44" t="n">
        <f aca="false">IF(AK149=0,0,bsd(AP$28,AP$27,AL149,$H149,$E149,$F149,$AE149,0.1))</f>
        <v>0</v>
      </c>
      <c r="AR149" s="45" t="n">
        <f aca="false">AK149*AO149</f>
        <v>0</v>
      </c>
      <c r="AS149" s="45" t="n">
        <f aca="false">AK149*AP149</f>
        <v>0</v>
      </c>
      <c r="AT149" s="45" t="n">
        <f aca="false">AK149*AQ149</f>
        <v>0</v>
      </c>
      <c r="AV149" s="9" t="n">
        <f aca="false">IF($A149&gt;=AW$25,IF($A149&lt;=AW$26,$AF149,0),0)</f>
        <v>0</v>
      </c>
      <c r="AW149" s="221" t="e">
        <f aca="false">AY149/AV149</f>
        <v>#DIV/0!</v>
      </c>
      <c r="AX149" s="1" t="n">
        <f aca="false">AV149*($B149+D$13)</f>
        <v>0</v>
      </c>
      <c r="AY149" s="33" t="n">
        <f aca="false">IF(ISNUMBER(((AX149/AV149)+D$14+$J149)*AV149),((AX149/AV149)+D$14+$J149)*AV149,0)</f>
        <v>0</v>
      </c>
      <c r="AZ149" s="44" t="n">
        <f aca="false">IF(AV149=0,0,bsd(1,BA$27,AW149,$N149,$K149,$L149,$AE149,0.1))</f>
        <v>0</v>
      </c>
      <c r="BA149" s="44" t="n">
        <f aca="false">IF(AV149=0,0,bsd(2,BA$27,AW149,$N149,$K149,$L149,$AE149,0.1))</f>
        <v>0</v>
      </c>
      <c r="BB149" s="44" t="n">
        <f aca="false">IF(AV149=0,0,bsd(BA$28,BA$27,AW149,$N149,$K149,$L149,$AE149,0.1))</f>
        <v>0</v>
      </c>
      <c r="BC149" s="45" t="n">
        <f aca="false">AV149*AZ149</f>
        <v>0</v>
      </c>
      <c r="BD149" s="45" t="n">
        <f aca="false">AV149*BA149</f>
        <v>0</v>
      </c>
      <c r="BE149" s="45" t="n">
        <f aca="false">AV149*BB149</f>
        <v>0</v>
      </c>
      <c r="BG149" s="9" t="n">
        <f aca="false">IF($A149&gt;=BH$25,IF($A149&lt;=BH$26,$AF149,0),0)</f>
        <v>0</v>
      </c>
      <c r="BH149" s="221" t="e">
        <f aca="false">BJ149/BG149</f>
        <v>#DIV/0!</v>
      </c>
      <c r="BI149" s="1" t="n">
        <f aca="false">BG149*($B149+F$13)</f>
        <v>0</v>
      </c>
      <c r="BJ149" s="33" t="n">
        <f aca="false">IF(ISNUMBER(((BI149/BG149)+F$14+$P149)*BG149),((BI149/BG149)+F$14+$P149)*BG149,0)</f>
        <v>0</v>
      </c>
      <c r="BK149" s="44" t="n">
        <f aca="false">IF(BG149=0,0,bsd(1,BL$27,BH149,$T149,$Q149,$R149,$AE149,0.1))</f>
        <v>0</v>
      </c>
      <c r="BL149" s="44" t="n">
        <f aca="false">IF(BG149=0,0,bsd(2,BL$27,BH149,$T149,$Q149,$R149,$AE149,0.1))</f>
        <v>0</v>
      </c>
      <c r="BM149" s="44" t="n">
        <f aca="false">IF(BG149=0,0,bsd(BL$28,BL$27,BH149,$T149,$Q149,$R149,$AE149,0.1))</f>
        <v>0</v>
      </c>
      <c r="BN149" s="45" t="n">
        <f aca="false">BG149*BK149</f>
        <v>0</v>
      </c>
      <c r="BO149" s="45" t="n">
        <f aca="false">BG149*BL149</f>
        <v>0</v>
      </c>
      <c r="BP149" s="45" t="n">
        <f aca="false">BG149*BM149</f>
        <v>0</v>
      </c>
      <c r="BR149" s="9" t="n">
        <f aca="false">IF($A149&gt;=BS$25,IF($A149&lt;=BS$26,$AF149,0),0)</f>
        <v>0</v>
      </c>
      <c r="BS149" s="221" t="e">
        <f aca="false">BU149/BR149</f>
        <v>#DIV/0!</v>
      </c>
      <c r="BT149" s="1" t="n">
        <f aca="false">BR149*($B149+H$13)</f>
        <v>0</v>
      </c>
      <c r="BU149" s="33" t="n">
        <f aca="false">IF(ISNUMBER(((BT149/BR149)+H$14+$V149)*BR149),((BT149/BR149)+H$14+$V149)*BR149,0)</f>
        <v>0</v>
      </c>
      <c r="BV149" s="44" t="n">
        <f aca="false">IF(BR149=0,0,bsd(1,BW$27,BS149,$Z149,$W149,$X149,$AE149,0.1))</f>
        <v>0</v>
      </c>
      <c r="BW149" s="44" t="n">
        <f aca="false">IF(BR149=0,0,bsd(2,BW$27,BS149,$Z149,$W149,$X149,$AE149,0.1))</f>
        <v>0</v>
      </c>
      <c r="BX149" s="44" t="n">
        <f aca="false">IF(BR149=0,0,bsd(BW$28,BW$27,BS149,$Z149,$W149,$X149,$AE149,0.1))</f>
        <v>0</v>
      </c>
      <c r="BY149" s="45" t="n">
        <f aca="false">BR149*BV149</f>
        <v>0</v>
      </c>
      <c r="BZ149" s="45" t="n">
        <f aca="false">BR149*BW149</f>
        <v>0</v>
      </c>
      <c r="CA149" s="45" t="n">
        <f aca="false">BR149*BX149</f>
        <v>0</v>
      </c>
    </row>
    <row r="150" customFormat="false" ht="12.75" hidden="false" customHeight="false" outlineLevel="0" collapsed="false">
      <c r="A150" s="48" t="e">
        <f aca="false">DATE(YEAR(#REF!),MONTH(#REF!)+1,1)</f>
        <v>#REF!</v>
      </c>
      <c r="B150" s="49"/>
      <c r="C150" s="50"/>
      <c r="E150" s="46"/>
      <c r="F150" s="46"/>
      <c r="G150" s="46"/>
      <c r="H150" s="222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1"/>
      <c r="AK150" s="10"/>
      <c r="AL150" s="192"/>
      <c r="AV150" s="10"/>
      <c r="AW150" s="192"/>
      <c r="BG150" s="10"/>
      <c r="BH150" s="192"/>
      <c r="BR150" s="10"/>
      <c r="BS150" s="192"/>
    </row>
    <row r="151" customFormat="false" ht="12.75" hidden="false" customHeight="false" outlineLevel="0" collapsed="false">
      <c r="A151" s="51"/>
      <c r="B151" s="49"/>
      <c r="C151" s="50"/>
      <c r="E151" s="46"/>
      <c r="F151" s="46"/>
      <c r="G151" s="46"/>
      <c r="H151" s="222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1"/>
      <c r="AK151" s="10"/>
      <c r="AL151" s="192"/>
      <c r="AV151" s="10"/>
      <c r="AW151" s="192"/>
      <c r="BG151" s="10"/>
      <c r="BH151" s="192"/>
      <c r="BR151" s="10"/>
      <c r="BS151" s="192"/>
    </row>
    <row r="152" customFormat="false" ht="12.75" hidden="false" customHeight="false" outlineLevel="0" collapsed="false">
      <c r="A152" s="51"/>
      <c r="B152" s="49"/>
      <c r="C152" s="50"/>
      <c r="E152" s="46"/>
      <c r="F152" s="46"/>
      <c r="G152" s="46"/>
      <c r="H152" s="222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1"/>
      <c r="AK152" s="10"/>
      <c r="AL152" s="192"/>
      <c r="AV152" s="10"/>
      <c r="AW152" s="192"/>
      <c r="BG152" s="10"/>
      <c r="BH152" s="192"/>
      <c r="BR152" s="10"/>
      <c r="BS152" s="192"/>
    </row>
    <row r="153" customFormat="false" ht="12.75" hidden="false" customHeight="false" outlineLevel="0" collapsed="false">
      <c r="A153" s="51"/>
      <c r="B153" s="49"/>
      <c r="C153" s="50"/>
      <c r="E153" s="46"/>
      <c r="F153" s="46"/>
      <c r="G153" s="46"/>
      <c r="H153" s="222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1"/>
      <c r="AK153" s="10"/>
      <c r="AL153" s="192"/>
      <c r="AV153" s="10"/>
      <c r="AW153" s="192"/>
      <c r="BG153" s="10"/>
      <c r="BH153" s="192"/>
      <c r="BR153" s="10"/>
      <c r="BS153" s="192"/>
    </row>
    <row r="154" customFormat="false" ht="12.75" hidden="false" customHeight="false" outlineLevel="0" collapsed="false">
      <c r="A154" s="51"/>
      <c r="B154" s="49"/>
      <c r="C154" s="50"/>
      <c r="E154" s="46"/>
      <c r="F154" s="46"/>
      <c r="G154" s="46"/>
      <c r="H154" s="222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1"/>
      <c r="AK154" s="10"/>
      <c r="AL154" s="192"/>
      <c r="AV154" s="10"/>
      <c r="AW154" s="192"/>
      <c r="BG154" s="10"/>
      <c r="BH154" s="192"/>
      <c r="BR154" s="10"/>
      <c r="BS154" s="192"/>
    </row>
    <row r="155" customFormat="false" ht="12.75" hidden="false" customHeight="false" outlineLevel="0" collapsed="false">
      <c r="A155" s="51"/>
      <c r="B155" s="49"/>
      <c r="C155" s="50"/>
      <c r="E155" s="46"/>
      <c r="F155" s="46"/>
      <c r="G155" s="46"/>
      <c r="H155" s="222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1"/>
      <c r="AK155" s="10"/>
      <c r="AL155" s="192"/>
      <c r="AV155" s="10"/>
      <c r="AW155" s="192"/>
      <c r="BG155" s="10"/>
      <c r="BH155" s="192"/>
      <c r="BR155" s="10"/>
      <c r="BS155" s="192"/>
    </row>
    <row r="156" customFormat="false" ht="12.75" hidden="false" customHeight="false" outlineLevel="0" collapsed="false">
      <c r="A156" s="51"/>
      <c r="B156" s="49"/>
      <c r="C156" s="50"/>
      <c r="E156" s="46"/>
      <c r="F156" s="46"/>
      <c r="G156" s="46"/>
      <c r="H156" s="222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1"/>
      <c r="AK156" s="10"/>
      <c r="AL156" s="192"/>
      <c r="AV156" s="10"/>
      <c r="AW156" s="192"/>
      <c r="BG156" s="10"/>
      <c r="BH156" s="192"/>
      <c r="BR156" s="10"/>
      <c r="BS156" s="192"/>
    </row>
    <row r="157" customFormat="false" ht="12.75" hidden="false" customHeight="false" outlineLevel="0" collapsed="false">
      <c r="A157" s="51"/>
      <c r="B157" s="49"/>
      <c r="C157" s="50"/>
      <c r="E157" s="46"/>
      <c r="F157" s="46"/>
      <c r="G157" s="46"/>
      <c r="H157" s="222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1"/>
      <c r="AK157" s="10"/>
      <c r="AL157" s="192"/>
      <c r="AV157" s="10"/>
      <c r="AW157" s="192"/>
      <c r="BG157" s="10"/>
      <c r="BH157" s="192"/>
      <c r="BR157" s="10"/>
      <c r="BS157" s="192"/>
    </row>
    <row r="158" customFormat="false" ht="12.75" hidden="false" customHeight="false" outlineLevel="0" collapsed="false">
      <c r="A158" s="51"/>
      <c r="B158" s="49"/>
      <c r="C158" s="50"/>
      <c r="E158" s="46"/>
      <c r="F158" s="46"/>
      <c r="G158" s="46"/>
      <c r="H158" s="222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1"/>
      <c r="AK158" s="10"/>
      <c r="AL158" s="192"/>
      <c r="AV158" s="10"/>
      <c r="AW158" s="192"/>
      <c r="BG158" s="10"/>
      <c r="BH158" s="192"/>
      <c r="BR158" s="10"/>
      <c r="BS158" s="192"/>
    </row>
    <row r="159" customFormat="false" ht="12.75" hidden="false" customHeight="false" outlineLevel="0" collapsed="false">
      <c r="A159" s="51"/>
      <c r="B159" s="49"/>
      <c r="C159" s="50"/>
      <c r="E159" s="46"/>
      <c r="F159" s="46"/>
      <c r="G159" s="46"/>
      <c r="H159" s="222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1"/>
      <c r="AK159" s="10"/>
      <c r="AL159" s="192"/>
      <c r="AV159" s="10"/>
      <c r="AW159" s="192"/>
      <c r="BG159" s="10"/>
      <c r="BH159" s="192"/>
      <c r="BR159" s="10"/>
      <c r="BS159" s="192"/>
    </row>
    <row r="160" customFormat="false" ht="12.75" hidden="false" customHeight="false" outlineLevel="0" collapsed="false">
      <c r="A160" s="51"/>
      <c r="B160" s="49"/>
      <c r="C160" s="50"/>
      <c r="E160" s="46"/>
      <c r="F160" s="46"/>
      <c r="G160" s="46"/>
      <c r="H160" s="222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1"/>
      <c r="AK160" s="10"/>
      <c r="AL160" s="192"/>
      <c r="AV160" s="10"/>
      <c r="AW160" s="192"/>
      <c r="BG160" s="10"/>
      <c r="BH160" s="192"/>
      <c r="BR160" s="10"/>
      <c r="BS160" s="192"/>
    </row>
    <row r="161" customFormat="false" ht="12.75" hidden="false" customHeight="false" outlineLevel="0" collapsed="false">
      <c r="A161" s="52"/>
      <c r="E161" s="22"/>
      <c r="F161" s="22"/>
      <c r="G161" s="22"/>
      <c r="H161" s="222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1"/>
      <c r="AK161" s="10"/>
      <c r="AL161" s="192"/>
      <c r="AV161" s="10"/>
      <c r="AW161" s="192"/>
      <c r="BG161" s="10"/>
      <c r="BH161" s="192"/>
      <c r="BR161" s="10"/>
      <c r="BS161" s="192"/>
    </row>
    <row r="162" customFormat="false" ht="12.75" hidden="false" customHeight="false" outlineLevel="0" collapsed="false">
      <c r="A162" s="51"/>
      <c r="B162" s="49"/>
      <c r="C162" s="50"/>
      <c r="E162" s="46"/>
      <c r="F162" s="46"/>
      <c r="G162" s="46"/>
      <c r="H162" s="222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1"/>
      <c r="AK162" s="10"/>
      <c r="AL162" s="192"/>
      <c r="AV162" s="10"/>
      <c r="AW162" s="192"/>
      <c r="BG162" s="10"/>
      <c r="BH162" s="192"/>
      <c r="BR162" s="10"/>
      <c r="BS162" s="192"/>
    </row>
    <row r="163" customFormat="false" ht="12.75" hidden="false" customHeight="false" outlineLevel="0" collapsed="false">
      <c r="B163" s="51"/>
      <c r="C163" s="53"/>
      <c r="D163" s="54"/>
      <c r="E163" s="55"/>
      <c r="F163" s="55"/>
      <c r="G163" s="55"/>
      <c r="H163" s="46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  <c r="W163" s="223"/>
      <c r="X163" s="223"/>
      <c r="Y163" s="223"/>
      <c r="Z163" s="223"/>
      <c r="AA163" s="223"/>
      <c r="AB163" s="223"/>
      <c r="AC163" s="223"/>
      <c r="AD163" s="223"/>
      <c r="AE163" s="10"/>
      <c r="AF163" s="55"/>
      <c r="AG163" s="55"/>
      <c r="AH163" s="10"/>
      <c r="AI163" s="10"/>
      <c r="AJ163" s="11"/>
      <c r="AK163" s="10"/>
      <c r="AL163" s="192"/>
      <c r="AV163" s="10"/>
      <c r="AW163" s="192"/>
      <c r="BG163" s="10"/>
      <c r="BH163" s="192"/>
      <c r="BR163" s="10"/>
      <c r="BS163" s="192"/>
    </row>
    <row r="164" customFormat="false" ht="12.75" hidden="false" customHeight="false" outlineLevel="0" collapsed="false">
      <c r="B164" s="51"/>
      <c r="C164" s="53"/>
      <c r="D164" s="54"/>
      <c r="E164" s="55"/>
      <c r="F164" s="55"/>
      <c r="G164" s="55"/>
      <c r="H164" s="46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  <c r="W164" s="223"/>
      <c r="X164" s="223"/>
      <c r="Y164" s="223"/>
      <c r="Z164" s="223"/>
      <c r="AA164" s="223"/>
      <c r="AB164" s="223"/>
      <c r="AC164" s="223"/>
      <c r="AD164" s="223"/>
      <c r="AE164" s="10"/>
      <c r="AF164" s="55"/>
      <c r="AG164" s="55"/>
      <c r="AH164" s="10"/>
      <c r="AI164" s="10"/>
      <c r="AJ164" s="11"/>
      <c r="AK164" s="10"/>
      <c r="AL164" s="192"/>
      <c r="AV164" s="10"/>
      <c r="AW164" s="192"/>
      <c r="BG164" s="10"/>
      <c r="BH164" s="192"/>
      <c r="BR164" s="10"/>
      <c r="BS164" s="192"/>
    </row>
    <row r="165" customFormat="false" ht="12.75" hidden="false" customHeight="false" outlineLevel="0" collapsed="false">
      <c r="B165" s="51"/>
      <c r="C165" s="53"/>
      <c r="D165" s="54"/>
      <c r="E165" s="55"/>
      <c r="F165" s="55"/>
      <c r="G165" s="55"/>
      <c r="H165" s="46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  <c r="W165" s="223"/>
      <c r="X165" s="223"/>
      <c r="Y165" s="223"/>
      <c r="Z165" s="223"/>
      <c r="AA165" s="223"/>
      <c r="AB165" s="223"/>
      <c r="AC165" s="223"/>
      <c r="AD165" s="223"/>
      <c r="AE165" s="10"/>
      <c r="AF165" s="55"/>
      <c r="AG165" s="55"/>
      <c r="AH165" s="10"/>
      <c r="AI165" s="10"/>
      <c r="AJ165" s="11"/>
      <c r="AK165" s="10"/>
      <c r="AL165" s="192"/>
      <c r="AV165" s="10"/>
      <c r="AW165" s="192"/>
      <c r="BG165" s="10"/>
      <c r="BH165" s="192"/>
      <c r="BR165" s="10"/>
      <c r="BS165" s="192"/>
    </row>
    <row r="166" customFormat="false" ht="12.75" hidden="false" customHeight="false" outlineLevel="0" collapsed="false">
      <c r="B166" s="51"/>
      <c r="C166" s="53"/>
      <c r="D166" s="54"/>
      <c r="E166" s="55"/>
      <c r="F166" s="55"/>
      <c r="G166" s="55"/>
      <c r="H166" s="46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  <c r="W166" s="223"/>
      <c r="X166" s="223"/>
      <c r="Y166" s="223"/>
      <c r="Z166" s="223"/>
      <c r="AA166" s="223"/>
      <c r="AB166" s="223"/>
      <c r="AC166" s="223"/>
      <c r="AD166" s="223"/>
      <c r="AE166" s="10"/>
      <c r="AF166" s="55"/>
      <c r="AG166" s="55"/>
      <c r="AH166" s="10"/>
      <c r="AI166" s="10"/>
      <c r="AJ166" s="11"/>
      <c r="AK166" s="10"/>
      <c r="AL166" s="192"/>
      <c r="AV166" s="10"/>
      <c r="AW166" s="192"/>
      <c r="BG166" s="10"/>
      <c r="BH166" s="192"/>
      <c r="BR166" s="10"/>
      <c r="BS166" s="192"/>
    </row>
    <row r="167" customFormat="false" ht="12.75" hidden="false" customHeight="false" outlineLevel="0" collapsed="false">
      <c r="B167" s="51"/>
      <c r="C167" s="53"/>
      <c r="D167" s="54"/>
      <c r="E167" s="55"/>
      <c r="F167" s="55"/>
      <c r="G167" s="55"/>
      <c r="H167" s="46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  <c r="W167" s="223"/>
      <c r="X167" s="223"/>
      <c r="Y167" s="223"/>
      <c r="Z167" s="223"/>
      <c r="AA167" s="223"/>
      <c r="AB167" s="223"/>
      <c r="AC167" s="223"/>
      <c r="AD167" s="223"/>
      <c r="AE167" s="10"/>
      <c r="AF167" s="55"/>
      <c r="AG167" s="55"/>
      <c r="AH167" s="10"/>
      <c r="AI167" s="10"/>
      <c r="AJ167" s="11"/>
      <c r="AK167" s="10"/>
      <c r="AL167" s="192"/>
      <c r="AV167" s="10"/>
      <c r="AW167" s="192"/>
      <c r="BG167" s="10"/>
      <c r="BH167" s="192"/>
      <c r="BR167" s="10"/>
      <c r="BS167" s="192"/>
    </row>
    <row r="168" customFormat="false" ht="12.75" hidden="false" customHeight="false" outlineLevel="0" collapsed="false">
      <c r="B168" s="51"/>
      <c r="C168" s="53"/>
      <c r="D168" s="54"/>
      <c r="E168" s="55"/>
      <c r="F168" s="55"/>
      <c r="G168" s="55"/>
      <c r="H168" s="46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  <c r="W168" s="223"/>
      <c r="X168" s="223"/>
      <c r="Y168" s="223"/>
      <c r="Z168" s="223"/>
      <c r="AA168" s="223"/>
      <c r="AB168" s="223"/>
      <c r="AC168" s="223"/>
      <c r="AD168" s="223"/>
      <c r="AE168" s="10"/>
      <c r="AF168" s="55"/>
      <c r="AG168" s="55"/>
      <c r="AH168" s="10"/>
      <c r="AI168" s="10"/>
      <c r="AJ168" s="11"/>
      <c r="AK168" s="10"/>
      <c r="AL168" s="192"/>
      <c r="AV168" s="10"/>
      <c r="AW168" s="192"/>
      <c r="BG168" s="10"/>
      <c r="BH168" s="192"/>
      <c r="BR168" s="10"/>
      <c r="BS168" s="192"/>
    </row>
    <row r="169" customFormat="false" ht="12.75" hidden="false" customHeight="false" outlineLevel="0" collapsed="false">
      <c r="B169" s="51"/>
      <c r="C169" s="53"/>
      <c r="D169" s="54"/>
      <c r="E169" s="55"/>
      <c r="F169" s="55"/>
      <c r="G169" s="55"/>
      <c r="H169" s="46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10"/>
      <c r="AF169" s="55"/>
      <c r="AG169" s="55"/>
      <c r="AH169" s="10"/>
      <c r="AI169" s="10"/>
      <c r="AJ169" s="11"/>
      <c r="AK169" s="10"/>
      <c r="AL169" s="192"/>
      <c r="AV169" s="10"/>
      <c r="AW169" s="192"/>
      <c r="BG169" s="10"/>
      <c r="BH169" s="192"/>
      <c r="BR169" s="10"/>
      <c r="BS169" s="192"/>
    </row>
    <row r="170" customFormat="false" ht="12.75" hidden="false" customHeight="false" outlineLevel="0" collapsed="false">
      <c r="B170" s="51"/>
      <c r="C170" s="53"/>
      <c r="D170" s="54"/>
      <c r="E170" s="55"/>
      <c r="F170" s="55"/>
      <c r="G170" s="55"/>
      <c r="H170" s="46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10"/>
      <c r="AF170" s="55"/>
      <c r="AG170" s="55"/>
      <c r="AH170" s="10"/>
      <c r="AI170" s="10"/>
      <c r="AJ170" s="11"/>
      <c r="AK170" s="10"/>
      <c r="AL170" s="192"/>
      <c r="AV170" s="10"/>
      <c r="AW170" s="192"/>
      <c r="BG170" s="10"/>
      <c r="BH170" s="192"/>
      <c r="BR170" s="10"/>
      <c r="BS170" s="192"/>
    </row>
    <row r="171" customFormat="false" ht="12.75" hidden="false" customHeight="false" outlineLevel="0" collapsed="false">
      <c r="B171" s="51"/>
      <c r="C171" s="53"/>
      <c r="D171" s="54"/>
      <c r="E171" s="55"/>
      <c r="F171" s="55"/>
      <c r="G171" s="55"/>
      <c r="H171" s="46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10"/>
      <c r="AF171" s="55"/>
      <c r="AG171" s="55"/>
      <c r="AH171" s="10"/>
      <c r="AI171" s="10"/>
      <c r="AJ171" s="11"/>
      <c r="AK171" s="10"/>
      <c r="AL171" s="192"/>
      <c r="AV171" s="10"/>
      <c r="AW171" s="192"/>
      <c r="BG171" s="10"/>
      <c r="BH171" s="192"/>
      <c r="BR171" s="10"/>
      <c r="BS171" s="192"/>
    </row>
    <row r="172" customFormat="false" ht="12.75" hidden="false" customHeight="false" outlineLevel="0" collapsed="false">
      <c r="B172" s="51"/>
      <c r="C172" s="53"/>
      <c r="D172" s="54"/>
      <c r="E172" s="55"/>
      <c r="F172" s="55"/>
      <c r="G172" s="55"/>
      <c r="H172" s="46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10"/>
      <c r="AF172" s="55"/>
      <c r="AG172" s="55"/>
      <c r="AH172" s="10"/>
      <c r="AI172" s="10"/>
      <c r="AJ172" s="11"/>
      <c r="AK172" s="10"/>
      <c r="AL172" s="192"/>
      <c r="AV172" s="10"/>
      <c r="AW172" s="192"/>
      <c r="BG172" s="10"/>
      <c r="BH172" s="192"/>
      <c r="BR172" s="10"/>
      <c r="BS172" s="192"/>
    </row>
    <row r="173" customFormat="false" ht="12.75" hidden="false" customHeight="false" outlineLevel="0" collapsed="false">
      <c r="B173" s="51"/>
      <c r="C173" s="53"/>
      <c r="D173" s="54"/>
      <c r="E173" s="55"/>
      <c r="F173" s="55"/>
      <c r="G173" s="55"/>
      <c r="H173" s="46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  <c r="AA173" s="223"/>
      <c r="AB173" s="223"/>
      <c r="AC173" s="223"/>
      <c r="AD173" s="223"/>
      <c r="AE173" s="10"/>
      <c r="AF173" s="55"/>
      <c r="AG173" s="55"/>
      <c r="AH173" s="10"/>
      <c r="AI173" s="10"/>
      <c r="AJ173" s="11"/>
      <c r="AK173" s="10"/>
      <c r="AL173" s="192"/>
      <c r="AV173" s="10"/>
      <c r="AW173" s="192"/>
      <c r="BG173" s="10"/>
      <c r="BH173" s="192"/>
      <c r="BR173" s="10"/>
      <c r="BS173" s="192"/>
    </row>
    <row r="174" customFormat="false" ht="12.75" hidden="false" customHeight="false" outlineLevel="0" collapsed="false">
      <c r="B174" s="51"/>
      <c r="C174" s="53"/>
      <c r="D174" s="54"/>
      <c r="E174" s="55"/>
      <c r="F174" s="55"/>
      <c r="G174" s="55"/>
      <c r="H174" s="46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10"/>
      <c r="AF174" s="55"/>
      <c r="AG174" s="55"/>
      <c r="AH174" s="10"/>
      <c r="AI174" s="10"/>
      <c r="AJ174" s="11"/>
      <c r="AK174" s="10"/>
      <c r="AL174" s="192"/>
      <c r="AV174" s="10"/>
      <c r="AW174" s="192"/>
      <c r="BG174" s="10"/>
      <c r="BH174" s="192"/>
      <c r="BR174" s="10"/>
      <c r="BS174" s="192"/>
    </row>
    <row r="175" customFormat="false" ht="13.5" hidden="false" customHeight="false" outlineLevel="0" collapsed="false">
      <c r="B175" s="51"/>
      <c r="C175" s="53"/>
      <c r="D175" s="56"/>
      <c r="E175" s="55"/>
      <c r="F175" s="55"/>
      <c r="G175" s="55"/>
      <c r="H175" s="46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10"/>
      <c r="AF175" s="10"/>
      <c r="AG175" s="10"/>
      <c r="AH175" s="10"/>
      <c r="AI175" s="10"/>
      <c r="AJ175" s="11"/>
      <c r="AK175" s="10"/>
      <c r="AL175" s="192"/>
      <c r="AV175" s="10"/>
      <c r="AW175" s="192"/>
      <c r="BG175" s="10"/>
      <c r="BH175" s="192"/>
      <c r="BR175" s="10"/>
      <c r="BS175" s="192"/>
    </row>
    <row r="176" customFormat="false" ht="12.75" hidden="false" customHeight="false" outlineLevel="0" collapsed="false">
      <c r="B176" s="51"/>
      <c r="C176" s="53"/>
      <c r="D176" s="57"/>
      <c r="E176" s="55"/>
      <c r="F176" s="55"/>
      <c r="G176" s="55"/>
      <c r="H176" s="46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10"/>
      <c r="AF176" s="10"/>
      <c r="AG176" s="10"/>
      <c r="AH176" s="10"/>
      <c r="AI176" s="10"/>
      <c r="AJ176" s="11"/>
      <c r="AK176" s="10"/>
      <c r="AL176" s="192"/>
      <c r="AV176" s="10"/>
      <c r="AW176" s="192"/>
      <c r="BG176" s="10"/>
      <c r="BH176" s="192"/>
      <c r="BR176" s="10"/>
      <c r="BS176" s="192"/>
    </row>
    <row r="177" customFormat="false" ht="13.5" hidden="false" customHeight="false" outlineLevel="0" collapsed="false">
      <c r="B177" s="51"/>
      <c r="C177" s="53"/>
      <c r="D177" s="58"/>
      <c r="E177" s="55"/>
      <c r="F177" s="55"/>
      <c r="G177" s="55"/>
      <c r="H177" s="46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  <c r="W177" s="223"/>
      <c r="X177" s="223"/>
      <c r="Y177" s="223"/>
      <c r="Z177" s="223"/>
      <c r="AA177" s="223"/>
      <c r="AB177" s="223"/>
      <c r="AC177" s="223"/>
      <c r="AD177" s="223"/>
      <c r="AE177" s="10"/>
      <c r="AF177" s="10"/>
      <c r="AG177" s="10"/>
      <c r="AH177" s="10"/>
      <c r="AI177" s="10"/>
      <c r="AJ177" s="11"/>
      <c r="AK177" s="10"/>
      <c r="AL177" s="192"/>
      <c r="AV177" s="10"/>
      <c r="AW177" s="192"/>
      <c r="BG177" s="10"/>
      <c r="BH177" s="192"/>
      <c r="BR177" s="10"/>
      <c r="BS177" s="192"/>
    </row>
    <row r="178" customFormat="false" ht="13.5" hidden="false" customHeight="false" outlineLevel="0" collapsed="false">
      <c r="B178" s="51"/>
      <c r="C178" s="53"/>
      <c r="D178" s="58"/>
      <c r="E178" s="55"/>
      <c r="F178" s="55"/>
      <c r="G178" s="55"/>
      <c r="H178" s="46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  <c r="W178" s="223"/>
      <c r="X178" s="223"/>
      <c r="Y178" s="223"/>
      <c r="Z178" s="223"/>
      <c r="AA178" s="223"/>
      <c r="AB178" s="223"/>
      <c r="AC178" s="223"/>
      <c r="AD178" s="223"/>
      <c r="AE178" s="10"/>
      <c r="AF178" s="10"/>
      <c r="AG178" s="10"/>
      <c r="AH178" s="10"/>
      <c r="AI178" s="10"/>
      <c r="AJ178" s="11"/>
      <c r="AK178" s="10"/>
      <c r="AL178" s="192"/>
      <c r="AV178" s="10"/>
      <c r="AW178" s="192"/>
      <c r="BG178" s="10"/>
      <c r="BH178" s="192"/>
      <c r="BR178" s="10"/>
      <c r="BS178" s="192"/>
    </row>
    <row r="179" customFormat="false" ht="12.75" hidden="false" customHeight="false" outlineLevel="0" collapsed="false">
      <c r="B179" s="51"/>
      <c r="C179" s="53"/>
      <c r="D179" s="59"/>
      <c r="E179" s="55"/>
      <c r="F179" s="55"/>
      <c r="G179" s="55"/>
      <c r="H179" s="46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  <c r="W179" s="223"/>
      <c r="X179" s="223"/>
      <c r="Y179" s="223"/>
      <c r="Z179" s="223"/>
      <c r="AA179" s="223"/>
      <c r="AB179" s="223"/>
      <c r="AC179" s="223"/>
      <c r="AD179" s="223"/>
      <c r="AE179" s="10"/>
      <c r="AF179" s="10"/>
      <c r="AG179" s="10"/>
      <c r="AH179" s="10"/>
      <c r="AI179" s="10"/>
      <c r="AJ179" s="11"/>
      <c r="AK179" s="10"/>
      <c r="AL179" s="192"/>
      <c r="AV179" s="10"/>
      <c r="AW179" s="192"/>
      <c r="BG179" s="10"/>
      <c r="BH179" s="192"/>
      <c r="BR179" s="10"/>
      <c r="BS179" s="192"/>
    </row>
    <row r="180" customFormat="false" ht="12.75" hidden="false" customHeight="false" outlineLevel="0" collapsed="false">
      <c r="B180" s="51"/>
      <c r="C180" s="53"/>
      <c r="D180" s="59"/>
      <c r="E180" s="55"/>
      <c r="F180" s="55"/>
      <c r="G180" s="55"/>
      <c r="H180" s="46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  <c r="W180" s="223"/>
      <c r="X180" s="223"/>
      <c r="Y180" s="223"/>
      <c r="Z180" s="223"/>
      <c r="AA180" s="223"/>
      <c r="AB180" s="223"/>
      <c r="AC180" s="223"/>
      <c r="AD180" s="223"/>
      <c r="AE180" s="10"/>
      <c r="AF180" s="10"/>
      <c r="AG180" s="10"/>
      <c r="AH180" s="10"/>
      <c r="AI180" s="10"/>
      <c r="AJ180" s="11"/>
      <c r="AK180" s="10"/>
      <c r="AL180" s="192"/>
      <c r="AV180" s="10"/>
      <c r="AW180" s="192"/>
      <c r="BG180" s="10"/>
      <c r="BH180" s="192"/>
      <c r="BR180" s="10"/>
      <c r="BS180" s="192"/>
    </row>
    <row r="181" customFormat="false" ht="12.75" hidden="false" customHeight="false" outlineLevel="0" collapsed="false">
      <c r="B181" s="51"/>
      <c r="C181" s="53"/>
      <c r="D181" s="59"/>
      <c r="E181" s="55"/>
      <c r="F181" s="55"/>
      <c r="G181" s="55"/>
      <c r="H181" s="46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  <c r="W181" s="223"/>
      <c r="X181" s="223"/>
      <c r="Y181" s="223"/>
      <c r="Z181" s="223"/>
      <c r="AA181" s="223"/>
      <c r="AB181" s="223"/>
      <c r="AC181" s="223"/>
      <c r="AD181" s="223"/>
      <c r="AE181" s="10"/>
      <c r="AF181" s="10"/>
      <c r="AG181" s="10"/>
      <c r="AH181" s="10"/>
      <c r="AI181" s="10"/>
      <c r="AJ181" s="11"/>
      <c r="AK181" s="10"/>
      <c r="AL181" s="192"/>
      <c r="AV181" s="10"/>
      <c r="AW181" s="192"/>
      <c r="BG181" s="10"/>
      <c r="BH181" s="192"/>
      <c r="BR181" s="10"/>
      <c r="BS181" s="192"/>
    </row>
    <row r="182" customFormat="false" ht="12.75" hidden="false" customHeight="false" outlineLevel="0" collapsed="false">
      <c r="B182" s="51"/>
      <c r="C182" s="53"/>
      <c r="D182" s="59"/>
      <c r="E182" s="55"/>
      <c r="F182" s="55"/>
      <c r="G182" s="55"/>
      <c r="H182" s="46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  <c r="W182" s="223"/>
      <c r="X182" s="223"/>
      <c r="Y182" s="223"/>
      <c r="Z182" s="223"/>
      <c r="AA182" s="223"/>
      <c r="AB182" s="223"/>
      <c r="AC182" s="223"/>
      <c r="AD182" s="223"/>
      <c r="AE182" s="10"/>
      <c r="AF182" s="10"/>
      <c r="AG182" s="10"/>
      <c r="AH182" s="10"/>
      <c r="AI182" s="10"/>
      <c r="AJ182" s="11"/>
      <c r="AK182" s="10"/>
      <c r="AL182" s="192"/>
      <c r="AV182" s="10"/>
      <c r="AW182" s="192"/>
      <c r="BG182" s="10"/>
      <c r="BH182" s="192"/>
      <c r="BR182" s="10"/>
      <c r="BS182" s="192"/>
    </row>
    <row r="183" customFormat="false" ht="12.75" hidden="false" customHeight="false" outlineLevel="0" collapsed="false">
      <c r="B183" s="51"/>
      <c r="C183" s="53"/>
      <c r="D183" s="59"/>
      <c r="E183" s="55"/>
      <c r="F183" s="55"/>
      <c r="G183" s="55"/>
      <c r="H183" s="46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  <c r="W183" s="223"/>
      <c r="X183" s="223"/>
      <c r="Y183" s="223"/>
      <c r="Z183" s="223"/>
      <c r="AA183" s="223"/>
      <c r="AB183" s="223"/>
      <c r="AC183" s="223"/>
      <c r="AD183" s="223"/>
      <c r="AE183" s="10"/>
      <c r="AF183" s="10"/>
      <c r="AG183" s="10"/>
      <c r="AH183" s="10"/>
      <c r="AI183" s="10"/>
      <c r="AJ183" s="11"/>
      <c r="AK183" s="10"/>
      <c r="AL183" s="192"/>
      <c r="AV183" s="10"/>
      <c r="AW183" s="192"/>
      <c r="BG183" s="10"/>
      <c r="BH183" s="192"/>
      <c r="BR183" s="10"/>
      <c r="BS183" s="192"/>
    </row>
    <row r="184" customFormat="false" ht="12.75" hidden="false" customHeight="false" outlineLevel="0" collapsed="false">
      <c r="B184" s="51"/>
      <c r="C184" s="53"/>
      <c r="D184" s="59"/>
      <c r="E184" s="55"/>
      <c r="F184" s="55"/>
      <c r="G184" s="55"/>
      <c r="H184" s="46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23"/>
      <c r="X184" s="223"/>
      <c r="Y184" s="223"/>
      <c r="Z184" s="223"/>
      <c r="AA184" s="223"/>
      <c r="AB184" s="223"/>
      <c r="AC184" s="223"/>
      <c r="AD184" s="223"/>
      <c r="AE184" s="10"/>
      <c r="AH184" s="10"/>
      <c r="AI184" s="10"/>
      <c r="AJ184" s="11"/>
      <c r="AK184" s="10"/>
      <c r="AL184" s="192"/>
      <c r="AV184" s="10"/>
      <c r="AW184" s="192"/>
      <c r="BG184" s="10"/>
      <c r="BH184" s="192"/>
      <c r="BR184" s="10"/>
      <c r="BS184" s="192"/>
    </row>
    <row r="185" customFormat="false" ht="12.75" hidden="false" customHeight="false" outlineLevel="0" collapsed="false">
      <c r="B185" s="51"/>
      <c r="C185" s="53"/>
      <c r="D185" s="59"/>
      <c r="E185" s="55"/>
      <c r="F185" s="55"/>
      <c r="G185" s="55"/>
      <c r="H185" s="46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10"/>
      <c r="AF185" s="10"/>
      <c r="AG185" s="10"/>
      <c r="AH185" s="10"/>
      <c r="AI185" s="10"/>
      <c r="AJ185" s="11"/>
      <c r="AK185" s="10"/>
      <c r="AL185" s="192"/>
      <c r="AV185" s="10"/>
      <c r="AW185" s="192"/>
      <c r="BG185" s="10"/>
      <c r="BH185" s="192"/>
      <c r="BR185" s="10"/>
      <c r="BS185" s="192"/>
    </row>
    <row r="186" customFormat="false" ht="12.75" hidden="false" customHeight="false" outlineLevel="0" collapsed="false">
      <c r="B186" s="51"/>
      <c r="C186" s="53"/>
      <c r="D186" s="59"/>
      <c r="E186" s="55"/>
      <c r="F186" s="55"/>
      <c r="G186" s="55"/>
      <c r="H186" s="46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  <c r="W186" s="223"/>
      <c r="X186" s="223"/>
      <c r="Y186" s="223"/>
      <c r="Z186" s="223"/>
      <c r="AA186" s="223"/>
      <c r="AB186" s="223"/>
      <c r="AC186" s="223"/>
      <c r="AD186" s="223"/>
      <c r="AE186" s="10"/>
      <c r="AF186" s="10"/>
      <c r="AG186" s="10"/>
      <c r="AH186" s="10"/>
      <c r="AI186" s="10"/>
      <c r="AJ186" s="11"/>
      <c r="AK186" s="10"/>
      <c r="AL186" s="192"/>
      <c r="AV186" s="10"/>
      <c r="AW186" s="192"/>
      <c r="BG186" s="10"/>
      <c r="BH186" s="192"/>
      <c r="BR186" s="10"/>
      <c r="BS186" s="192"/>
    </row>
    <row r="187" customFormat="false" ht="12.75" hidden="false" customHeight="false" outlineLevel="0" collapsed="false">
      <c r="B187" s="51"/>
      <c r="C187" s="53"/>
      <c r="D187" s="59"/>
      <c r="E187" s="55"/>
      <c r="F187" s="55"/>
      <c r="G187" s="55"/>
      <c r="H187" s="46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  <c r="W187" s="223"/>
      <c r="X187" s="223"/>
      <c r="Y187" s="223"/>
      <c r="Z187" s="223"/>
      <c r="AA187" s="223"/>
      <c r="AB187" s="223"/>
      <c r="AC187" s="223"/>
      <c r="AD187" s="223"/>
      <c r="AE187" s="10"/>
      <c r="AF187" s="10"/>
      <c r="AG187" s="10"/>
      <c r="AH187" s="10"/>
      <c r="AI187" s="10"/>
      <c r="AJ187" s="11"/>
      <c r="AK187" s="10"/>
      <c r="AL187" s="192"/>
      <c r="AV187" s="10"/>
      <c r="AW187" s="192"/>
      <c r="BG187" s="10"/>
      <c r="BH187" s="192"/>
      <c r="BR187" s="10"/>
      <c r="BS187" s="192"/>
    </row>
    <row r="188" customFormat="false" ht="12.75" hidden="false" customHeight="false" outlineLevel="0" collapsed="false">
      <c r="B188" s="51"/>
      <c r="C188" s="53"/>
      <c r="D188" s="59"/>
      <c r="E188" s="55"/>
      <c r="F188" s="55"/>
      <c r="G188" s="55"/>
      <c r="H188" s="46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  <c r="W188" s="223"/>
      <c r="X188" s="223"/>
      <c r="Y188" s="223"/>
      <c r="Z188" s="223"/>
      <c r="AA188" s="223"/>
      <c r="AB188" s="223"/>
      <c r="AC188" s="223"/>
      <c r="AD188" s="223"/>
      <c r="AE188" s="10"/>
      <c r="AF188" s="10"/>
      <c r="AG188" s="10"/>
      <c r="AH188" s="10"/>
      <c r="AI188" s="10"/>
      <c r="AJ188" s="11"/>
      <c r="AK188" s="10"/>
      <c r="AL188" s="192"/>
      <c r="AV188" s="10"/>
      <c r="AW188" s="192"/>
      <c r="BG188" s="10"/>
      <c r="BH188" s="192"/>
      <c r="BR188" s="10"/>
      <c r="BS188" s="192"/>
    </row>
    <row r="189" customFormat="false" ht="12.75" hidden="false" customHeight="false" outlineLevel="0" collapsed="false">
      <c r="B189" s="51"/>
      <c r="C189" s="53"/>
      <c r="D189" s="59"/>
      <c r="E189" s="55"/>
      <c r="F189" s="55"/>
      <c r="G189" s="55"/>
      <c r="H189" s="46"/>
      <c r="I189" s="223"/>
      <c r="J189" s="223"/>
      <c r="K189" s="223"/>
      <c r="L189" s="223"/>
      <c r="M189" s="223"/>
      <c r="N189" s="223"/>
      <c r="O189" s="223"/>
      <c r="P189" s="223"/>
      <c r="Q189" s="223"/>
      <c r="R189" s="223"/>
      <c r="S189" s="223"/>
      <c r="T189" s="223"/>
      <c r="U189" s="223"/>
      <c r="V189" s="223"/>
      <c r="W189" s="223"/>
      <c r="X189" s="223"/>
      <c r="Y189" s="223"/>
      <c r="Z189" s="223"/>
      <c r="AA189" s="223"/>
      <c r="AB189" s="223"/>
      <c r="AC189" s="223"/>
      <c r="AD189" s="223"/>
      <c r="AE189" s="10"/>
      <c r="AF189" s="10"/>
      <c r="AG189" s="10"/>
      <c r="AH189" s="10"/>
      <c r="AI189" s="10"/>
      <c r="AJ189" s="11"/>
      <c r="AK189" s="10"/>
      <c r="AL189" s="192"/>
      <c r="AV189" s="10"/>
      <c r="AW189" s="192"/>
      <c r="BG189" s="10"/>
      <c r="BH189" s="192"/>
      <c r="BR189" s="10"/>
      <c r="BS189" s="192"/>
    </row>
    <row r="190" customFormat="false" ht="12.75" hidden="false" customHeight="false" outlineLevel="0" collapsed="false">
      <c r="B190" s="51"/>
      <c r="C190" s="53"/>
      <c r="D190" s="59"/>
      <c r="E190" s="55"/>
      <c r="F190" s="55"/>
      <c r="G190" s="55"/>
      <c r="H190" s="46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10"/>
      <c r="AF190" s="10"/>
      <c r="AG190" s="10"/>
      <c r="AH190" s="10"/>
      <c r="AI190" s="10"/>
      <c r="AJ190" s="11"/>
      <c r="AK190" s="10"/>
      <c r="AL190" s="192"/>
      <c r="AV190" s="10"/>
      <c r="AW190" s="192"/>
      <c r="BG190" s="10"/>
      <c r="BH190" s="192"/>
      <c r="BR190" s="10"/>
      <c r="BS190" s="192"/>
    </row>
    <row r="191" customFormat="false" ht="12.75" hidden="false" customHeight="false" outlineLevel="0" collapsed="false">
      <c r="B191" s="51"/>
      <c r="C191" s="53"/>
      <c r="D191" s="59"/>
      <c r="E191" s="55"/>
      <c r="F191" s="55"/>
      <c r="G191" s="55"/>
      <c r="H191" s="46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  <c r="W191" s="223"/>
      <c r="X191" s="223"/>
      <c r="Y191" s="223"/>
      <c r="Z191" s="223"/>
      <c r="AA191" s="223"/>
      <c r="AB191" s="223"/>
      <c r="AC191" s="223"/>
      <c r="AD191" s="223"/>
      <c r="AE191" s="10"/>
      <c r="AF191" s="10"/>
      <c r="AG191" s="10"/>
      <c r="AH191" s="10"/>
      <c r="AI191" s="10"/>
      <c r="AJ191" s="11"/>
      <c r="AK191" s="10"/>
      <c r="AL191" s="192"/>
      <c r="AV191" s="10"/>
      <c r="AW191" s="192"/>
      <c r="BG191" s="10"/>
      <c r="BH191" s="192"/>
      <c r="BR191" s="10"/>
      <c r="BS191" s="192"/>
    </row>
    <row r="192" customFormat="false" ht="12.75" hidden="false" customHeight="false" outlineLevel="0" collapsed="false">
      <c r="B192" s="51"/>
      <c r="C192" s="53"/>
      <c r="D192" s="59"/>
      <c r="E192" s="55"/>
      <c r="F192" s="55"/>
      <c r="G192" s="55"/>
      <c r="H192" s="46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  <c r="W192" s="223"/>
      <c r="X192" s="223"/>
      <c r="Y192" s="223"/>
      <c r="Z192" s="223"/>
      <c r="AA192" s="223"/>
      <c r="AB192" s="223"/>
      <c r="AC192" s="223"/>
      <c r="AD192" s="223"/>
      <c r="AE192" s="10"/>
      <c r="AF192" s="10"/>
      <c r="AG192" s="10"/>
      <c r="AH192" s="10"/>
      <c r="AI192" s="10"/>
      <c r="AJ192" s="11"/>
      <c r="AK192" s="10"/>
      <c r="AL192" s="192"/>
      <c r="AV192" s="10"/>
      <c r="AW192" s="192"/>
      <c r="BG192" s="10"/>
      <c r="BH192" s="192"/>
      <c r="BR192" s="10"/>
      <c r="BS192" s="192"/>
    </row>
    <row r="193" customFormat="false" ht="12.75" hidden="false" customHeight="false" outlineLevel="0" collapsed="false">
      <c r="B193" s="51"/>
      <c r="C193" s="53"/>
      <c r="D193" s="59"/>
      <c r="E193" s="55"/>
      <c r="F193" s="55"/>
      <c r="G193" s="55"/>
      <c r="H193" s="46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  <c r="W193" s="223"/>
      <c r="X193" s="223"/>
      <c r="Y193" s="223"/>
      <c r="Z193" s="223"/>
      <c r="AA193" s="223"/>
      <c r="AB193" s="223"/>
      <c r="AC193" s="223"/>
      <c r="AD193" s="223"/>
      <c r="AE193" s="10"/>
      <c r="AF193" s="10"/>
      <c r="AG193" s="10"/>
      <c r="AH193" s="10"/>
      <c r="AI193" s="10"/>
      <c r="AJ193" s="11"/>
      <c r="AK193" s="10"/>
      <c r="AL193" s="192"/>
      <c r="AV193" s="10"/>
      <c r="AW193" s="192"/>
      <c r="BG193" s="10"/>
      <c r="BH193" s="192"/>
      <c r="BR193" s="10"/>
      <c r="BS193" s="192"/>
    </row>
    <row r="194" customFormat="false" ht="12.75" hidden="false" customHeight="false" outlineLevel="0" collapsed="false">
      <c r="B194" s="51"/>
      <c r="C194" s="53"/>
      <c r="D194" s="59"/>
      <c r="E194" s="55"/>
      <c r="F194" s="55"/>
      <c r="G194" s="55"/>
      <c r="H194" s="46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  <c r="W194" s="223"/>
      <c r="X194" s="223"/>
      <c r="Y194" s="223"/>
      <c r="Z194" s="223"/>
      <c r="AA194" s="223"/>
      <c r="AB194" s="223"/>
      <c r="AC194" s="223"/>
      <c r="AD194" s="223"/>
      <c r="AE194" s="10"/>
      <c r="AF194" s="10"/>
      <c r="AG194" s="10"/>
      <c r="AH194" s="10"/>
      <c r="AI194" s="10"/>
      <c r="AJ194" s="11"/>
      <c r="AK194" s="10"/>
      <c r="AL194" s="192"/>
      <c r="AV194" s="10"/>
      <c r="AW194" s="192"/>
      <c r="BG194" s="10"/>
      <c r="BH194" s="192"/>
      <c r="BR194" s="10"/>
      <c r="BS194" s="192"/>
    </row>
    <row r="195" customFormat="false" ht="12.75" hidden="false" customHeight="false" outlineLevel="0" collapsed="false">
      <c r="B195" s="51"/>
      <c r="C195" s="53"/>
      <c r="D195" s="59"/>
      <c r="E195" s="55"/>
      <c r="F195" s="55"/>
      <c r="G195" s="55"/>
      <c r="H195" s="46"/>
      <c r="I195" s="223"/>
      <c r="J195" s="223"/>
      <c r="K195" s="223"/>
      <c r="L195" s="223"/>
      <c r="M195" s="223"/>
      <c r="N195" s="223"/>
      <c r="O195" s="223"/>
      <c r="P195" s="223"/>
      <c r="Q195" s="223"/>
      <c r="R195" s="223"/>
      <c r="S195" s="223"/>
      <c r="T195" s="223"/>
      <c r="U195" s="223"/>
      <c r="V195" s="223"/>
      <c r="W195" s="223"/>
      <c r="X195" s="223"/>
      <c r="Y195" s="223"/>
      <c r="Z195" s="223"/>
      <c r="AA195" s="223"/>
      <c r="AB195" s="223"/>
      <c r="AC195" s="223"/>
      <c r="AD195" s="223"/>
      <c r="AE195" s="10"/>
      <c r="AF195" s="10"/>
      <c r="AG195" s="10"/>
      <c r="AH195" s="10"/>
      <c r="AI195" s="10"/>
      <c r="AJ195" s="11"/>
      <c r="AK195" s="10"/>
      <c r="AL195" s="192"/>
      <c r="AV195" s="10"/>
      <c r="AW195" s="192"/>
      <c r="BG195" s="10"/>
      <c r="BH195" s="192"/>
      <c r="BR195" s="10"/>
      <c r="BS195" s="192"/>
    </row>
    <row r="196" customFormat="false" ht="12.75" hidden="false" customHeight="false" outlineLevel="0" collapsed="false">
      <c r="B196" s="51"/>
      <c r="C196" s="53"/>
      <c r="D196" s="59"/>
      <c r="E196" s="55"/>
      <c r="F196" s="55"/>
      <c r="G196" s="55"/>
      <c r="H196" s="46"/>
      <c r="I196" s="223"/>
      <c r="J196" s="223"/>
      <c r="K196" s="223"/>
      <c r="L196" s="223"/>
      <c r="M196" s="223"/>
      <c r="N196" s="223"/>
      <c r="O196" s="223"/>
      <c r="P196" s="223"/>
      <c r="Q196" s="223"/>
      <c r="R196" s="223"/>
      <c r="S196" s="223"/>
      <c r="T196" s="223"/>
      <c r="U196" s="223"/>
      <c r="V196" s="223"/>
      <c r="W196" s="223"/>
      <c r="X196" s="223"/>
      <c r="Y196" s="223"/>
      <c r="Z196" s="223"/>
      <c r="AA196" s="223"/>
      <c r="AB196" s="223"/>
      <c r="AC196" s="223"/>
      <c r="AD196" s="223"/>
      <c r="AE196" s="10"/>
      <c r="AF196" s="10"/>
      <c r="AG196" s="10"/>
      <c r="AH196" s="10"/>
      <c r="AI196" s="10"/>
      <c r="AJ196" s="11"/>
      <c r="AK196" s="10"/>
      <c r="AL196" s="192"/>
      <c r="AV196" s="10"/>
      <c r="AW196" s="192"/>
      <c r="BG196" s="10"/>
      <c r="BH196" s="192"/>
      <c r="BR196" s="10"/>
      <c r="BS196" s="192"/>
    </row>
    <row r="197" customFormat="false" ht="12.75" hidden="false" customHeight="false" outlineLevel="0" collapsed="false">
      <c r="B197" s="51"/>
      <c r="C197" s="53"/>
      <c r="D197" s="59"/>
      <c r="E197" s="55"/>
      <c r="F197" s="55"/>
      <c r="G197" s="55"/>
      <c r="H197" s="46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  <c r="AA197" s="223"/>
      <c r="AB197" s="223"/>
      <c r="AC197" s="223"/>
      <c r="AD197" s="223"/>
      <c r="AE197" s="10"/>
      <c r="AF197" s="10"/>
      <c r="AG197" s="10"/>
      <c r="AH197" s="10"/>
      <c r="AI197" s="10"/>
      <c r="AJ197" s="11"/>
      <c r="AK197" s="10"/>
      <c r="AL197" s="192"/>
      <c r="AV197" s="10"/>
      <c r="AW197" s="192"/>
      <c r="BG197" s="10"/>
      <c r="BH197" s="192"/>
      <c r="BR197" s="10"/>
      <c r="BS197" s="192"/>
    </row>
    <row r="198" customFormat="false" ht="12.75" hidden="false" customHeight="false" outlineLevel="0" collapsed="false">
      <c r="B198" s="51"/>
      <c r="C198" s="53"/>
      <c r="D198" s="59"/>
      <c r="E198" s="55"/>
      <c r="F198" s="55"/>
      <c r="G198" s="55"/>
      <c r="H198" s="46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  <c r="AA198" s="223"/>
      <c r="AB198" s="223"/>
      <c r="AC198" s="223"/>
      <c r="AD198" s="223"/>
      <c r="AE198" s="10"/>
      <c r="AF198" s="10"/>
      <c r="AG198" s="10"/>
      <c r="AH198" s="10"/>
      <c r="AI198" s="10"/>
      <c r="AJ198" s="11"/>
      <c r="AK198" s="10"/>
      <c r="AL198" s="192"/>
      <c r="AV198" s="10"/>
      <c r="AW198" s="192"/>
      <c r="BG198" s="10"/>
      <c r="BH198" s="192"/>
      <c r="BR198" s="10"/>
      <c r="BS198" s="192"/>
    </row>
    <row r="199" customFormat="false" ht="12.75" hidden="false" customHeight="false" outlineLevel="0" collapsed="false">
      <c r="B199" s="51"/>
      <c r="C199" s="53"/>
      <c r="D199" s="59"/>
      <c r="E199" s="55"/>
      <c r="F199" s="55"/>
      <c r="G199" s="55"/>
      <c r="H199" s="46"/>
      <c r="I199" s="223"/>
      <c r="J199" s="223"/>
      <c r="K199" s="223"/>
      <c r="L199" s="223"/>
      <c r="M199" s="223"/>
      <c r="N199" s="223"/>
      <c r="O199" s="223"/>
      <c r="P199" s="223"/>
      <c r="Q199" s="223"/>
      <c r="R199" s="223"/>
      <c r="S199" s="223"/>
      <c r="T199" s="223"/>
      <c r="U199" s="223"/>
      <c r="V199" s="223"/>
      <c r="W199" s="223"/>
      <c r="X199" s="223"/>
      <c r="Y199" s="223"/>
      <c r="Z199" s="223"/>
      <c r="AA199" s="223"/>
      <c r="AB199" s="223"/>
      <c r="AC199" s="223"/>
      <c r="AD199" s="223"/>
      <c r="AE199" s="10"/>
      <c r="AF199" s="10"/>
      <c r="AG199" s="10"/>
      <c r="AH199" s="10"/>
      <c r="AI199" s="10"/>
      <c r="AJ199" s="11"/>
      <c r="AK199" s="10"/>
      <c r="AL199" s="192"/>
      <c r="AV199" s="10"/>
      <c r="AW199" s="192"/>
      <c r="BG199" s="10"/>
      <c r="BH199" s="192"/>
      <c r="BR199" s="10"/>
      <c r="BS199" s="192"/>
    </row>
    <row r="200" customFormat="false" ht="12.75" hidden="false" customHeight="false" outlineLevel="0" collapsed="false">
      <c r="B200" s="51"/>
      <c r="C200" s="53"/>
      <c r="D200" s="59"/>
      <c r="E200" s="55"/>
      <c r="F200" s="55"/>
      <c r="G200" s="55"/>
      <c r="H200" s="46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  <c r="AA200" s="223"/>
      <c r="AB200" s="223"/>
      <c r="AC200" s="223"/>
      <c r="AD200" s="223"/>
      <c r="AE200" s="10"/>
      <c r="AF200" s="10"/>
      <c r="AG200" s="10"/>
      <c r="AH200" s="10"/>
      <c r="AI200" s="10"/>
      <c r="AJ200" s="11"/>
      <c r="AK200" s="10"/>
      <c r="AL200" s="192"/>
      <c r="AV200" s="10"/>
      <c r="AW200" s="192"/>
      <c r="BG200" s="10"/>
      <c r="BH200" s="192"/>
      <c r="BR200" s="10"/>
      <c r="BS200" s="192"/>
    </row>
    <row r="201" customFormat="false" ht="12.75" hidden="false" customHeight="false" outlineLevel="0" collapsed="false">
      <c r="B201" s="51"/>
      <c r="C201" s="53"/>
      <c r="D201" s="59"/>
      <c r="E201" s="55"/>
      <c r="F201" s="55"/>
      <c r="G201" s="55"/>
      <c r="H201" s="46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10"/>
      <c r="AF201" s="10"/>
      <c r="AG201" s="10"/>
      <c r="AH201" s="10"/>
      <c r="AI201" s="10"/>
      <c r="AJ201" s="11"/>
      <c r="AK201" s="10"/>
      <c r="AL201" s="192"/>
      <c r="AV201" s="10"/>
      <c r="AW201" s="192"/>
      <c r="BG201" s="10"/>
      <c r="BH201" s="192"/>
      <c r="BR201" s="10"/>
      <c r="BS201" s="192"/>
    </row>
    <row r="202" customFormat="false" ht="12.75" hidden="false" customHeight="false" outlineLevel="0" collapsed="false">
      <c r="B202" s="51"/>
      <c r="C202" s="53"/>
      <c r="D202" s="59"/>
      <c r="E202" s="55"/>
      <c r="F202" s="55"/>
      <c r="G202" s="55"/>
      <c r="H202" s="46"/>
      <c r="I202" s="223"/>
      <c r="J202" s="223"/>
      <c r="K202" s="223"/>
      <c r="L202" s="223"/>
      <c r="M202" s="223"/>
      <c r="N202" s="223"/>
      <c r="O202" s="223"/>
      <c r="P202" s="223"/>
      <c r="Q202" s="223"/>
      <c r="R202" s="223"/>
      <c r="S202" s="223"/>
      <c r="T202" s="223"/>
      <c r="U202" s="223"/>
      <c r="V202" s="223"/>
      <c r="W202" s="223"/>
      <c r="X202" s="223"/>
      <c r="Y202" s="223"/>
      <c r="Z202" s="223"/>
      <c r="AA202" s="223"/>
      <c r="AB202" s="223"/>
      <c r="AC202" s="223"/>
      <c r="AD202" s="223"/>
      <c r="AE202" s="10"/>
      <c r="AF202" s="10"/>
      <c r="AG202" s="10"/>
      <c r="AH202" s="10"/>
      <c r="AI202" s="10"/>
      <c r="AJ202" s="11"/>
      <c r="AK202" s="10"/>
      <c r="AL202" s="192"/>
      <c r="AV202" s="10"/>
      <c r="AW202" s="192"/>
      <c r="BG202" s="10"/>
      <c r="BH202" s="192"/>
      <c r="BR202" s="10"/>
      <c r="BS202" s="192"/>
    </row>
    <row r="203" customFormat="false" ht="12.75" hidden="false" customHeight="false" outlineLevel="0" collapsed="false">
      <c r="B203" s="51"/>
      <c r="C203" s="53"/>
      <c r="D203" s="59"/>
      <c r="E203" s="55"/>
      <c r="F203" s="55"/>
      <c r="G203" s="55"/>
      <c r="H203" s="46"/>
      <c r="I203" s="223"/>
      <c r="J203" s="223"/>
      <c r="K203" s="223"/>
      <c r="L203" s="223"/>
      <c r="M203" s="223"/>
      <c r="N203" s="223"/>
      <c r="O203" s="223"/>
      <c r="P203" s="223"/>
      <c r="Q203" s="223"/>
      <c r="R203" s="223"/>
      <c r="S203" s="223"/>
      <c r="T203" s="223"/>
      <c r="U203" s="223"/>
      <c r="V203" s="223"/>
      <c r="W203" s="223"/>
      <c r="X203" s="223"/>
      <c r="Y203" s="223"/>
      <c r="Z203" s="223"/>
      <c r="AA203" s="223"/>
      <c r="AB203" s="223"/>
      <c r="AC203" s="223"/>
      <c r="AD203" s="223"/>
      <c r="AE203" s="10"/>
      <c r="AF203" s="10"/>
      <c r="AG203" s="10"/>
      <c r="AH203" s="10"/>
      <c r="AI203" s="10"/>
      <c r="AJ203" s="11"/>
      <c r="AK203" s="10"/>
      <c r="AL203" s="192"/>
      <c r="AV203" s="10"/>
      <c r="AW203" s="192"/>
      <c r="BG203" s="10"/>
      <c r="BH203" s="192"/>
      <c r="BR203" s="10"/>
      <c r="BS203" s="192"/>
    </row>
    <row r="204" customFormat="false" ht="12.75" hidden="false" customHeight="false" outlineLevel="0" collapsed="false">
      <c r="B204" s="51"/>
      <c r="C204" s="53"/>
      <c r="D204" s="59"/>
      <c r="E204" s="55"/>
      <c r="F204" s="55"/>
      <c r="G204" s="55"/>
      <c r="H204" s="46"/>
      <c r="I204" s="223"/>
      <c r="J204" s="223"/>
      <c r="K204" s="223"/>
      <c r="L204" s="223"/>
      <c r="M204" s="223"/>
      <c r="N204" s="223"/>
      <c r="O204" s="223"/>
      <c r="P204" s="223"/>
      <c r="Q204" s="223"/>
      <c r="R204" s="223"/>
      <c r="S204" s="223"/>
      <c r="T204" s="223"/>
      <c r="U204" s="223"/>
      <c r="V204" s="223"/>
      <c r="W204" s="223"/>
      <c r="X204" s="223"/>
      <c r="Y204" s="223"/>
      <c r="Z204" s="223"/>
      <c r="AA204" s="223"/>
      <c r="AB204" s="223"/>
      <c r="AC204" s="223"/>
      <c r="AD204" s="223"/>
      <c r="AE204" s="10"/>
      <c r="AF204" s="10"/>
      <c r="AG204" s="10"/>
      <c r="AH204" s="10"/>
      <c r="AI204" s="10"/>
      <c r="AJ204" s="11"/>
      <c r="AK204" s="10"/>
      <c r="AL204" s="192"/>
      <c r="AV204" s="10"/>
      <c r="AW204" s="192"/>
      <c r="BG204" s="10"/>
      <c r="BH204" s="192"/>
      <c r="BR204" s="10"/>
      <c r="BS204" s="192"/>
    </row>
    <row r="205" customFormat="false" ht="12.75" hidden="false" customHeight="false" outlineLevel="0" collapsed="false">
      <c r="B205" s="51"/>
      <c r="C205" s="53"/>
      <c r="D205" s="59"/>
      <c r="E205" s="55"/>
      <c r="F205" s="55"/>
      <c r="G205" s="55"/>
      <c r="H205" s="46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3"/>
      <c r="T205" s="223"/>
      <c r="U205" s="223"/>
      <c r="V205" s="223"/>
      <c r="W205" s="223"/>
      <c r="X205" s="223"/>
      <c r="Y205" s="223"/>
      <c r="Z205" s="223"/>
      <c r="AA205" s="223"/>
      <c r="AB205" s="223"/>
      <c r="AC205" s="223"/>
      <c r="AD205" s="223"/>
      <c r="AE205" s="10"/>
      <c r="AF205" s="10"/>
      <c r="AG205" s="10"/>
      <c r="AH205" s="10"/>
      <c r="AI205" s="10"/>
      <c r="AJ205" s="11"/>
      <c r="AK205" s="10"/>
      <c r="AL205" s="192"/>
      <c r="AV205" s="10"/>
      <c r="AW205" s="192"/>
      <c r="BG205" s="10"/>
      <c r="BH205" s="192"/>
      <c r="BR205" s="10"/>
      <c r="BS205" s="192"/>
    </row>
    <row r="206" customFormat="false" ht="12.75" hidden="false" customHeight="false" outlineLevel="0" collapsed="false">
      <c r="B206" s="51"/>
      <c r="C206" s="53"/>
      <c r="D206" s="59"/>
      <c r="E206" s="55"/>
      <c r="F206" s="55"/>
      <c r="G206" s="55"/>
      <c r="H206" s="46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/>
      <c r="U206" s="223"/>
      <c r="V206" s="223"/>
      <c r="W206" s="223"/>
      <c r="X206" s="223"/>
      <c r="Y206" s="223"/>
      <c r="Z206" s="223"/>
      <c r="AA206" s="223"/>
      <c r="AB206" s="223"/>
      <c r="AC206" s="223"/>
      <c r="AD206" s="223"/>
      <c r="AE206" s="10"/>
      <c r="AF206" s="10"/>
      <c r="AG206" s="10"/>
      <c r="AH206" s="10"/>
      <c r="AI206" s="10"/>
      <c r="AJ206" s="11"/>
      <c r="AK206" s="10"/>
      <c r="AL206" s="192"/>
      <c r="AV206" s="10"/>
      <c r="AW206" s="192"/>
      <c r="BG206" s="10"/>
      <c r="BH206" s="192"/>
      <c r="BR206" s="10"/>
      <c r="BS206" s="192"/>
    </row>
    <row r="207" customFormat="false" ht="12.75" hidden="false" customHeight="false" outlineLevel="0" collapsed="false">
      <c r="B207" s="51"/>
      <c r="C207" s="53"/>
      <c r="D207" s="59"/>
      <c r="E207" s="55"/>
      <c r="F207" s="55"/>
      <c r="G207" s="55"/>
      <c r="H207" s="46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  <c r="AA207" s="223"/>
      <c r="AB207" s="223"/>
      <c r="AC207" s="223"/>
      <c r="AD207" s="223"/>
      <c r="AE207" s="10"/>
      <c r="AF207" s="10"/>
      <c r="AG207" s="10"/>
      <c r="AH207" s="10"/>
      <c r="AI207" s="10"/>
      <c r="AJ207" s="11"/>
      <c r="AK207" s="10"/>
      <c r="AL207" s="192"/>
      <c r="AV207" s="10"/>
      <c r="AW207" s="192"/>
      <c r="BG207" s="10"/>
      <c r="BH207" s="192"/>
      <c r="BR207" s="10"/>
      <c r="BS207" s="192"/>
    </row>
    <row r="208" customFormat="false" ht="12.75" hidden="false" customHeight="false" outlineLevel="0" collapsed="false">
      <c r="B208" s="51"/>
      <c r="C208" s="53"/>
      <c r="D208" s="59"/>
      <c r="E208" s="55"/>
      <c r="F208" s="55"/>
      <c r="G208" s="55"/>
      <c r="H208" s="46"/>
      <c r="I208" s="223"/>
      <c r="J208" s="223"/>
      <c r="K208" s="223"/>
      <c r="L208" s="223"/>
      <c r="M208" s="223"/>
      <c r="N208" s="223"/>
      <c r="O208" s="223"/>
      <c r="P208" s="223"/>
      <c r="Q208" s="223"/>
      <c r="R208" s="223"/>
      <c r="S208" s="223"/>
      <c r="T208" s="223"/>
      <c r="U208" s="223"/>
      <c r="V208" s="223"/>
      <c r="W208" s="223"/>
      <c r="X208" s="223"/>
      <c r="Y208" s="223"/>
      <c r="Z208" s="223"/>
      <c r="AA208" s="223"/>
      <c r="AB208" s="223"/>
      <c r="AC208" s="223"/>
      <c r="AD208" s="223"/>
      <c r="AE208" s="10"/>
      <c r="AF208" s="10"/>
      <c r="AG208" s="10"/>
      <c r="AH208" s="10"/>
      <c r="AI208" s="10"/>
      <c r="AJ208" s="11"/>
      <c r="AK208" s="10"/>
      <c r="AL208" s="192"/>
      <c r="AV208" s="10"/>
      <c r="AW208" s="192"/>
      <c r="BG208" s="10"/>
      <c r="BH208" s="192"/>
      <c r="BR208" s="10"/>
      <c r="BS208" s="192"/>
    </row>
    <row r="209" customFormat="false" ht="12.75" hidden="false" customHeight="false" outlineLevel="0" collapsed="false">
      <c r="B209" s="60"/>
      <c r="C209" s="59"/>
      <c r="D209" s="59"/>
      <c r="E209" s="55"/>
      <c r="F209" s="55"/>
      <c r="G209" s="55"/>
      <c r="H209" s="46"/>
      <c r="I209" s="223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  <c r="AA209" s="223"/>
      <c r="AB209" s="223"/>
      <c r="AC209" s="223"/>
      <c r="AD209" s="223"/>
      <c r="AE209" s="10"/>
      <c r="AF209" s="10"/>
      <c r="AG209" s="10"/>
      <c r="AH209" s="10"/>
      <c r="AI209" s="10"/>
      <c r="AJ209" s="11"/>
      <c r="AK209" s="10"/>
      <c r="AL209" s="192"/>
      <c r="AV209" s="10"/>
      <c r="AW209" s="192"/>
      <c r="BG209" s="10"/>
      <c r="BH209" s="192"/>
      <c r="BR209" s="10"/>
      <c r="BS209" s="192"/>
    </row>
    <row r="210" customFormat="false" ht="12.75" hidden="false" customHeight="false" outlineLevel="0" collapsed="false">
      <c r="B210" s="60"/>
      <c r="C210" s="59"/>
      <c r="D210" s="59"/>
      <c r="E210" s="55"/>
      <c r="F210" s="55"/>
      <c r="G210" s="55"/>
      <c r="H210" s="46"/>
      <c r="I210" s="223"/>
      <c r="J210" s="223"/>
      <c r="K210" s="223"/>
      <c r="L210" s="223"/>
      <c r="M210" s="223"/>
      <c r="N210" s="223"/>
      <c r="O210" s="223"/>
      <c r="P210" s="223"/>
      <c r="Q210" s="223"/>
      <c r="R210" s="223"/>
      <c r="S210" s="223"/>
      <c r="T210" s="223"/>
      <c r="U210" s="223"/>
      <c r="V210" s="223"/>
      <c r="W210" s="223"/>
      <c r="X210" s="223"/>
      <c r="Y210" s="223"/>
      <c r="Z210" s="223"/>
      <c r="AA210" s="223"/>
      <c r="AB210" s="223"/>
      <c r="AC210" s="223"/>
      <c r="AD210" s="223"/>
      <c r="AE210" s="10"/>
      <c r="AF210" s="10"/>
      <c r="AG210" s="10"/>
      <c r="AH210" s="10"/>
      <c r="AI210" s="10"/>
      <c r="AJ210" s="11"/>
      <c r="AK210" s="10"/>
      <c r="AL210" s="192"/>
      <c r="AV210" s="10"/>
      <c r="AW210" s="192"/>
      <c r="BG210" s="10"/>
      <c r="BH210" s="192"/>
      <c r="BR210" s="10"/>
      <c r="BS210" s="192"/>
    </row>
    <row r="211" customFormat="false" ht="12.75" hidden="false" customHeight="false" outlineLevel="0" collapsed="false">
      <c r="B211" s="60"/>
      <c r="C211" s="59"/>
      <c r="D211" s="59"/>
      <c r="E211" s="55"/>
      <c r="F211" s="55"/>
      <c r="G211" s="55"/>
      <c r="H211" s="46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223"/>
      <c r="U211" s="223"/>
      <c r="V211" s="223"/>
      <c r="W211" s="223"/>
      <c r="X211" s="223"/>
      <c r="Y211" s="223"/>
      <c r="Z211" s="223"/>
      <c r="AA211" s="223"/>
      <c r="AB211" s="223"/>
      <c r="AC211" s="223"/>
      <c r="AD211" s="223"/>
      <c r="AE211" s="10"/>
      <c r="AF211" s="10"/>
      <c r="AG211" s="10"/>
      <c r="AH211" s="10"/>
      <c r="AI211" s="10"/>
      <c r="AJ211" s="11"/>
      <c r="AK211" s="10"/>
      <c r="AL211" s="192"/>
      <c r="AV211" s="10"/>
      <c r="AW211" s="192"/>
      <c r="BG211" s="10"/>
      <c r="BH211" s="192"/>
      <c r="BR211" s="10"/>
      <c r="BS211" s="192"/>
    </row>
    <row r="212" customFormat="false" ht="12.75" hidden="false" customHeight="false" outlineLevel="0" collapsed="false">
      <c r="B212" s="60"/>
      <c r="C212" s="59"/>
      <c r="D212" s="59"/>
      <c r="E212" s="55"/>
      <c r="F212" s="55"/>
      <c r="G212" s="55"/>
      <c r="H212" s="46"/>
      <c r="I212" s="223"/>
      <c r="J212" s="223"/>
      <c r="K212" s="223"/>
      <c r="L212" s="223"/>
      <c r="M212" s="223"/>
      <c r="N212" s="223"/>
      <c r="O212" s="223"/>
      <c r="P212" s="223"/>
      <c r="Q212" s="223"/>
      <c r="R212" s="223"/>
      <c r="S212" s="223"/>
      <c r="T212" s="223"/>
      <c r="U212" s="223"/>
      <c r="V212" s="223"/>
      <c r="W212" s="223"/>
      <c r="X212" s="223"/>
      <c r="Y212" s="223"/>
      <c r="Z212" s="223"/>
      <c r="AA212" s="223"/>
      <c r="AB212" s="223"/>
      <c r="AC212" s="223"/>
      <c r="AD212" s="223"/>
      <c r="AE212" s="10"/>
      <c r="AF212" s="10"/>
      <c r="AG212" s="10"/>
      <c r="AH212" s="10"/>
      <c r="AI212" s="10"/>
      <c r="AJ212" s="11"/>
      <c r="AK212" s="10"/>
      <c r="AL212" s="192"/>
      <c r="AV212" s="10"/>
      <c r="AW212" s="192"/>
      <c r="BG212" s="10"/>
      <c r="BH212" s="192"/>
      <c r="BR212" s="10"/>
      <c r="BS212" s="192"/>
    </row>
    <row r="213" customFormat="false" ht="12.75" hidden="false" customHeight="false" outlineLevel="0" collapsed="false">
      <c r="B213" s="60"/>
      <c r="C213" s="59"/>
      <c r="D213" s="59"/>
      <c r="E213" s="55"/>
      <c r="F213" s="55"/>
      <c r="G213" s="55"/>
      <c r="H213" s="46"/>
      <c r="I213" s="223"/>
      <c r="J213" s="223"/>
      <c r="K213" s="223"/>
      <c r="L213" s="223"/>
      <c r="M213" s="223"/>
      <c r="N213" s="223"/>
      <c r="O213" s="223"/>
      <c r="P213" s="223"/>
      <c r="Q213" s="223"/>
      <c r="R213" s="223"/>
      <c r="S213" s="223"/>
      <c r="T213" s="223"/>
      <c r="U213" s="223"/>
      <c r="V213" s="223"/>
      <c r="W213" s="223"/>
      <c r="X213" s="223"/>
      <c r="Y213" s="223"/>
      <c r="Z213" s="223"/>
      <c r="AA213" s="223"/>
      <c r="AB213" s="223"/>
      <c r="AC213" s="223"/>
      <c r="AD213" s="223"/>
      <c r="AE213" s="10"/>
      <c r="AF213" s="10"/>
      <c r="AG213" s="10"/>
      <c r="AH213" s="10"/>
      <c r="AI213" s="10"/>
      <c r="AJ213" s="11"/>
      <c r="AK213" s="10"/>
      <c r="AL213" s="192"/>
      <c r="AV213" s="10"/>
      <c r="AW213" s="192"/>
      <c r="BG213" s="10"/>
      <c r="BH213" s="192"/>
      <c r="BR213" s="10"/>
      <c r="BS213" s="192"/>
    </row>
    <row r="214" customFormat="false" ht="12.75" hidden="false" customHeight="false" outlineLevel="0" collapsed="false">
      <c r="B214" s="60"/>
      <c r="C214" s="59"/>
      <c r="D214" s="59"/>
      <c r="E214" s="55"/>
      <c r="F214" s="55"/>
      <c r="G214" s="55"/>
      <c r="H214" s="46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  <c r="AA214" s="223"/>
      <c r="AB214" s="223"/>
      <c r="AC214" s="223"/>
      <c r="AD214" s="223"/>
      <c r="AE214" s="10"/>
      <c r="AF214" s="10"/>
      <c r="AG214" s="10"/>
      <c r="AH214" s="10"/>
      <c r="AI214" s="10"/>
      <c r="AJ214" s="11"/>
      <c r="AK214" s="10"/>
      <c r="AL214" s="192"/>
      <c r="AV214" s="10"/>
      <c r="AW214" s="192"/>
      <c r="BG214" s="10"/>
      <c r="BH214" s="192"/>
      <c r="BR214" s="10"/>
      <c r="BS214" s="192"/>
    </row>
    <row r="215" customFormat="false" ht="12.75" hidden="false" customHeight="false" outlineLevel="0" collapsed="false">
      <c r="B215" s="60"/>
      <c r="C215" s="59"/>
      <c r="D215" s="59"/>
      <c r="E215" s="55"/>
      <c r="F215" s="55"/>
      <c r="G215" s="55"/>
      <c r="H215" s="46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  <c r="AA215" s="223"/>
      <c r="AB215" s="223"/>
      <c r="AC215" s="223"/>
      <c r="AD215" s="223"/>
      <c r="AE215" s="10"/>
      <c r="AF215" s="10"/>
      <c r="AG215" s="10"/>
      <c r="AH215" s="10"/>
      <c r="AI215" s="10"/>
      <c r="AJ215" s="11"/>
      <c r="AK215" s="10"/>
      <c r="AL215" s="192"/>
      <c r="AV215" s="10"/>
      <c r="AW215" s="192"/>
      <c r="BG215" s="10"/>
      <c r="BH215" s="192"/>
      <c r="BR215" s="10"/>
      <c r="BS215" s="192"/>
    </row>
    <row r="216" customFormat="false" ht="12.75" hidden="false" customHeight="false" outlineLevel="0" collapsed="false">
      <c r="B216" s="60"/>
      <c r="C216" s="59"/>
      <c r="D216" s="59"/>
      <c r="E216" s="55"/>
      <c r="F216" s="55"/>
      <c r="G216" s="55"/>
      <c r="H216" s="46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10"/>
      <c r="AF216" s="10"/>
      <c r="AG216" s="10"/>
      <c r="AH216" s="10"/>
      <c r="AI216" s="10"/>
      <c r="AJ216" s="11"/>
      <c r="AK216" s="10"/>
      <c r="AL216" s="192"/>
      <c r="AV216" s="10"/>
      <c r="AW216" s="192"/>
      <c r="BG216" s="10"/>
      <c r="BH216" s="192"/>
      <c r="BR216" s="10"/>
      <c r="BS216" s="192"/>
    </row>
    <row r="217" customFormat="false" ht="12.75" hidden="false" customHeight="false" outlineLevel="0" collapsed="false">
      <c r="B217" s="60"/>
      <c r="C217" s="59"/>
      <c r="D217" s="59"/>
      <c r="E217" s="55"/>
      <c r="F217" s="55"/>
      <c r="G217" s="55"/>
      <c r="H217" s="46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10"/>
      <c r="AF217" s="10"/>
      <c r="AG217" s="10"/>
      <c r="AH217" s="10"/>
      <c r="AI217" s="10"/>
      <c r="AJ217" s="11"/>
      <c r="AK217" s="10"/>
      <c r="AL217" s="192"/>
      <c r="AV217" s="10"/>
      <c r="AW217" s="192"/>
      <c r="BG217" s="10"/>
      <c r="BH217" s="192"/>
      <c r="BR217" s="10"/>
      <c r="BS217" s="192"/>
    </row>
    <row r="218" customFormat="false" ht="12.75" hidden="false" customHeight="false" outlineLevel="0" collapsed="false">
      <c r="B218" s="60"/>
      <c r="C218" s="59"/>
      <c r="D218" s="59"/>
      <c r="E218" s="55"/>
      <c r="F218" s="55"/>
      <c r="G218" s="55"/>
      <c r="H218" s="46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10"/>
      <c r="AF218" s="10"/>
      <c r="AG218" s="10"/>
      <c r="AH218" s="10"/>
      <c r="AI218" s="10"/>
      <c r="AJ218" s="11"/>
      <c r="AK218" s="10"/>
      <c r="AL218" s="192"/>
      <c r="AV218" s="10"/>
      <c r="AW218" s="192"/>
      <c r="BG218" s="10"/>
      <c r="BH218" s="192"/>
      <c r="BR218" s="10"/>
      <c r="BS218" s="192"/>
    </row>
    <row r="219" customFormat="false" ht="12.75" hidden="false" customHeight="false" outlineLevel="0" collapsed="false">
      <c r="B219" s="60"/>
      <c r="C219" s="59"/>
      <c r="D219" s="59"/>
      <c r="E219" s="55"/>
      <c r="F219" s="55"/>
      <c r="G219" s="55"/>
      <c r="H219" s="46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10"/>
      <c r="AF219" s="10"/>
      <c r="AG219" s="10"/>
      <c r="AH219" s="10"/>
      <c r="AI219" s="10"/>
      <c r="AJ219" s="11"/>
      <c r="AK219" s="10"/>
      <c r="AL219" s="192"/>
      <c r="AV219" s="10"/>
      <c r="AW219" s="192"/>
      <c r="BG219" s="10"/>
      <c r="BH219" s="192"/>
      <c r="BR219" s="10"/>
      <c r="BS219" s="192"/>
    </row>
    <row r="220" customFormat="false" ht="12.75" hidden="false" customHeight="false" outlineLevel="0" collapsed="false">
      <c r="B220" s="60"/>
      <c r="C220" s="59"/>
      <c r="D220" s="59"/>
      <c r="E220" s="55"/>
      <c r="F220" s="55"/>
      <c r="G220" s="55"/>
      <c r="H220" s="46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10"/>
      <c r="AF220" s="10"/>
      <c r="AG220" s="10"/>
      <c r="AH220" s="10"/>
      <c r="AI220" s="10"/>
      <c r="AJ220" s="11"/>
      <c r="AK220" s="10"/>
      <c r="AL220" s="192"/>
      <c r="AV220" s="10"/>
      <c r="AW220" s="192"/>
      <c r="BG220" s="10"/>
      <c r="BH220" s="192"/>
      <c r="BR220" s="10"/>
      <c r="BS220" s="192"/>
    </row>
    <row r="221" customFormat="false" ht="12.75" hidden="false" customHeight="false" outlineLevel="0" collapsed="false">
      <c r="B221" s="60"/>
      <c r="C221" s="59"/>
      <c r="D221" s="59"/>
      <c r="E221" s="55"/>
      <c r="F221" s="55"/>
      <c r="G221" s="55"/>
      <c r="H221" s="46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  <c r="AA221" s="223"/>
      <c r="AB221" s="223"/>
      <c r="AC221" s="223"/>
      <c r="AD221" s="223"/>
      <c r="AE221" s="10"/>
      <c r="AF221" s="10"/>
      <c r="AG221" s="10"/>
      <c r="AH221" s="10"/>
      <c r="AI221" s="10"/>
      <c r="AJ221" s="11"/>
      <c r="AK221" s="10"/>
      <c r="AL221" s="192"/>
      <c r="AV221" s="10"/>
      <c r="AW221" s="192"/>
      <c r="BG221" s="10"/>
      <c r="BH221" s="192"/>
      <c r="BR221" s="10"/>
      <c r="BS221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" width="8.41"/>
    <col collapsed="false" customWidth="true" hidden="false" outlineLevel="0" max="3" min="2" style="10" width="5.28"/>
    <col collapsed="false" customWidth="true" hidden="false" outlineLevel="0" max="4" min="4" style="10" width="4.99"/>
    <col collapsed="false" customWidth="true" hidden="false" outlineLevel="0" max="5" min="5" style="10" width="5.28"/>
    <col collapsed="false" customWidth="true" hidden="false" outlineLevel="0" max="6" min="6" style="10" width="4.99"/>
    <col collapsed="false" customWidth="true" hidden="false" outlineLevel="0" max="7" min="7" style="10" width="5.28"/>
    <col collapsed="false" customWidth="true" hidden="false" outlineLevel="0" max="8" min="8" style="10" width="5.99"/>
    <col collapsed="false" customWidth="true" hidden="false" outlineLevel="0" max="9" min="9" style="10" width="5.41"/>
    <col collapsed="false" customWidth="true" hidden="false" outlineLevel="0" max="10" min="10" style="10" width="5.99"/>
    <col collapsed="false" customWidth="true" hidden="false" outlineLevel="0" max="12" min="11" style="10" width="5.28"/>
    <col collapsed="false" customWidth="true" hidden="false" outlineLevel="0" max="14" min="13" style="10" width="4.85"/>
    <col collapsed="false" customWidth="true" hidden="false" outlineLevel="0" max="15" min="15" style="10" width="5.28"/>
    <col collapsed="false" customWidth="true" hidden="false" outlineLevel="0" max="16" min="16" style="10" width="5.56"/>
    <col collapsed="false" customWidth="true" hidden="false" outlineLevel="0" max="17" min="17" style="10" width="6.41"/>
    <col collapsed="false" customWidth="true" hidden="false" outlineLevel="0" max="18" min="18" style="10" width="5.56"/>
    <col collapsed="false" customWidth="true" hidden="false" outlineLevel="0" max="21" min="19" style="10" width="6.41"/>
    <col collapsed="false" customWidth="false" hidden="false" outlineLevel="0" max="257" min="22" style="117" width="9.14"/>
  </cols>
  <sheetData>
    <row r="1" customFormat="false" ht="13.5" hidden="false" customHeight="false" outlineLevel="0" collapsed="false">
      <c r="A1" s="224" t="s">
        <v>64</v>
      </c>
      <c r="B1" s="225" t="n">
        <v>-5</v>
      </c>
      <c r="C1" s="226" t="n">
        <v>-4</v>
      </c>
      <c r="D1" s="227" t="n">
        <v>-3.5</v>
      </c>
      <c r="E1" s="227" t="n">
        <v>-3</v>
      </c>
      <c r="F1" s="227" t="n">
        <v>-2.5</v>
      </c>
      <c r="G1" s="227" t="n">
        <v>-2</v>
      </c>
      <c r="H1" s="227" t="n">
        <v>-1.5</v>
      </c>
      <c r="I1" s="227" t="n">
        <v>-1</v>
      </c>
      <c r="J1" s="227" t="n">
        <v>-0.5</v>
      </c>
      <c r="K1" s="227" t="n">
        <v>0</v>
      </c>
      <c r="L1" s="227" t="n">
        <v>0.5</v>
      </c>
      <c r="M1" s="227" t="n">
        <v>1</v>
      </c>
      <c r="N1" s="227" t="n">
        <v>1.5</v>
      </c>
      <c r="O1" s="227" t="n">
        <v>2</v>
      </c>
      <c r="P1" s="227" t="n">
        <v>2.5</v>
      </c>
      <c r="Q1" s="227" t="n">
        <v>3</v>
      </c>
      <c r="R1" s="227" t="n">
        <v>4</v>
      </c>
      <c r="S1" s="227" t="n">
        <v>5</v>
      </c>
      <c r="T1" s="228" t="n">
        <v>10</v>
      </c>
      <c r="U1" s="229" t="n">
        <v>40</v>
      </c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12.75" hidden="false" customHeight="false" outlineLevel="0" collapsed="false">
      <c r="A2" s="230" t="n">
        <v>37226</v>
      </c>
      <c r="B2" s="231" t="n">
        <v>4.5</v>
      </c>
      <c r="C2" s="232" t="n">
        <v>3.5</v>
      </c>
      <c r="D2" s="233" t="n">
        <v>2.25</v>
      </c>
      <c r="E2" s="234" t="n">
        <v>1.25</v>
      </c>
      <c r="F2" s="235" t="n">
        <v>0.5</v>
      </c>
      <c r="G2" s="235" t="n">
        <v>0.25</v>
      </c>
      <c r="H2" s="234" t="n">
        <v>0</v>
      </c>
      <c r="I2" s="235" t="n">
        <v>-0.25</v>
      </c>
      <c r="J2" s="234" t="n">
        <v>-0.25</v>
      </c>
      <c r="K2" s="234" t="n">
        <v>0</v>
      </c>
      <c r="L2" s="234" t="n">
        <v>2.25</v>
      </c>
      <c r="M2" s="235" t="n">
        <v>4.5</v>
      </c>
      <c r="N2" s="235" t="n">
        <v>6.75</v>
      </c>
      <c r="O2" s="234" t="n">
        <v>9</v>
      </c>
      <c r="P2" s="235" t="n">
        <v>11.25</v>
      </c>
      <c r="Q2" s="234" t="n">
        <v>13.5</v>
      </c>
      <c r="R2" s="235" t="n">
        <v>18</v>
      </c>
      <c r="S2" s="236" t="n">
        <v>20.25</v>
      </c>
      <c r="T2" s="237" t="n">
        <v>25</v>
      </c>
      <c r="U2" s="232" t="n">
        <v>50</v>
      </c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A3" s="230" t="n">
        <v>37257</v>
      </c>
      <c r="B3" s="238" t="n">
        <v>4.5</v>
      </c>
      <c r="C3" s="239" t="n">
        <v>3.5</v>
      </c>
      <c r="D3" s="233" t="n">
        <v>2.25</v>
      </c>
      <c r="E3" s="234" t="n">
        <v>1.25</v>
      </c>
      <c r="F3" s="235" t="n">
        <v>0.25</v>
      </c>
      <c r="G3" s="235" t="n">
        <v>-0.25</v>
      </c>
      <c r="H3" s="240" t="n">
        <v>-0.75</v>
      </c>
      <c r="I3" s="235" t="n">
        <v>-1.5</v>
      </c>
      <c r="J3" s="240" t="n">
        <v>-0.75</v>
      </c>
      <c r="K3" s="240" t="n">
        <v>0</v>
      </c>
      <c r="L3" s="240" t="n">
        <v>2.25</v>
      </c>
      <c r="M3" s="235" t="n">
        <v>4.5</v>
      </c>
      <c r="N3" s="235" t="n">
        <v>6.75</v>
      </c>
      <c r="O3" s="240" t="n">
        <v>9</v>
      </c>
      <c r="P3" s="235" t="n">
        <v>11.25</v>
      </c>
      <c r="Q3" s="240" t="n">
        <v>13.5</v>
      </c>
      <c r="R3" s="235" t="n">
        <v>18</v>
      </c>
      <c r="S3" s="241" t="n">
        <v>20.25</v>
      </c>
      <c r="T3" s="242" t="n">
        <v>25</v>
      </c>
      <c r="U3" s="239" t="n">
        <v>50</v>
      </c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customFormat="false" ht="12.75" hidden="false" customHeight="false" outlineLevel="0" collapsed="false">
      <c r="A4" s="230" t="n">
        <v>37288</v>
      </c>
      <c r="B4" s="238" t="n">
        <v>4.5</v>
      </c>
      <c r="C4" s="239" t="n">
        <v>3.5</v>
      </c>
      <c r="D4" s="233" t="n">
        <v>2.25</v>
      </c>
      <c r="E4" s="234" t="n">
        <v>1.25</v>
      </c>
      <c r="F4" s="235" t="n">
        <v>0.25</v>
      </c>
      <c r="G4" s="235" t="n">
        <v>-0.25</v>
      </c>
      <c r="H4" s="240" t="n">
        <v>-0.75</v>
      </c>
      <c r="I4" s="235" t="n">
        <v>-1.5</v>
      </c>
      <c r="J4" s="240" t="n">
        <v>-0.75</v>
      </c>
      <c r="K4" s="240" t="n">
        <v>0</v>
      </c>
      <c r="L4" s="240" t="n">
        <v>2.25</v>
      </c>
      <c r="M4" s="235" t="n">
        <v>4.5</v>
      </c>
      <c r="N4" s="235" t="n">
        <v>6.75</v>
      </c>
      <c r="O4" s="240" t="n">
        <v>9</v>
      </c>
      <c r="P4" s="235" t="n">
        <v>11.25</v>
      </c>
      <c r="Q4" s="240" t="n">
        <v>13.5</v>
      </c>
      <c r="R4" s="235" t="n">
        <v>18</v>
      </c>
      <c r="S4" s="241" t="n">
        <v>20.25</v>
      </c>
      <c r="T4" s="242" t="n">
        <v>25</v>
      </c>
      <c r="U4" s="239" t="n">
        <v>50</v>
      </c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12.75" hidden="false" customHeight="false" outlineLevel="0" collapsed="false">
      <c r="A5" s="230" t="n">
        <v>37316</v>
      </c>
      <c r="B5" s="238" t="n">
        <v>4.5</v>
      </c>
      <c r="C5" s="239" t="n">
        <v>3.5</v>
      </c>
      <c r="D5" s="233" t="n">
        <v>2.25</v>
      </c>
      <c r="E5" s="234" t="n">
        <v>1.25</v>
      </c>
      <c r="F5" s="235" t="n">
        <v>0.25</v>
      </c>
      <c r="G5" s="235" t="n">
        <v>-0.25</v>
      </c>
      <c r="H5" s="240" t="n">
        <v>-0.75</v>
      </c>
      <c r="I5" s="235" t="n">
        <v>-1.5</v>
      </c>
      <c r="J5" s="240" t="n">
        <v>-0.75</v>
      </c>
      <c r="K5" s="240" t="n">
        <v>0</v>
      </c>
      <c r="L5" s="240" t="n">
        <v>2.25</v>
      </c>
      <c r="M5" s="235" t="n">
        <v>4.5</v>
      </c>
      <c r="N5" s="235" t="n">
        <v>6.75</v>
      </c>
      <c r="O5" s="240" t="n">
        <v>9</v>
      </c>
      <c r="P5" s="235" t="n">
        <v>11.25</v>
      </c>
      <c r="Q5" s="240" t="n">
        <v>13.5</v>
      </c>
      <c r="R5" s="235" t="n">
        <v>18</v>
      </c>
      <c r="S5" s="241" t="n">
        <v>20.25</v>
      </c>
      <c r="T5" s="242" t="n">
        <v>25</v>
      </c>
      <c r="U5" s="239" t="n">
        <v>50</v>
      </c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230" t="n">
        <v>37347</v>
      </c>
      <c r="B6" s="238" t="n">
        <v>4</v>
      </c>
      <c r="C6" s="239" t="n">
        <v>3</v>
      </c>
      <c r="D6" s="233" t="n">
        <v>1.5</v>
      </c>
      <c r="E6" s="234" t="n">
        <v>0.5</v>
      </c>
      <c r="F6" s="235" t="n">
        <v>0.1</v>
      </c>
      <c r="G6" s="235" t="n">
        <v>-0.25</v>
      </c>
      <c r="H6" s="240" t="n">
        <v>-0.75</v>
      </c>
      <c r="I6" s="235" t="n">
        <v>-1.25</v>
      </c>
      <c r="J6" s="240" t="n">
        <v>-0.75</v>
      </c>
      <c r="K6" s="240" t="n">
        <v>0</v>
      </c>
      <c r="L6" s="240" t="n">
        <v>2</v>
      </c>
      <c r="M6" s="235" t="n">
        <v>2.75</v>
      </c>
      <c r="N6" s="235" t="n">
        <v>3.5</v>
      </c>
      <c r="O6" s="240" t="n">
        <v>4.5</v>
      </c>
      <c r="P6" s="235" t="n">
        <v>5.5</v>
      </c>
      <c r="Q6" s="240" t="n">
        <v>6.5</v>
      </c>
      <c r="R6" s="235" t="n">
        <v>7.5</v>
      </c>
      <c r="S6" s="241" t="n">
        <v>8.5</v>
      </c>
      <c r="T6" s="243" t="n">
        <v>11</v>
      </c>
      <c r="U6" s="244" t="n">
        <v>29</v>
      </c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30" t="n">
        <v>37377</v>
      </c>
      <c r="B7" s="238" t="n">
        <v>3</v>
      </c>
      <c r="C7" s="239" t="n">
        <v>2</v>
      </c>
      <c r="D7" s="233" t="n">
        <v>1</v>
      </c>
      <c r="E7" s="234" t="n">
        <v>0.75</v>
      </c>
      <c r="F7" s="235" t="n">
        <v>0.25</v>
      </c>
      <c r="G7" s="235" t="n">
        <v>-0.25</v>
      </c>
      <c r="H7" s="240" t="n">
        <v>-0.75</v>
      </c>
      <c r="I7" s="235" t="n">
        <v>-1</v>
      </c>
      <c r="J7" s="240" t="n">
        <v>-0.7</v>
      </c>
      <c r="K7" s="240" t="n">
        <v>0</v>
      </c>
      <c r="L7" s="240" t="n">
        <v>1.75</v>
      </c>
      <c r="M7" s="235" t="n">
        <v>2.5</v>
      </c>
      <c r="N7" s="235" t="n">
        <v>3.25</v>
      </c>
      <c r="O7" s="240" t="n">
        <v>4.25</v>
      </c>
      <c r="P7" s="235" t="n">
        <v>5.25</v>
      </c>
      <c r="Q7" s="240" t="n">
        <v>6</v>
      </c>
      <c r="R7" s="235" t="n">
        <v>7</v>
      </c>
      <c r="S7" s="241" t="n">
        <v>8</v>
      </c>
      <c r="T7" s="242" t="n">
        <v>9</v>
      </c>
      <c r="U7" s="239" t="n">
        <v>29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30" t="n">
        <v>37408</v>
      </c>
      <c r="B8" s="238" t="n">
        <v>3</v>
      </c>
      <c r="C8" s="239" t="n">
        <v>2</v>
      </c>
      <c r="D8" s="233" t="n">
        <v>1</v>
      </c>
      <c r="E8" s="234" t="n">
        <v>0.75</v>
      </c>
      <c r="F8" s="235" t="n">
        <v>0.25</v>
      </c>
      <c r="G8" s="235" t="n">
        <v>-0.25</v>
      </c>
      <c r="H8" s="240" t="n">
        <v>-0.75</v>
      </c>
      <c r="I8" s="235" t="n">
        <v>-1</v>
      </c>
      <c r="J8" s="240" t="n">
        <v>-0.7</v>
      </c>
      <c r="K8" s="240" t="n">
        <v>0</v>
      </c>
      <c r="L8" s="240" t="n">
        <v>1.75</v>
      </c>
      <c r="M8" s="235" t="n">
        <v>2.5</v>
      </c>
      <c r="N8" s="235" t="n">
        <v>3.25</v>
      </c>
      <c r="O8" s="240" t="n">
        <v>4.25</v>
      </c>
      <c r="P8" s="235" t="n">
        <v>5.25</v>
      </c>
      <c r="Q8" s="240" t="n">
        <v>6</v>
      </c>
      <c r="R8" s="235" t="n">
        <v>7</v>
      </c>
      <c r="S8" s="241" t="n">
        <v>8</v>
      </c>
      <c r="T8" s="242" t="n">
        <v>9</v>
      </c>
      <c r="U8" s="239" t="n">
        <v>29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30" t="n">
        <v>37438</v>
      </c>
      <c r="B9" s="238" t="n">
        <v>3</v>
      </c>
      <c r="C9" s="239" t="n">
        <v>2</v>
      </c>
      <c r="D9" s="233" t="n">
        <v>1</v>
      </c>
      <c r="E9" s="234" t="n">
        <v>0.75</v>
      </c>
      <c r="F9" s="235" t="n">
        <v>0.25</v>
      </c>
      <c r="G9" s="235" t="n">
        <v>-0.25</v>
      </c>
      <c r="H9" s="240" t="n">
        <v>-0.75</v>
      </c>
      <c r="I9" s="235" t="n">
        <v>-1</v>
      </c>
      <c r="J9" s="240" t="n">
        <v>-0.7</v>
      </c>
      <c r="K9" s="240" t="n">
        <v>0</v>
      </c>
      <c r="L9" s="240" t="n">
        <v>1.75</v>
      </c>
      <c r="M9" s="235" t="n">
        <v>2.5</v>
      </c>
      <c r="N9" s="235" t="n">
        <v>3.25</v>
      </c>
      <c r="O9" s="240" t="n">
        <v>4.25</v>
      </c>
      <c r="P9" s="235" t="n">
        <v>5.25</v>
      </c>
      <c r="Q9" s="240" t="n">
        <v>6</v>
      </c>
      <c r="R9" s="235" t="n">
        <v>7</v>
      </c>
      <c r="S9" s="241" t="n">
        <v>8</v>
      </c>
      <c r="T9" s="242" t="n">
        <v>9</v>
      </c>
      <c r="U9" s="239" t="n">
        <v>29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3.5" hidden="false" customHeight="false" outlineLevel="0" collapsed="false">
      <c r="A10" s="230" t="n">
        <v>37469</v>
      </c>
      <c r="B10" s="238" t="n">
        <v>3</v>
      </c>
      <c r="C10" s="239" t="n">
        <v>2</v>
      </c>
      <c r="D10" s="233" t="n">
        <v>1</v>
      </c>
      <c r="E10" s="234" t="n">
        <v>0.75</v>
      </c>
      <c r="F10" s="235" t="n">
        <v>0.25</v>
      </c>
      <c r="G10" s="235" t="n">
        <v>-0.25</v>
      </c>
      <c r="H10" s="240" t="n">
        <v>-0.75</v>
      </c>
      <c r="I10" s="235" t="n">
        <v>-1</v>
      </c>
      <c r="J10" s="240" t="n">
        <v>-0.7</v>
      </c>
      <c r="K10" s="240" t="n">
        <v>0</v>
      </c>
      <c r="L10" s="240" t="n">
        <v>1.75</v>
      </c>
      <c r="M10" s="235" t="n">
        <v>2.5</v>
      </c>
      <c r="N10" s="235" t="n">
        <v>3.25</v>
      </c>
      <c r="O10" s="240" t="n">
        <v>4.25</v>
      </c>
      <c r="P10" s="235" t="n">
        <v>5.25</v>
      </c>
      <c r="Q10" s="240" t="n">
        <v>6</v>
      </c>
      <c r="R10" s="235" t="n">
        <v>7</v>
      </c>
      <c r="S10" s="241" t="n">
        <v>8</v>
      </c>
      <c r="T10" s="242" t="n">
        <v>9</v>
      </c>
      <c r="U10" s="239" t="n">
        <v>29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3.5" hidden="false" customHeight="true" outlineLevel="0" collapsed="false">
      <c r="A11" s="245" t="n">
        <v>37500</v>
      </c>
      <c r="B11" s="246" t="n">
        <v>3</v>
      </c>
      <c r="C11" s="247" t="n">
        <v>2</v>
      </c>
      <c r="D11" s="248" t="n">
        <v>1</v>
      </c>
      <c r="E11" s="249" t="n">
        <v>0.75</v>
      </c>
      <c r="F11" s="250" t="n">
        <v>0.25</v>
      </c>
      <c r="G11" s="250" t="n">
        <v>-0.25</v>
      </c>
      <c r="H11" s="249" t="n">
        <v>-0.75</v>
      </c>
      <c r="I11" s="250" t="n">
        <v>-1</v>
      </c>
      <c r="J11" s="249" t="n">
        <v>-0.7</v>
      </c>
      <c r="K11" s="249" t="n">
        <v>0</v>
      </c>
      <c r="L11" s="249" t="n">
        <v>1.75</v>
      </c>
      <c r="M11" s="250" t="n">
        <v>2.5</v>
      </c>
      <c r="N11" s="250" t="n">
        <v>3.25</v>
      </c>
      <c r="O11" s="249" t="n">
        <v>4.25</v>
      </c>
      <c r="P11" s="250" t="n">
        <v>5.25</v>
      </c>
      <c r="Q11" s="249" t="n">
        <v>6</v>
      </c>
      <c r="R11" s="250" t="n">
        <v>7</v>
      </c>
      <c r="S11" s="247" t="n">
        <v>8</v>
      </c>
      <c r="T11" s="251" t="n">
        <v>9</v>
      </c>
      <c r="U11" s="252" t="n">
        <v>29</v>
      </c>
      <c r="V11" s="0"/>
      <c r="W11" s="0"/>
      <c r="X11" s="0"/>
      <c r="Y11" s="0"/>
      <c r="Z11" s="0"/>
      <c r="AA11" s="0"/>
      <c r="AB11" s="0"/>
      <c r="AC11" s="0"/>
      <c r="AD11" s="253" t="n">
        <v>36982</v>
      </c>
      <c r="AE11" s="253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45" t="n">
        <v>37530</v>
      </c>
      <c r="B12" s="246" t="n">
        <v>3</v>
      </c>
      <c r="C12" s="247" t="n">
        <v>2</v>
      </c>
      <c r="D12" s="248" t="n">
        <v>1</v>
      </c>
      <c r="E12" s="249" t="n">
        <v>0.75</v>
      </c>
      <c r="F12" s="250" t="n">
        <v>0.25</v>
      </c>
      <c r="G12" s="250" t="n">
        <v>-0.25</v>
      </c>
      <c r="H12" s="249" t="n">
        <v>-0.75</v>
      </c>
      <c r="I12" s="250" t="n">
        <v>-1</v>
      </c>
      <c r="J12" s="249" t="n">
        <v>-0.7</v>
      </c>
      <c r="K12" s="249" t="n">
        <v>0</v>
      </c>
      <c r="L12" s="249" t="n">
        <v>1.75</v>
      </c>
      <c r="M12" s="250" t="n">
        <v>2.5</v>
      </c>
      <c r="N12" s="250" t="n">
        <v>3.25</v>
      </c>
      <c r="O12" s="249" t="n">
        <v>4.25</v>
      </c>
      <c r="P12" s="250" t="n">
        <v>5.25</v>
      </c>
      <c r="Q12" s="249" t="n">
        <v>6</v>
      </c>
      <c r="R12" s="250" t="n">
        <v>7</v>
      </c>
      <c r="S12" s="247" t="n">
        <v>8</v>
      </c>
      <c r="T12" s="251" t="n">
        <v>9</v>
      </c>
      <c r="U12" s="252" t="n">
        <v>29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45" t="n">
        <v>37561</v>
      </c>
      <c r="B13" s="246" t="n">
        <v>3</v>
      </c>
      <c r="C13" s="247" t="n">
        <v>2</v>
      </c>
      <c r="D13" s="248" t="n">
        <v>1</v>
      </c>
      <c r="E13" s="249" t="n">
        <v>0.75</v>
      </c>
      <c r="F13" s="250" t="n">
        <v>0.25</v>
      </c>
      <c r="G13" s="250" t="n">
        <v>-0.25</v>
      </c>
      <c r="H13" s="249" t="n">
        <v>-0.75</v>
      </c>
      <c r="I13" s="250" t="n">
        <v>-1</v>
      </c>
      <c r="J13" s="249" t="n">
        <v>-0.7</v>
      </c>
      <c r="K13" s="249" t="n">
        <v>0</v>
      </c>
      <c r="L13" s="249" t="n">
        <v>1.25</v>
      </c>
      <c r="M13" s="250" t="n">
        <v>1.75</v>
      </c>
      <c r="N13" s="250" t="n">
        <v>2.5</v>
      </c>
      <c r="O13" s="249" t="n">
        <v>3.25</v>
      </c>
      <c r="P13" s="250" t="n">
        <v>3.75</v>
      </c>
      <c r="Q13" s="249" t="n">
        <v>4.25</v>
      </c>
      <c r="R13" s="250" t="n">
        <v>4.75</v>
      </c>
      <c r="S13" s="247" t="n">
        <v>5.75</v>
      </c>
      <c r="T13" s="251" t="n">
        <v>8.2</v>
      </c>
      <c r="U13" s="252" t="n">
        <v>29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45" t="n">
        <v>37591</v>
      </c>
      <c r="B14" s="246" t="n">
        <v>3</v>
      </c>
      <c r="C14" s="247" t="n">
        <v>2</v>
      </c>
      <c r="D14" s="248" t="n">
        <v>1</v>
      </c>
      <c r="E14" s="249" t="n">
        <v>0.75</v>
      </c>
      <c r="F14" s="250" t="n">
        <v>0.25</v>
      </c>
      <c r="G14" s="250" t="n">
        <v>-0.25</v>
      </c>
      <c r="H14" s="249" t="n">
        <v>-0.75</v>
      </c>
      <c r="I14" s="250" t="n">
        <v>-1</v>
      </c>
      <c r="J14" s="249" t="n">
        <v>-0.7</v>
      </c>
      <c r="K14" s="249" t="n">
        <v>0</v>
      </c>
      <c r="L14" s="249" t="n">
        <v>1.25</v>
      </c>
      <c r="M14" s="250" t="n">
        <v>1.75</v>
      </c>
      <c r="N14" s="250" t="n">
        <v>2.5</v>
      </c>
      <c r="O14" s="249" t="n">
        <v>3.25</v>
      </c>
      <c r="P14" s="250" t="n">
        <v>3.75</v>
      </c>
      <c r="Q14" s="249" t="n">
        <v>4.25</v>
      </c>
      <c r="R14" s="250" t="n">
        <v>4.75</v>
      </c>
      <c r="S14" s="247" t="n">
        <v>5.75</v>
      </c>
      <c r="T14" s="251" t="n">
        <v>8.2</v>
      </c>
      <c r="U14" s="252" t="n">
        <v>29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45" t="n">
        <v>37622</v>
      </c>
      <c r="B15" s="246" t="n">
        <v>3</v>
      </c>
      <c r="C15" s="247" t="n">
        <v>2</v>
      </c>
      <c r="D15" s="248" t="n">
        <v>1</v>
      </c>
      <c r="E15" s="249" t="n">
        <v>0.75</v>
      </c>
      <c r="F15" s="250" t="n">
        <v>0.25</v>
      </c>
      <c r="G15" s="250" t="n">
        <v>-0.25</v>
      </c>
      <c r="H15" s="249" t="n">
        <v>-0.75</v>
      </c>
      <c r="I15" s="250" t="n">
        <v>-1</v>
      </c>
      <c r="J15" s="249" t="n">
        <v>-0.7</v>
      </c>
      <c r="K15" s="249" t="n">
        <v>0</v>
      </c>
      <c r="L15" s="249" t="n">
        <v>1.25</v>
      </c>
      <c r="M15" s="250" t="n">
        <v>1.75</v>
      </c>
      <c r="N15" s="250" t="n">
        <v>2.5</v>
      </c>
      <c r="O15" s="249" t="n">
        <v>3.25</v>
      </c>
      <c r="P15" s="250" t="n">
        <v>3.75</v>
      </c>
      <c r="Q15" s="249" t="n">
        <v>4.25</v>
      </c>
      <c r="R15" s="250" t="n">
        <v>4.75</v>
      </c>
      <c r="S15" s="247" t="n">
        <v>5.75</v>
      </c>
      <c r="T15" s="251" t="n">
        <v>8.2</v>
      </c>
      <c r="U15" s="252" t="n">
        <v>29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45" t="n">
        <v>37653</v>
      </c>
      <c r="B16" s="246" t="n">
        <v>3</v>
      </c>
      <c r="C16" s="247" t="n">
        <v>2</v>
      </c>
      <c r="D16" s="248" t="n">
        <v>1</v>
      </c>
      <c r="E16" s="249" t="n">
        <v>0.75</v>
      </c>
      <c r="F16" s="250" t="n">
        <v>0.25</v>
      </c>
      <c r="G16" s="250" t="n">
        <v>-0.25</v>
      </c>
      <c r="H16" s="249" t="n">
        <v>-0.75</v>
      </c>
      <c r="I16" s="250" t="n">
        <v>-1</v>
      </c>
      <c r="J16" s="249" t="n">
        <v>-0.7</v>
      </c>
      <c r="K16" s="249" t="n">
        <v>0</v>
      </c>
      <c r="L16" s="249" t="n">
        <v>1.25</v>
      </c>
      <c r="M16" s="250" t="n">
        <v>1.75</v>
      </c>
      <c r="N16" s="250" t="n">
        <v>2.5</v>
      </c>
      <c r="O16" s="249" t="n">
        <v>3.25</v>
      </c>
      <c r="P16" s="250" t="n">
        <v>3.75</v>
      </c>
      <c r="Q16" s="249" t="n">
        <v>4.25</v>
      </c>
      <c r="R16" s="250" t="n">
        <v>4.75</v>
      </c>
      <c r="S16" s="247" t="n">
        <v>5.75</v>
      </c>
      <c r="T16" s="251" t="n">
        <v>8.2</v>
      </c>
      <c r="U16" s="252" t="n">
        <v>29</v>
      </c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45" t="n">
        <v>37681</v>
      </c>
      <c r="B17" s="246" t="n">
        <v>3</v>
      </c>
      <c r="C17" s="247" t="n">
        <v>2</v>
      </c>
      <c r="D17" s="248" t="n">
        <v>1</v>
      </c>
      <c r="E17" s="249" t="n">
        <v>0.75</v>
      </c>
      <c r="F17" s="250" t="n">
        <v>0.25</v>
      </c>
      <c r="G17" s="250" t="n">
        <v>-0.25</v>
      </c>
      <c r="H17" s="249" t="n">
        <v>-0.75</v>
      </c>
      <c r="I17" s="250" t="n">
        <v>-1</v>
      </c>
      <c r="J17" s="249" t="n">
        <v>-0.7</v>
      </c>
      <c r="K17" s="249" t="n">
        <v>0</v>
      </c>
      <c r="L17" s="249" t="n">
        <v>1.25</v>
      </c>
      <c r="M17" s="250" t="n">
        <v>1.75</v>
      </c>
      <c r="N17" s="250" t="n">
        <v>2.5</v>
      </c>
      <c r="O17" s="249" t="n">
        <v>3.25</v>
      </c>
      <c r="P17" s="250" t="n">
        <v>3.75</v>
      </c>
      <c r="Q17" s="249" t="n">
        <v>4.25</v>
      </c>
      <c r="R17" s="250" t="n">
        <v>4.75</v>
      </c>
      <c r="S17" s="247" t="n">
        <v>5.75</v>
      </c>
      <c r="T17" s="251" t="n">
        <v>8.2</v>
      </c>
      <c r="U17" s="252" t="n">
        <v>29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45" t="n">
        <v>37712</v>
      </c>
      <c r="B18" s="246" t="n">
        <v>3</v>
      </c>
      <c r="C18" s="247" t="n">
        <v>2</v>
      </c>
      <c r="D18" s="248" t="n">
        <v>0.75</v>
      </c>
      <c r="E18" s="249" t="n">
        <v>0.5</v>
      </c>
      <c r="F18" s="250" t="n">
        <v>0.25</v>
      </c>
      <c r="G18" s="250" t="n">
        <v>-0.25</v>
      </c>
      <c r="H18" s="249" t="n">
        <v>-0.65</v>
      </c>
      <c r="I18" s="250" t="n">
        <v>-0.85</v>
      </c>
      <c r="J18" s="249" t="n">
        <v>-0.65</v>
      </c>
      <c r="K18" s="249" t="n">
        <v>0</v>
      </c>
      <c r="L18" s="249" t="n">
        <v>1</v>
      </c>
      <c r="M18" s="250" t="n">
        <v>1.5</v>
      </c>
      <c r="N18" s="250" t="n">
        <v>2.25</v>
      </c>
      <c r="O18" s="249" t="n">
        <v>3</v>
      </c>
      <c r="P18" s="250" t="n">
        <v>3.5</v>
      </c>
      <c r="Q18" s="249" t="n">
        <v>4</v>
      </c>
      <c r="R18" s="250" t="n">
        <v>4.5</v>
      </c>
      <c r="S18" s="247" t="n">
        <v>5.5</v>
      </c>
      <c r="T18" s="251" t="n">
        <v>8.2</v>
      </c>
      <c r="U18" s="252" t="n">
        <v>29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45" t="n">
        <v>37742</v>
      </c>
      <c r="B19" s="246" t="n">
        <v>3</v>
      </c>
      <c r="C19" s="247" t="n">
        <v>2</v>
      </c>
      <c r="D19" s="248" t="n">
        <v>0.75</v>
      </c>
      <c r="E19" s="249" t="n">
        <v>0.5</v>
      </c>
      <c r="F19" s="250" t="n">
        <v>0.25</v>
      </c>
      <c r="G19" s="250" t="n">
        <v>-0.25</v>
      </c>
      <c r="H19" s="249" t="n">
        <v>-0.65</v>
      </c>
      <c r="I19" s="250" t="n">
        <v>-0.85</v>
      </c>
      <c r="J19" s="249" t="n">
        <v>-0.65</v>
      </c>
      <c r="K19" s="249" t="n">
        <v>0</v>
      </c>
      <c r="L19" s="249" t="n">
        <v>1</v>
      </c>
      <c r="M19" s="250" t="n">
        <v>1.5</v>
      </c>
      <c r="N19" s="250" t="n">
        <v>2.25</v>
      </c>
      <c r="O19" s="249" t="n">
        <v>3</v>
      </c>
      <c r="P19" s="250" t="n">
        <v>3.5</v>
      </c>
      <c r="Q19" s="249" t="n">
        <v>4</v>
      </c>
      <c r="R19" s="250" t="n">
        <v>4.5</v>
      </c>
      <c r="S19" s="247" t="n">
        <v>5.5</v>
      </c>
      <c r="T19" s="251" t="n">
        <v>8.2</v>
      </c>
      <c r="U19" s="252" t="n">
        <v>29</v>
      </c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45" t="n">
        <v>37773</v>
      </c>
      <c r="B20" s="246" t="n">
        <v>3</v>
      </c>
      <c r="C20" s="247" t="n">
        <v>2</v>
      </c>
      <c r="D20" s="248" t="n">
        <v>0.75</v>
      </c>
      <c r="E20" s="249" t="n">
        <v>0.5</v>
      </c>
      <c r="F20" s="250" t="n">
        <v>0.25</v>
      </c>
      <c r="G20" s="250" t="n">
        <v>-0.25</v>
      </c>
      <c r="H20" s="249" t="n">
        <v>-0.65</v>
      </c>
      <c r="I20" s="250" t="n">
        <v>-0.85</v>
      </c>
      <c r="J20" s="249" t="n">
        <v>-0.65</v>
      </c>
      <c r="K20" s="249" t="n">
        <v>0</v>
      </c>
      <c r="L20" s="249" t="n">
        <v>1</v>
      </c>
      <c r="M20" s="250" t="n">
        <v>1.5</v>
      </c>
      <c r="N20" s="250" t="n">
        <v>2.25</v>
      </c>
      <c r="O20" s="249" t="n">
        <v>3</v>
      </c>
      <c r="P20" s="250" t="n">
        <v>3.5</v>
      </c>
      <c r="Q20" s="249" t="n">
        <v>4</v>
      </c>
      <c r="R20" s="250" t="n">
        <v>4.5</v>
      </c>
      <c r="S20" s="247" t="n">
        <v>5.5</v>
      </c>
      <c r="T20" s="251" t="n">
        <v>8.2</v>
      </c>
      <c r="U20" s="252" t="n">
        <v>29</v>
      </c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45" t="n">
        <v>37803</v>
      </c>
      <c r="B21" s="246" t="n">
        <v>3</v>
      </c>
      <c r="C21" s="247" t="n">
        <v>2</v>
      </c>
      <c r="D21" s="248" t="n">
        <v>0.75</v>
      </c>
      <c r="E21" s="249" t="n">
        <v>0.5</v>
      </c>
      <c r="F21" s="250" t="n">
        <v>0.25</v>
      </c>
      <c r="G21" s="250" t="n">
        <v>-0.25</v>
      </c>
      <c r="H21" s="249" t="n">
        <v>-0.65</v>
      </c>
      <c r="I21" s="250" t="n">
        <v>-0.85</v>
      </c>
      <c r="J21" s="249" t="n">
        <v>-0.65</v>
      </c>
      <c r="K21" s="249" t="n">
        <v>0</v>
      </c>
      <c r="L21" s="249" t="n">
        <v>1</v>
      </c>
      <c r="M21" s="250" t="n">
        <v>1.5</v>
      </c>
      <c r="N21" s="250" t="n">
        <v>2.25</v>
      </c>
      <c r="O21" s="249" t="n">
        <v>3</v>
      </c>
      <c r="P21" s="250" t="n">
        <v>3.5</v>
      </c>
      <c r="Q21" s="249" t="n">
        <v>4</v>
      </c>
      <c r="R21" s="250" t="n">
        <v>4.5</v>
      </c>
      <c r="S21" s="247" t="n">
        <v>5.5</v>
      </c>
      <c r="T21" s="251" t="n">
        <v>8.2</v>
      </c>
      <c r="U21" s="252" t="n">
        <v>29</v>
      </c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45" t="n">
        <v>37834</v>
      </c>
      <c r="B22" s="246" t="n">
        <v>3</v>
      </c>
      <c r="C22" s="247" t="n">
        <v>2</v>
      </c>
      <c r="D22" s="248" t="n">
        <v>0.75</v>
      </c>
      <c r="E22" s="249" t="n">
        <v>0.5</v>
      </c>
      <c r="F22" s="250" t="n">
        <v>0.25</v>
      </c>
      <c r="G22" s="250" t="n">
        <v>-0.25</v>
      </c>
      <c r="H22" s="249" t="n">
        <v>-0.65</v>
      </c>
      <c r="I22" s="250" t="n">
        <v>-0.85</v>
      </c>
      <c r="J22" s="249" t="n">
        <v>-0.65</v>
      </c>
      <c r="K22" s="249" t="n">
        <v>0</v>
      </c>
      <c r="L22" s="249" t="n">
        <v>1</v>
      </c>
      <c r="M22" s="250" t="n">
        <v>1.5</v>
      </c>
      <c r="N22" s="250" t="n">
        <v>2.25</v>
      </c>
      <c r="O22" s="249" t="n">
        <v>3</v>
      </c>
      <c r="P22" s="250" t="n">
        <v>3.5</v>
      </c>
      <c r="Q22" s="249" t="n">
        <v>4</v>
      </c>
      <c r="R22" s="250" t="n">
        <v>4.5</v>
      </c>
      <c r="S22" s="247" t="n">
        <v>5.5</v>
      </c>
      <c r="T22" s="251" t="n">
        <v>8.2</v>
      </c>
      <c r="U22" s="252" t="n">
        <v>29</v>
      </c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45" t="n">
        <v>37865</v>
      </c>
      <c r="B23" s="246" t="n">
        <v>3</v>
      </c>
      <c r="C23" s="247" t="n">
        <v>2</v>
      </c>
      <c r="D23" s="248" t="n">
        <v>0.75</v>
      </c>
      <c r="E23" s="249" t="n">
        <v>0.5</v>
      </c>
      <c r="F23" s="250" t="n">
        <v>0.25</v>
      </c>
      <c r="G23" s="250" t="n">
        <v>-0.25</v>
      </c>
      <c r="H23" s="249" t="n">
        <v>-0.65</v>
      </c>
      <c r="I23" s="250" t="n">
        <v>-0.85</v>
      </c>
      <c r="J23" s="249" t="n">
        <v>-0.65</v>
      </c>
      <c r="K23" s="249" t="n">
        <v>0</v>
      </c>
      <c r="L23" s="249" t="n">
        <v>1</v>
      </c>
      <c r="M23" s="250" t="n">
        <v>1.5</v>
      </c>
      <c r="N23" s="250" t="n">
        <v>2.25</v>
      </c>
      <c r="O23" s="249" t="n">
        <v>3</v>
      </c>
      <c r="P23" s="250" t="n">
        <v>3.5</v>
      </c>
      <c r="Q23" s="249" t="n">
        <v>4</v>
      </c>
      <c r="R23" s="250" t="n">
        <v>4.5</v>
      </c>
      <c r="S23" s="247" t="n">
        <v>5.5</v>
      </c>
      <c r="T23" s="251" t="n">
        <v>8.2</v>
      </c>
      <c r="U23" s="252" t="n">
        <v>29</v>
      </c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45" t="n">
        <v>37895</v>
      </c>
      <c r="B24" s="246" t="n">
        <v>3</v>
      </c>
      <c r="C24" s="247" t="n">
        <v>2</v>
      </c>
      <c r="D24" s="248" t="n">
        <v>0.75</v>
      </c>
      <c r="E24" s="249" t="n">
        <v>0.5</v>
      </c>
      <c r="F24" s="250" t="n">
        <v>0.25</v>
      </c>
      <c r="G24" s="250" t="n">
        <v>-0.25</v>
      </c>
      <c r="H24" s="249" t="n">
        <v>-0.65</v>
      </c>
      <c r="I24" s="250" t="n">
        <v>-0.85</v>
      </c>
      <c r="J24" s="249" t="n">
        <v>-0.65</v>
      </c>
      <c r="K24" s="249" t="n">
        <v>0</v>
      </c>
      <c r="L24" s="249" t="n">
        <v>1</v>
      </c>
      <c r="M24" s="250" t="n">
        <v>1.5</v>
      </c>
      <c r="N24" s="250" t="n">
        <v>2.25</v>
      </c>
      <c r="O24" s="249" t="n">
        <v>3</v>
      </c>
      <c r="P24" s="250" t="n">
        <v>3.5</v>
      </c>
      <c r="Q24" s="249" t="n">
        <v>4</v>
      </c>
      <c r="R24" s="250" t="n">
        <v>4.5</v>
      </c>
      <c r="S24" s="247" t="n">
        <v>5.5</v>
      </c>
      <c r="T24" s="251" t="n">
        <v>8.2</v>
      </c>
      <c r="U24" s="252" t="n">
        <v>29</v>
      </c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45" t="n">
        <v>37926</v>
      </c>
      <c r="B25" s="246" t="n">
        <v>3</v>
      </c>
      <c r="C25" s="247" t="n">
        <v>2</v>
      </c>
      <c r="D25" s="248" t="n">
        <v>0.75</v>
      </c>
      <c r="E25" s="249" t="n">
        <v>0.5</v>
      </c>
      <c r="F25" s="250" t="n">
        <v>0.25</v>
      </c>
      <c r="G25" s="250" t="n">
        <v>-0.25</v>
      </c>
      <c r="H25" s="249" t="n">
        <v>-0.65</v>
      </c>
      <c r="I25" s="250" t="n">
        <v>-0.85</v>
      </c>
      <c r="J25" s="249" t="n">
        <v>-0.65</v>
      </c>
      <c r="K25" s="249" t="n">
        <v>0</v>
      </c>
      <c r="L25" s="249" t="n">
        <v>1</v>
      </c>
      <c r="M25" s="250" t="n">
        <v>1.5</v>
      </c>
      <c r="N25" s="250" t="n">
        <v>2.25</v>
      </c>
      <c r="O25" s="249" t="n">
        <v>3</v>
      </c>
      <c r="P25" s="250" t="n">
        <v>3.5</v>
      </c>
      <c r="Q25" s="249" t="n">
        <v>4</v>
      </c>
      <c r="R25" s="250" t="n">
        <v>4.5</v>
      </c>
      <c r="S25" s="247" t="n">
        <v>5.5</v>
      </c>
      <c r="T25" s="251" t="n">
        <v>8.2</v>
      </c>
      <c r="U25" s="252" t="n">
        <v>29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45" t="n">
        <v>37956</v>
      </c>
      <c r="B26" s="246" t="n">
        <v>3</v>
      </c>
      <c r="C26" s="247" t="n">
        <v>2</v>
      </c>
      <c r="D26" s="248" t="n">
        <v>0.75</v>
      </c>
      <c r="E26" s="249" t="n">
        <v>0.5</v>
      </c>
      <c r="F26" s="250" t="n">
        <v>0.25</v>
      </c>
      <c r="G26" s="250" t="n">
        <v>-0.25</v>
      </c>
      <c r="H26" s="249" t="n">
        <v>-0.65</v>
      </c>
      <c r="I26" s="250" t="n">
        <v>-0.85</v>
      </c>
      <c r="J26" s="249" t="n">
        <v>-0.65</v>
      </c>
      <c r="K26" s="249" t="n">
        <v>0</v>
      </c>
      <c r="L26" s="249" t="n">
        <v>1</v>
      </c>
      <c r="M26" s="250" t="n">
        <v>1.5</v>
      </c>
      <c r="N26" s="250" t="n">
        <v>2.25</v>
      </c>
      <c r="O26" s="249" t="n">
        <v>3</v>
      </c>
      <c r="P26" s="250" t="n">
        <v>3.5</v>
      </c>
      <c r="Q26" s="249" t="n">
        <v>4</v>
      </c>
      <c r="R26" s="250" t="n">
        <v>4.5</v>
      </c>
      <c r="S26" s="247" t="n">
        <v>5.5</v>
      </c>
      <c r="T26" s="251" t="n">
        <v>8.2</v>
      </c>
      <c r="U26" s="252" t="n">
        <v>29</v>
      </c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45" t="n">
        <v>37987</v>
      </c>
      <c r="B27" s="246" t="n">
        <v>3</v>
      </c>
      <c r="C27" s="247" t="n">
        <v>2</v>
      </c>
      <c r="D27" s="248" t="n">
        <v>0.75</v>
      </c>
      <c r="E27" s="249" t="n">
        <v>0.5</v>
      </c>
      <c r="F27" s="250" t="n">
        <v>0.25</v>
      </c>
      <c r="G27" s="250" t="n">
        <v>-0.25</v>
      </c>
      <c r="H27" s="249" t="n">
        <v>-0.65</v>
      </c>
      <c r="I27" s="250" t="n">
        <v>-0.85</v>
      </c>
      <c r="J27" s="249" t="n">
        <v>-0.65</v>
      </c>
      <c r="K27" s="249" t="n">
        <v>0</v>
      </c>
      <c r="L27" s="249" t="n">
        <v>1</v>
      </c>
      <c r="M27" s="250" t="n">
        <v>1.5</v>
      </c>
      <c r="N27" s="250" t="n">
        <v>2.25</v>
      </c>
      <c r="O27" s="249" t="n">
        <v>3</v>
      </c>
      <c r="P27" s="250" t="n">
        <v>3.5</v>
      </c>
      <c r="Q27" s="249" t="n">
        <v>4</v>
      </c>
      <c r="R27" s="250" t="n">
        <v>4.5</v>
      </c>
      <c r="S27" s="247" t="n">
        <v>5.5</v>
      </c>
      <c r="T27" s="251" t="n">
        <v>8.2</v>
      </c>
      <c r="U27" s="252" t="n">
        <v>29</v>
      </c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45" t="n">
        <v>38018</v>
      </c>
      <c r="B28" s="246" t="n">
        <v>3</v>
      </c>
      <c r="C28" s="247" t="n">
        <v>2</v>
      </c>
      <c r="D28" s="248" t="n">
        <v>0.75</v>
      </c>
      <c r="E28" s="249" t="n">
        <v>0.5</v>
      </c>
      <c r="F28" s="250" t="n">
        <v>0.25</v>
      </c>
      <c r="G28" s="250" t="n">
        <v>-0.25</v>
      </c>
      <c r="H28" s="249" t="n">
        <v>-0.65</v>
      </c>
      <c r="I28" s="250" t="n">
        <v>-0.85</v>
      </c>
      <c r="J28" s="249" t="n">
        <v>-0.65</v>
      </c>
      <c r="K28" s="249" t="n">
        <v>0</v>
      </c>
      <c r="L28" s="249" t="n">
        <v>1</v>
      </c>
      <c r="M28" s="250" t="n">
        <v>1.5</v>
      </c>
      <c r="N28" s="250" t="n">
        <v>2.25</v>
      </c>
      <c r="O28" s="249" t="n">
        <v>3</v>
      </c>
      <c r="P28" s="250" t="n">
        <v>3.5</v>
      </c>
      <c r="Q28" s="249" t="n">
        <v>4</v>
      </c>
      <c r="R28" s="250" t="n">
        <v>4.5</v>
      </c>
      <c r="S28" s="247" t="n">
        <v>5.5</v>
      </c>
      <c r="T28" s="251" t="n">
        <v>8.2</v>
      </c>
      <c r="U28" s="252" t="n">
        <v>29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45" t="n">
        <v>38047</v>
      </c>
      <c r="B29" s="246" t="n">
        <v>3</v>
      </c>
      <c r="C29" s="247" t="n">
        <v>2</v>
      </c>
      <c r="D29" s="248" t="n">
        <v>0.75</v>
      </c>
      <c r="E29" s="249" t="n">
        <v>0.5</v>
      </c>
      <c r="F29" s="250" t="n">
        <v>0.25</v>
      </c>
      <c r="G29" s="250" t="n">
        <v>-0.25</v>
      </c>
      <c r="H29" s="249" t="n">
        <v>-0.65</v>
      </c>
      <c r="I29" s="250" t="n">
        <v>-0.85</v>
      </c>
      <c r="J29" s="249" t="n">
        <v>-0.65</v>
      </c>
      <c r="K29" s="249" t="n">
        <v>0</v>
      </c>
      <c r="L29" s="249" t="n">
        <v>1</v>
      </c>
      <c r="M29" s="250" t="n">
        <v>1.5</v>
      </c>
      <c r="N29" s="250" t="n">
        <v>2.25</v>
      </c>
      <c r="O29" s="249" t="n">
        <v>3</v>
      </c>
      <c r="P29" s="250" t="n">
        <v>3.5</v>
      </c>
      <c r="Q29" s="249" t="n">
        <v>4</v>
      </c>
      <c r="R29" s="250" t="n">
        <v>4.5</v>
      </c>
      <c r="S29" s="247" t="n">
        <v>5.5</v>
      </c>
      <c r="T29" s="251" t="n">
        <v>8.2</v>
      </c>
      <c r="U29" s="252" t="n">
        <v>29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45" t="n">
        <v>38078</v>
      </c>
      <c r="B30" s="246" t="n">
        <v>3</v>
      </c>
      <c r="C30" s="247" t="n">
        <v>2</v>
      </c>
      <c r="D30" s="248" t="n">
        <v>0.75</v>
      </c>
      <c r="E30" s="249" t="n">
        <v>0.5</v>
      </c>
      <c r="F30" s="250" t="n">
        <v>0.25</v>
      </c>
      <c r="G30" s="250" t="n">
        <v>-0.25</v>
      </c>
      <c r="H30" s="249" t="n">
        <v>-0.65</v>
      </c>
      <c r="I30" s="250" t="n">
        <v>-0.85</v>
      </c>
      <c r="J30" s="249" t="n">
        <v>-0.65</v>
      </c>
      <c r="K30" s="249" t="n">
        <v>0</v>
      </c>
      <c r="L30" s="249" t="n">
        <v>1</v>
      </c>
      <c r="M30" s="250" t="n">
        <v>1.5</v>
      </c>
      <c r="N30" s="250" t="n">
        <v>2.25</v>
      </c>
      <c r="O30" s="249" t="n">
        <v>3</v>
      </c>
      <c r="P30" s="250" t="n">
        <v>3.5</v>
      </c>
      <c r="Q30" s="249" t="n">
        <v>4</v>
      </c>
      <c r="R30" s="250" t="n">
        <v>4.5</v>
      </c>
      <c r="S30" s="247" t="n">
        <v>5.5</v>
      </c>
      <c r="T30" s="251" t="n">
        <v>8.2</v>
      </c>
      <c r="U30" s="252" t="n">
        <v>29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45" t="n">
        <v>38108</v>
      </c>
      <c r="B31" s="246" t="n">
        <v>3</v>
      </c>
      <c r="C31" s="247" t="n">
        <v>2</v>
      </c>
      <c r="D31" s="248" t="n">
        <v>0.75</v>
      </c>
      <c r="E31" s="249" t="n">
        <v>0.5</v>
      </c>
      <c r="F31" s="250" t="n">
        <v>0.25</v>
      </c>
      <c r="G31" s="250" t="n">
        <v>-0.25</v>
      </c>
      <c r="H31" s="249" t="n">
        <v>-0.65</v>
      </c>
      <c r="I31" s="250" t="n">
        <v>-0.85</v>
      </c>
      <c r="J31" s="249" t="n">
        <v>-0.65</v>
      </c>
      <c r="K31" s="249" t="n">
        <v>0</v>
      </c>
      <c r="L31" s="249" t="n">
        <v>1</v>
      </c>
      <c r="M31" s="250" t="n">
        <v>1.5</v>
      </c>
      <c r="N31" s="250" t="n">
        <v>2.25</v>
      </c>
      <c r="O31" s="249" t="n">
        <v>3</v>
      </c>
      <c r="P31" s="250" t="n">
        <v>3.5</v>
      </c>
      <c r="Q31" s="249" t="n">
        <v>4</v>
      </c>
      <c r="R31" s="250" t="n">
        <v>4.5</v>
      </c>
      <c r="S31" s="247" t="n">
        <v>5.5</v>
      </c>
      <c r="T31" s="251" t="n">
        <v>8.2</v>
      </c>
      <c r="U31" s="252" t="n">
        <v>29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45" t="n">
        <v>38139</v>
      </c>
      <c r="B32" s="246" t="n">
        <v>3</v>
      </c>
      <c r="C32" s="247" t="n">
        <v>2</v>
      </c>
      <c r="D32" s="248" t="n">
        <v>0.75</v>
      </c>
      <c r="E32" s="249" t="n">
        <v>0.5</v>
      </c>
      <c r="F32" s="250" t="n">
        <v>0.25</v>
      </c>
      <c r="G32" s="250" t="n">
        <v>-0.25</v>
      </c>
      <c r="H32" s="249" t="n">
        <v>-0.65</v>
      </c>
      <c r="I32" s="250" t="n">
        <v>-0.85</v>
      </c>
      <c r="J32" s="249" t="n">
        <v>-0.65</v>
      </c>
      <c r="K32" s="249" t="n">
        <v>0</v>
      </c>
      <c r="L32" s="249" t="n">
        <v>1</v>
      </c>
      <c r="M32" s="250" t="n">
        <v>1.5</v>
      </c>
      <c r="N32" s="250" t="n">
        <v>2.25</v>
      </c>
      <c r="O32" s="249" t="n">
        <v>3</v>
      </c>
      <c r="P32" s="250" t="n">
        <v>3.5</v>
      </c>
      <c r="Q32" s="249" t="n">
        <v>4</v>
      </c>
      <c r="R32" s="250" t="n">
        <v>4.5</v>
      </c>
      <c r="S32" s="247" t="n">
        <v>5.5</v>
      </c>
      <c r="T32" s="251" t="n">
        <v>8.2</v>
      </c>
      <c r="U32" s="252" t="n">
        <v>29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45" t="n">
        <v>38169</v>
      </c>
      <c r="B33" s="246" t="n">
        <v>3</v>
      </c>
      <c r="C33" s="247" t="n">
        <v>2</v>
      </c>
      <c r="D33" s="248" t="n">
        <v>0.75</v>
      </c>
      <c r="E33" s="249" t="n">
        <v>0.5</v>
      </c>
      <c r="F33" s="250" t="n">
        <v>0.25</v>
      </c>
      <c r="G33" s="250" t="n">
        <v>-0.25</v>
      </c>
      <c r="H33" s="249" t="n">
        <v>-0.65</v>
      </c>
      <c r="I33" s="250" t="n">
        <v>-0.85</v>
      </c>
      <c r="J33" s="249" t="n">
        <v>-0.65</v>
      </c>
      <c r="K33" s="249" t="n">
        <v>0</v>
      </c>
      <c r="L33" s="249" t="n">
        <v>1</v>
      </c>
      <c r="M33" s="250" t="n">
        <v>1.5</v>
      </c>
      <c r="N33" s="250" t="n">
        <v>2.25</v>
      </c>
      <c r="O33" s="249" t="n">
        <v>3</v>
      </c>
      <c r="P33" s="250" t="n">
        <v>3.5</v>
      </c>
      <c r="Q33" s="249" t="n">
        <v>4</v>
      </c>
      <c r="R33" s="250" t="n">
        <v>4.5</v>
      </c>
      <c r="S33" s="247" t="n">
        <v>5.5</v>
      </c>
      <c r="T33" s="251" t="n">
        <v>8.2</v>
      </c>
      <c r="U33" s="252" t="n">
        <v>29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45" t="n">
        <v>38200</v>
      </c>
      <c r="B34" s="246" t="n">
        <v>3</v>
      </c>
      <c r="C34" s="247" t="n">
        <v>2</v>
      </c>
      <c r="D34" s="248" t="n">
        <v>0.75</v>
      </c>
      <c r="E34" s="249" t="n">
        <v>0.5</v>
      </c>
      <c r="F34" s="250" t="n">
        <v>0.25</v>
      </c>
      <c r="G34" s="250" t="n">
        <v>-0.25</v>
      </c>
      <c r="H34" s="249" t="n">
        <v>-0.65</v>
      </c>
      <c r="I34" s="250" t="n">
        <v>-0.85</v>
      </c>
      <c r="J34" s="249" t="n">
        <v>-0.65</v>
      </c>
      <c r="K34" s="249" t="n">
        <v>0</v>
      </c>
      <c r="L34" s="249" t="n">
        <v>1</v>
      </c>
      <c r="M34" s="250" t="n">
        <v>1.5</v>
      </c>
      <c r="N34" s="250" t="n">
        <v>2.25</v>
      </c>
      <c r="O34" s="249" t="n">
        <v>3</v>
      </c>
      <c r="P34" s="250" t="n">
        <v>3.5</v>
      </c>
      <c r="Q34" s="249" t="n">
        <v>4</v>
      </c>
      <c r="R34" s="250" t="n">
        <v>4.5</v>
      </c>
      <c r="S34" s="247" t="n">
        <v>5.5</v>
      </c>
      <c r="T34" s="251" t="n">
        <v>8.2</v>
      </c>
      <c r="U34" s="252" t="n">
        <v>29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45" t="n">
        <v>38231</v>
      </c>
      <c r="B35" s="246" t="n">
        <v>3</v>
      </c>
      <c r="C35" s="247" t="n">
        <v>2</v>
      </c>
      <c r="D35" s="248" t="n">
        <v>0.75</v>
      </c>
      <c r="E35" s="249" t="n">
        <v>0.5</v>
      </c>
      <c r="F35" s="250" t="n">
        <v>0.25</v>
      </c>
      <c r="G35" s="250" t="n">
        <v>-0.25</v>
      </c>
      <c r="H35" s="249" t="n">
        <v>-0.65</v>
      </c>
      <c r="I35" s="250" t="n">
        <v>-0.85</v>
      </c>
      <c r="J35" s="249" t="n">
        <v>-0.65</v>
      </c>
      <c r="K35" s="249" t="n">
        <v>0</v>
      </c>
      <c r="L35" s="249" t="n">
        <v>1</v>
      </c>
      <c r="M35" s="250" t="n">
        <v>1.5</v>
      </c>
      <c r="N35" s="250" t="n">
        <v>2.25</v>
      </c>
      <c r="O35" s="249" t="n">
        <v>3</v>
      </c>
      <c r="P35" s="250" t="n">
        <v>3.5</v>
      </c>
      <c r="Q35" s="249" t="n">
        <v>4</v>
      </c>
      <c r="R35" s="250" t="n">
        <v>4.5</v>
      </c>
      <c r="S35" s="247" t="n">
        <v>5.5</v>
      </c>
      <c r="T35" s="251" t="n">
        <v>8.2</v>
      </c>
      <c r="U35" s="252" t="n">
        <v>29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45" t="n">
        <v>38261</v>
      </c>
      <c r="B36" s="246" t="n">
        <v>3</v>
      </c>
      <c r="C36" s="247" t="n">
        <v>2</v>
      </c>
      <c r="D36" s="248" t="n">
        <v>0.75</v>
      </c>
      <c r="E36" s="249" t="n">
        <v>0.5</v>
      </c>
      <c r="F36" s="250" t="n">
        <v>0.25</v>
      </c>
      <c r="G36" s="250" t="n">
        <v>-0.25</v>
      </c>
      <c r="H36" s="249" t="n">
        <v>-0.65</v>
      </c>
      <c r="I36" s="250" t="n">
        <v>-0.85</v>
      </c>
      <c r="J36" s="249" t="n">
        <v>-0.65</v>
      </c>
      <c r="K36" s="249" t="n">
        <v>0</v>
      </c>
      <c r="L36" s="249" t="n">
        <v>1</v>
      </c>
      <c r="M36" s="250" t="n">
        <v>1.5</v>
      </c>
      <c r="N36" s="250" t="n">
        <v>2.25</v>
      </c>
      <c r="O36" s="249" t="n">
        <v>3</v>
      </c>
      <c r="P36" s="250" t="n">
        <v>3.5</v>
      </c>
      <c r="Q36" s="249" t="n">
        <v>4</v>
      </c>
      <c r="R36" s="250" t="n">
        <v>4.5</v>
      </c>
      <c r="S36" s="247" t="n">
        <v>5.5</v>
      </c>
      <c r="T36" s="251" t="n">
        <v>8.2</v>
      </c>
      <c r="U36" s="252" t="n">
        <v>29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45" t="n">
        <v>38292</v>
      </c>
      <c r="B37" s="246" t="n">
        <v>3</v>
      </c>
      <c r="C37" s="247" t="n">
        <v>2</v>
      </c>
      <c r="D37" s="248" t="n">
        <v>0.75</v>
      </c>
      <c r="E37" s="249" t="n">
        <v>0.5</v>
      </c>
      <c r="F37" s="250" t="n">
        <v>0.25</v>
      </c>
      <c r="G37" s="250" t="n">
        <v>-0.25</v>
      </c>
      <c r="H37" s="249" t="n">
        <v>-0.65</v>
      </c>
      <c r="I37" s="250" t="n">
        <v>-0.85</v>
      </c>
      <c r="J37" s="249" t="n">
        <v>-0.65</v>
      </c>
      <c r="K37" s="249" t="n">
        <v>0</v>
      </c>
      <c r="L37" s="249" t="n">
        <v>1</v>
      </c>
      <c r="M37" s="250" t="n">
        <v>1.5</v>
      </c>
      <c r="N37" s="250" t="n">
        <v>2.25</v>
      </c>
      <c r="O37" s="249" t="n">
        <v>3</v>
      </c>
      <c r="P37" s="250" t="n">
        <v>3.5</v>
      </c>
      <c r="Q37" s="249" t="n">
        <v>4</v>
      </c>
      <c r="R37" s="250" t="n">
        <v>4.5</v>
      </c>
      <c r="S37" s="247" t="n">
        <v>5.5</v>
      </c>
      <c r="T37" s="251" t="n">
        <v>8.2</v>
      </c>
      <c r="U37" s="252" t="n">
        <v>29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45" t="n">
        <v>40513</v>
      </c>
      <c r="B38" s="246" t="n">
        <v>3</v>
      </c>
      <c r="C38" s="247" t="n">
        <v>2</v>
      </c>
      <c r="D38" s="248" t="n">
        <v>0.75</v>
      </c>
      <c r="E38" s="249" t="n">
        <v>0.5</v>
      </c>
      <c r="F38" s="250" t="n">
        <v>0.25</v>
      </c>
      <c r="G38" s="250" t="n">
        <v>-0.25</v>
      </c>
      <c r="H38" s="249" t="n">
        <v>-0.65</v>
      </c>
      <c r="I38" s="250" t="n">
        <v>-0.85</v>
      </c>
      <c r="J38" s="249" t="n">
        <v>-0.65</v>
      </c>
      <c r="K38" s="249" t="n">
        <v>0</v>
      </c>
      <c r="L38" s="249" t="n">
        <v>1</v>
      </c>
      <c r="M38" s="250" t="n">
        <v>1.5</v>
      </c>
      <c r="N38" s="250" t="n">
        <v>2.25</v>
      </c>
      <c r="O38" s="249" t="n">
        <v>3</v>
      </c>
      <c r="P38" s="250" t="n">
        <v>3.5</v>
      </c>
      <c r="Q38" s="249" t="n">
        <v>4</v>
      </c>
      <c r="R38" s="250" t="n">
        <v>4.5</v>
      </c>
      <c r="S38" s="247" t="n">
        <v>5.5</v>
      </c>
      <c r="T38" s="251" t="n">
        <v>8.2</v>
      </c>
      <c r="U38" s="252" t="n">
        <v>29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false" outlineLevel="0" collapsed="false">
      <c r="A39" s="254" t="n">
        <v>44531</v>
      </c>
      <c r="B39" s="255" t="n">
        <v>3</v>
      </c>
      <c r="C39" s="256" t="n">
        <v>2</v>
      </c>
      <c r="D39" s="257" t="n">
        <v>0.75</v>
      </c>
      <c r="E39" s="258" t="n">
        <v>0.5</v>
      </c>
      <c r="F39" s="259" t="n">
        <v>0.25</v>
      </c>
      <c r="G39" s="260" t="n">
        <v>-0.25</v>
      </c>
      <c r="H39" s="258" t="n">
        <v>-0.65</v>
      </c>
      <c r="I39" s="259" t="n">
        <v>-0.85</v>
      </c>
      <c r="J39" s="258" t="n">
        <v>-0.65</v>
      </c>
      <c r="K39" s="258" t="n">
        <v>0</v>
      </c>
      <c r="L39" s="258" t="n">
        <v>1</v>
      </c>
      <c r="M39" s="259" t="n">
        <v>1.5</v>
      </c>
      <c r="N39" s="260" t="n">
        <v>2.25</v>
      </c>
      <c r="O39" s="258" t="n">
        <v>3</v>
      </c>
      <c r="P39" s="260" t="n">
        <v>3.4</v>
      </c>
      <c r="Q39" s="258" t="n">
        <v>4</v>
      </c>
      <c r="R39" s="260" t="n">
        <v>4.5</v>
      </c>
      <c r="S39" s="256" t="n">
        <v>5.5</v>
      </c>
      <c r="T39" s="261" t="n">
        <v>8.2</v>
      </c>
      <c r="U39" s="262" t="n">
        <v>29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3.5" hidden="false" customHeight="false" outlineLevel="0" collapsed="false">
      <c r="A42" s="263"/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</row>
    <row r="43" customFormat="false" ht="13.5" hidden="false" customHeight="false" outlineLevel="0" collapsed="false">
      <c r="A43" s="264"/>
      <c r="B43" s="265" t="n">
        <v>-5</v>
      </c>
      <c r="C43" s="266" t="n">
        <v>-4</v>
      </c>
      <c r="D43" s="267" t="n">
        <v>-3.5</v>
      </c>
      <c r="E43" s="267" t="n">
        <v>-3</v>
      </c>
      <c r="F43" s="267" t="n">
        <v>-2.5</v>
      </c>
      <c r="G43" s="267" t="n">
        <v>-2</v>
      </c>
      <c r="H43" s="267" t="n">
        <v>-1.5</v>
      </c>
      <c r="I43" s="267" t="n">
        <v>-1</v>
      </c>
      <c r="J43" s="267" t="n">
        <v>-0.5</v>
      </c>
      <c r="K43" s="267" t="n">
        <v>0</v>
      </c>
      <c r="L43" s="267" t="n">
        <v>0.5</v>
      </c>
      <c r="M43" s="267" t="n">
        <v>1</v>
      </c>
      <c r="N43" s="267" t="n">
        <v>1.5</v>
      </c>
      <c r="O43" s="267" t="n">
        <v>2</v>
      </c>
      <c r="P43" s="267" t="n">
        <v>2.5</v>
      </c>
      <c r="Q43" s="267" t="n">
        <v>3</v>
      </c>
      <c r="R43" s="267" t="n">
        <v>4</v>
      </c>
      <c r="S43" s="267" t="n">
        <v>5</v>
      </c>
      <c r="T43" s="268" t="n">
        <v>10</v>
      </c>
      <c r="U43" s="269" t="n">
        <v>40</v>
      </c>
    </row>
    <row r="44" customFormat="false" ht="12.75" hidden="false" customHeight="false" outlineLevel="0" collapsed="false">
      <c r="A44" s="270" t="n">
        <v>37165</v>
      </c>
      <c r="B44" s="271" t="n">
        <v>4.75</v>
      </c>
      <c r="C44" s="272" t="n">
        <v>3.75</v>
      </c>
      <c r="D44" s="273" t="n">
        <v>2.5</v>
      </c>
      <c r="E44" s="274" t="n">
        <v>1.5</v>
      </c>
      <c r="F44" s="275" t="n">
        <v>0.5</v>
      </c>
      <c r="G44" s="275" t="n">
        <v>0</v>
      </c>
      <c r="H44" s="274" t="n">
        <v>-0.5</v>
      </c>
      <c r="I44" s="275" t="n">
        <v>-0.75</v>
      </c>
      <c r="J44" s="274" t="n">
        <v>-0.5</v>
      </c>
      <c r="K44" s="274" t="n">
        <v>0</v>
      </c>
      <c r="L44" s="274" t="n">
        <v>1</v>
      </c>
      <c r="M44" s="275" t="n">
        <v>1.75</v>
      </c>
      <c r="N44" s="275" t="n">
        <v>2.5</v>
      </c>
      <c r="O44" s="274" t="n">
        <v>3.25</v>
      </c>
      <c r="P44" s="275" t="n">
        <v>4</v>
      </c>
      <c r="Q44" s="274" t="n">
        <v>4.75</v>
      </c>
      <c r="R44" s="275" t="n">
        <v>6</v>
      </c>
      <c r="S44" s="276" t="n">
        <v>7.25</v>
      </c>
      <c r="T44" s="277" t="n">
        <v>16.2609781548785</v>
      </c>
      <c r="U44" s="272" t="n">
        <v>58.4036350718027</v>
      </c>
    </row>
    <row r="45" customFormat="false" ht="12.75" hidden="false" customHeight="false" outlineLevel="0" collapsed="false">
      <c r="A45" s="278" t="n">
        <v>37196</v>
      </c>
      <c r="B45" s="279" t="n">
        <v>4.5</v>
      </c>
      <c r="C45" s="280" t="n">
        <v>3.5</v>
      </c>
      <c r="D45" s="281" t="n">
        <v>2.25</v>
      </c>
      <c r="E45" s="282" t="n">
        <v>1.25</v>
      </c>
      <c r="F45" s="283" t="n">
        <v>0.25</v>
      </c>
      <c r="G45" s="283" t="n">
        <v>-0.25</v>
      </c>
      <c r="H45" s="282" t="n">
        <v>-0.75</v>
      </c>
      <c r="I45" s="283" t="n">
        <v>-1</v>
      </c>
      <c r="J45" s="282" t="n">
        <v>-0.75</v>
      </c>
      <c r="K45" s="282" t="n">
        <v>0</v>
      </c>
      <c r="L45" s="282" t="n">
        <v>1.25</v>
      </c>
      <c r="M45" s="283" t="n">
        <v>2.5</v>
      </c>
      <c r="N45" s="283" t="n">
        <v>3</v>
      </c>
      <c r="O45" s="282" t="n">
        <v>3.75</v>
      </c>
      <c r="P45" s="283" t="n">
        <v>4.5</v>
      </c>
      <c r="Q45" s="282" t="n">
        <v>5</v>
      </c>
      <c r="R45" s="283" t="n">
        <v>6.25</v>
      </c>
      <c r="S45" s="284" t="n">
        <v>7.5</v>
      </c>
      <c r="T45" s="285" t="n">
        <v>12</v>
      </c>
      <c r="U45" s="280" t="n">
        <v>44</v>
      </c>
    </row>
    <row r="46" customFormat="false" ht="12.75" hidden="false" customHeight="false" outlineLevel="0" collapsed="false">
      <c r="A46" s="278" t="n">
        <v>37226</v>
      </c>
      <c r="B46" s="279" t="n">
        <v>4.5</v>
      </c>
      <c r="C46" s="280" t="n">
        <v>3.5</v>
      </c>
      <c r="D46" s="281" t="n">
        <v>2.25</v>
      </c>
      <c r="E46" s="282" t="n">
        <v>1.25</v>
      </c>
      <c r="F46" s="283" t="n">
        <v>0.25</v>
      </c>
      <c r="G46" s="283" t="n">
        <v>-0.25</v>
      </c>
      <c r="H46" s="282" t="n">
        <v>-0.75</v>
      </c>
      <c r="I46" s="283" t="n">
        <v>-1</v>
      </c>
      <c r="J46" s="282" t="n">
        <v>-0.75</v>
      </c>
      <c r="K46" s="282" t="n">
        <v>0</v>
      </c>
      <c r="L46" s="282" t="n">
        <v>1.25</v>
      </c>
      <c r="M46" s="283" t="n">
        <v>2.5</v>
      </c>
      <c r="N46" s="283" t="n">
        <v>3</v>
      </c>
      <c r="O46" s="282" t="n">
        <v>3.75</v>
      </c>
      <c r="P46" s="283" t="n">
        <v>4.5</v>
      </c>
      <c r="Q46" s="282" t="n">
        <v>5</v>
      </c>
      <c r="R46" s="283" t="n">
        <v>6.25</v>
      </c>
      <c r="S46" s="284" t="n">
        <v>7.5</v>
      </c>
      <c r="T46" s="285" t="n">
        <v>12</v>
      </c>
      <c r="U46" s="280" t="n">
        <v>44</v>
      </c>
    </row>
    <row r="47" customFormat="false" ht="12.75" hidden="false" customHeight="false" outlineLevel="0" collapsed="false">
      <c r="A47" s="278" t="n">
        <v>37257</v>
      </c>
      <c r="B47" s="279" t="n">
        <v>4.5</v>
      </c>
      <c r="C47" s="280" t="n">
        <v>3.5</v>
      </c>
      <c r="D47" s="281" t="n">
        <v>2.25</v>
      </c>
      <c r="E47" s="282" t="n">
        <v>1.25</v>
      </c>
      <c r="F47" s="283" t="n">
        <v>0.25</v>
      </c>
      <c r="G47" s="283" t="n">
        <v>-0.25</v>
      </c>
      <c r="H47" s="282" t="n">
        <v>-0.75</v>
      </c>
      <c r="I47" s="283" t="n">
        <v>-1</v>
      </c>
      <c r="J47" s="282" t="n">
        <v>-0.75</v>
      </c>
      <c r="K47" s="282" t="n">
        <v>0</v>
      </c>
      <c r="L47" s="282" t="n">
        <v>1.25</v>
      </c>
      <c r="M47" s="283" t="n">
        <v>2.5</v>
      </c>
      <c r="N47" s="283" t="n">
        <v>3</v>
      </c>
      <c r="O47" s="282" t="n">
        <v>3.75</v>
      </c>
      <c r="P47" s="283" t="n">
        <v>4.5</v>
      </c>
      <c r="Q47" s="282" t="n">
        <v>5</v>
      </c>
      <c r="R47" s="283" t="n">
        <v>6.25</v>
      </c>
      <c r="S47" s="284" t="n">
        <v>7.5</v>
      </c>
      <c r="T47" s="285" t="n">
        <v>12</v>
      </c>
      <c r="U47" s="280" t="n">
        <v>44</v>
      </c>
    </row>
    <row r="48" customFormat="false" ht="12.75" hidden="false" customHeight="false" outlineLevel="0" collapsed="false">
      <c r="A48" s="278" t="n">
        <v>37288</v>
      </c>
      <c r="B48" s="279" t="n">
        <v>4.5</v>
      </c>
      <c r="C48" s="280" t="n">
        <v>3.5</v>
      </c>
      <c r="D48" s="281" t="n">
        <v>2.25</v>
      </c>
      <c r="E48" s="282" t="n">
        <v>1.25</v>
      </c>
      <c r="F48" s="283" t="n">
        <v>0.25</v>
      </c>
      <c r="G48" s="283" t="n">
        <v>-0.25</v>
      </c>
      <c r="H48" s="282" t="n">
        <v>-0.75</v>
      </c>
      <c r="I48" s="283" t="n">
        <v>-1</v>
      </c>
      <c r="J48" s="282" t="n">
        <v>-0.75</v>
      </c>
      <c r="K48" s="282" t="n">
        <v>0</v>
      </c>
      <c r="L48" s="282" t="n">
        <v>1.25</v>
      </c>
      <c r="M48" s="283" t="n">
        <v>2.5</v>
      </c>
      <c r="N48" s="283" t="n">
        <v>3</v>
      </c>
      <c r="O48" s="282" t="n">
        <v>3.75</v>
      </c>
      <c r="P48" s="283" t="n">
        <v>4.5</v>
      </c>
      <c r="Q48" s="282" t="n">
        <v>5</v>
      </c>
      <c r="R48" s="283" t="n">
        <v>6.25</v>
      </c>
      <c r="S48" s="284" t="n">
        <v>7.5</v>
      </c>
      <c r="T48" s="285" t="n">
        <v>12</v>
      </c>
      <c r="U48" s="280" t="n">
        <v>44</v>
      </c>
    </row>
    <row r="49" customFormat="false" ht="12.75" hidden="false" customHeight="false" outlineLevel="0" collapsed="false">
      <c r="A49" s="278" t="n">
        <v>37316</v>
      </c>
      <c r="B49" s="279" t="n">
        <v>4.5</v>
      </c>
      <c r="C49" s="280" t="n">
        <v>3.5</v>
      </c>
      <c r="D49" s="281" t="n">
        <v>2.25</v>
      </c>
      <c r="E49" s="282" t="n">
        <v>1.25</v>
      </c>
      <c r="F49" s="283" t="n">
        <v>0.25</v>
      </c>
      <c r="G49" s="283" t="n">
        <v>-0.25</v>
      </c>
      <c r="H49" s="282" t="n">
        <v>-0.75</v>
      </c>
      <c r="I49" s="283" t="n">
        <v>-1</v>
      </c>
      <c r="J49" s="282" t="n">
        <v>-0.75</v>
      </c>
      <c r="K49" s="282" t="n">
        <v>0</v>
      </c>
      <c r="L49" s="282" t="n">
        <v>1.2</v>
      </c>
      <c r="M49" s="283" t="n">
        <v>2.4</v>
      </c>
      <c r="N49" s="283" t="n">
        <v>2.9</v>
      </c>
      <c r="O49" s="282" t="n">
        <v>3.65</v>
      </c>
      <c r="P49" s="283" t="n">
        <v>4.4</v>
      </c>
      <c r="Q49" s="282" t="n">
        <v>4.9</v>
      </c>
      <c r="R49" s="283" t="n">
        <v>6.1</v>
      </c>
      <c r="S49" s="284" t="n">
        <v>7.3</v>
      </c>
      <c r="T49" s="285" t="n">
        <v>12</v>
      </c>
      <c r="U49" s="280" t="n">
        <v>44</v>
      </c>
    </row>
    <row r="50" customFormat="false" ht="12.75" hidden="false" customHeight="false" outlineLevel="0" collapsed="false">
      <c r="A50" s="278" t="n">
        <v>37347</v>
      </c>
      <c r="B50" s="279" t="n">
        <v>4</v>
      </c>
      <c r="C50" s="280" t="n">
        <v>3</v>
      </c>
      <c r="D50" s="281" t="n">
        <v>1.5</v>
      </c>
      <c r="E50" s="282" t="n">
        <v>0.5</v>
      </c>
      <c r="F50" s="283" t="n">
        <v>0.1</v>
      </c>
      <c r="G50" s="283" t="n">
        <v>-0.25</v>
      </c>
      <c r="H50" s="282" t="n">
        <v>-0.5</v>
      </c>
      <c r="I50" s="283" t="n">
        <v>-0.85</v>
      </c>
      <c r="J50" s="282" t="n">
        <v>-0.65</v>
      </c>
      <c r="K50" s="282" t="n">
        <v>0</v>
      </c>
      <c r="L50" s="282" t="n">
        <v>0.9</v>
      </c>
      <c r="M50" s="283" t="n">
        <v>1.5</v>
      </c>
      <c r="N50" s="283" t="n">
        <v>2.25</v>
      </c>
      <c r="O50" s="282" t="n">
        <v>2.5</v>
      </c>
      <c r="P50" s="283" t="n">
        <v>3.35</v>
      </c>
      <c r="Q50" s="282" t="n">
        <v>3.5</v>
      </c>
      <c r="R50" s="283" t="n">
        <v>4.5</v>
      </c>
      <c r="S50" s="284" t="n">
        <v>5.25</v>
      </c>
      <c r="T50" s="285" t="n">
        <v>8.2</v>
      </c>
      <c r="U50" s="280" t="n">
        <v>29</v>
      </c>
    </row>
    <row r="51" customFormat="false" ht="12.75" hidden="false" customHeight="false" outlineLevel="0" collapsed="false">
      <c r="A51" s="278" t="n">
        <v>37377</v>
      </c>
      <c r="B51" s="286" t="n">
        <v>3</v>
      </c>
      <c r="C51" s="287" t="n">
        <v>2</v>
      </c>
      <c r="D51" s="281" t="n">
        <v>1</v>
      </c>
      <c r="E51" s="282" t="n">
        <v>0.75</v>
      </c>
      <c r="F51" s="283" t="n">
        <v>0.25</v>
      </c>
      <c r="G51" s="283" t="n">
        <v>0</v>
      </c>
      <c r="H51" s="288" t="n">
        <v>-0.4</v>
      </c>
      <c r="I51" s="283" t="n">
        <v>-0.6</v>
      </c>
      <c r="J51" s="288" t="n">
        <v>-0.6</v>
      </c>
      <c r="K51" s="288" t="n">
        <v>0</v>
      </c>
      <c r="L51" s="288" t="n">
        <v>0.8</v>
      </c>
      <c r="M51" s="283" t="n">
        <v>1.25</v>
      </c>
      <c r="N51" s="283" t="n">
        <v>1.75</v>
      </c>
      <c r="O51" s="288" t="n">
        <v>2.25</v>
      </c>
      <c r="P51" s="283" t="n">
        <v>2.85</v>
      </c>
      <c r="Q51" s="288" t="n">
        <v>3.25</v>
      </c>
      <c r="R51" s="283" t="n">
        <v>4.25</v>
      </c>
      <c r="S51" s="289" t="n">
        <v>5</v>
      </c>
      <c r="T51" s="290" t="n">
        <v>8.2</v>
      </c>
      <c r="U51" s="287" t="n">
        <v>29</v>
      </c>
    </row>
    <row r="52" customFormat="false" ht="12.75" hidden="false" customHeight="false" outlineLevel="0" collapsed="false">
      <c r="A52" s="278" t="n">
        <v>37408</v>
      </c>
      <c r="B52" s="286" t="n">
        <v>3</v>
      </c>
      <c r="C52" s="287" t="n">
        <v>2</v>
      </c>
      <c r="D52" s="281" t="n">
        <v>1</v>
      </c>
      <c r="E52" s="282" t="n">
        <v>0.75</v>
      </c>
      <c r="F52" s="283" t="n">
        <v>0.25</v>
      </c>
      <c r="G52" s="283" t="n">
        <v>0</v>
      </c>
      <c r="H52" s="288" t="n">
        <v>-0.4</v>
      </c>
      <c r="I52" s="283" t="n">
        <v>-0.6</v>
      </c>
      <c r="J52" s="288" t="n">
        <v>-0.6</v>
      </c>
      <c r="K52" s="288" t="n">
        <v>0</v>
      </c>
      <c r="L52" s="288" t="n">
        <v>0.8</v>
      </c>
      <c r="M52" s="283" t="n">
        <v>1.25</v>
      </c>
      <c r="N52" s="283" t="n">
        <v>1.75</v>
      </c>
      <c r="O52" s="288" t="n">
        <v>2.25</v>
      </c>
      <c r="P52" s="283" t="n">
        <v>2.85</v>
      </c>
      <c r="Q52" s="288" t="n">
        <v>3.25</v>
      </c>
      <c r="R52" s="283" t="n">
        <v>4.25</v>
      </c>
      <c r="S52" s="289" t="n">
        <v>5</v>
      </c>
      <c r="T52" s="290" t="n">
        <v>8.2</v>
      </c>
      <c r="U52" s="287" t="n">
        <v>29</v>
      </c>
    </row>
    <row r="53" customFormat="false" ht="12.75" hidden="false" customHeight="false" outlineLevel="0" collapsed="false">
      <c r="A53" s="278" t="n">
        <v>37438</v>
      </c>
      <c r="B53" s="286" t="n">
        <v>3</v>
      </c>
      <c r="C53" s="287" t="n">
        <v>2</v>
      </c>
      <c r="D53" s="281" t="n">
        <v>1</v>
      </c>
      <c r="E53" s="282" t="n">
        <v>0.75</v>
      </c>
      <c r="F53" s="283" t="n">
        <v>0.25</v>
      </c>
      <c r="G53" s="283" t="n">
        <v>0</v>
      </c>
      <c r="H53" s="288" t="n">
        <v>-0.4</v>
      </c>
      <c r="I53" s="283" t="n">
        <v>-0.6</v>
      </c>
      <c r="J53" s="288" t="n">
        <v>-0.6</v>
      </c>
      <c r="K53" s="288" t="n">
        <v>0</v>
      </c>
      <c r="L53" s="288" t="n">
        <v>0.8</v>
      </c>
      <c r="M53" s="283" t="n">
        <v>1.25</v>
      </c>
      <c r="N53" s="283" t="n">
        <v>1.75</v>
      </c>
      <c r="O53" s="288" t="n">
        <v>2.25</v>
      </c>
      <c r="P53" s="283" t="n">
        <v>2.85</v>
      </c>
      <c r="Q53" s="288" t="n">
        <v>3.25</v>
      </c>
      <c r="R53" s="283" t="n">
        <v>4.25</v>
      </c>
      <c r="S53" s="289" t="n">
        <v>5</v>
      </c>
      <c r="T53" s="290" t="n">
        <v>8.2</v>
      </c>
      <c r="U53" s="287" t="n">
        <v>29</v>
      </c>
    </row>
    <row r="54" customFormat="false" ht="12.75" hidden="false" customHeight="false" outlineLevel="0" collapsed="false">
      <c r="A54" s="278" t="n">
        <v>37469</v>
      </c>
      <c r="B54" s="286" t="n">
        <v>3</v>
      </c>
      <c r="C54" s="287" t="n">
        <v>2</v>
      </c>
      <c r="D54" s="281" t="n">
        <v>1</v>
      </c>
      <c r="E54" s="282" t="n">
        <v>0.75</v>
      </c>
      <c r="F54" s="283" t="n">
        <v>0.25</v>
      </c>
      <c r="G54" s="283" t="n">
        <v>0</v>
      </c>
      <c r="H54" s="288" t="n">
        <v>-0.4</v>
      </c>
      <c r="I54" s="283" t="n">
        <v>-0.6</v>
      </c>
      <c r="J54" s="288" t="n">
        <v>-0.6</v>
      </c>
      <c r="K54" s="288" t="n">
        <v>0</v>
      </c>
      <c r="L54" s="288" t="n">
        <v>0.8</v>
      </c>
      <c r="M54" s="283" t="n">
        <v>1.25</v>
      </c>
      <c r="N54" s="283" t="n">
        <v>1.75</v>
      </c>
      <c r="O54" s="288" t="n">
        <v>2.25</v>
      </c>
      <c r="P54" s="283" t="n">
        <v>2.85</v>
      </c>
      <c r="Q54" s="288" t="n">
        <v>3.25</v>
      </c>
      <c r="R54" s="283" t="n">
        <v>4.25</v>
      </c>
      <c r="S54" s="289" t="n">
        <v>5</v>
      </c>
      <c r="T54" s="291" t="n">
        <v>8.2</v>
      </c>
      <c r="U54" s="292" t="n">
        <v>29</v>
      </c>
    </row>
    <row r="55" customFormat="false" ht="12.75" hidden="false" customHeight="false" outlineLevel="0" collapsed="false">
      <c r="A55" s="278" t="n">
        <v>37500</v>
      </c>
      <c r="B55" s="286" t="n">
        <v>3</v>
      </c>
      <c r="C55" s="287" t="n">
        <v>2</v>
      </c>
      <c r="D55" s="281" t="n">
        <v>1</v>
      </c>
      <c r="E55" s="282" t="n">
        <v>0.75</v>
      </c>
      <c r="F55" s="283" t="n">
        <v>0.25</v>
      </c>
      <c r="G55" s="283" t="n">
        <v>0</v>
      </c>
      <c r="H55" s="288" t="n">
        <v>-0.4</v>
      </c>
      <c r="I55" s="283" t="n">
        <v>-0.6</v>
      </c>
      <c r="J55" s="288" t="n">
        <v>-0.6</v>
      </c>
      <c r="K55" s="288" t="n">
        <v>0</v>
      </c>
      <c r="L55" s="288" t="n">
        <v>0.8</v>
      </c>
      <c r="M55" s="283" t="n">
        <v>1.25</v>
      </c>
      <c r="N55" s="283" t="n">
        <v>1.75</v>
      </c>
      <c r="O55" s="288" t="n">
        <v>2.25</v>
      </c>
      <c r="P55" s="283" t="n">
        <v>2.85</v>
      </c>
      <c r="Q55" s="288" t="n">
        <v>3.25</v>
      </c>
      <c r="R55" s="283" t="n">
        <v>4.25</v>
      </c>
      <c r="S55" s="289" t="n">
        <v>5</v>
      </c>
      <c r="T55" s="290" t="n">
        <v>8.2</v>
      </c>
      <c r="U55" s="287" t="n">
        <v>29</v>
      </c>
    </row>
    <row r="56" customFormat="false" ht="12.75" hidden="false" customHeight="false" outlineLevel="0" collapsed="false">
      <c r="A56" s="278" t="n">
        <v>37530</v>
      </c>
      <c r="B56" s="286" t="n">
        <v>3</v>
      </c>
      <c r="C56" s="287" t="n">
        <v>2</v>
      </c>
      <c r="D56" s="281" t="n">
        <v>1</v>
      </c>
      <c r="E56" s="282" t="n">
        <v>0.75</v>
      </c>
      <c r="F56" s="283" t="n">
        <v>0.25</v>
      </c>
      <c r="G56" s="283" t="n">
        <v>0</v>
      </c>
      <c r="H56" s="288" t="n">
        <v>-0.4</v>
      </c>
      <c r="I56" s="283" t="n">
        <v>-0.6</v>
      </c>
      <c r="J56" s="288" t="n">
        <v>-0.6</v>
      </c>
      <c r="K56" s="288" t="n">
        <v>0</v>
      </c>
      <c r="L56" s="288" t="n">
        <v>0.8</v>
      </c>
      <c r="M56" s="283" t="n">
        <v>1.25</v>
      </c>
      <c r="N56" s="283" t="n">
        <v>1.75</v>
      </c>
      <c r="O56" s="288" t="n">
        <v>2.25</v>
      </c>
      <c r="P56" s="283" t="n">
        <v>2.85</v>
      </c>
      <c r="Q56" s="288" t="n">
        <v>3.25</v>
      </c>
      <c r="R56" s="283" t="n">
        <v>4.25</v>
      </c>
      <c r="S56" s="289" t="n">
        <v>5</v>
      </c>
      <c r="T56" s="290" t="n">
        <v>8.2</v>
      </c>
      <c r="U56" s="287" t="n">
        <v>29</v>
      </c>
    </row>
    <row r="57" customFormat="false" ht="12.75" hidden="false" customHeight="false" outlineLevel="0" collapsed="false">
      <c r="A57" s="278" t="n">
        <v>37561</v>
      </c>
      <c r="B57" s="286" t="n">
        <v>3</v>
      </c>
      <c r="C57" s="287" t="n">
        <v>2</v>
      </c>
      <c r="D57" s="281" t="n">
        <v>1</v>
      </c>
      <c r="E57" s="282" t="n">
        <v>0.75</v>
      </c>
      <c r="F57" s="283" t="n">
        <v>0.25</v>
      </c>
      <c r="G57" s="283" t="n">
        <v>0</v>
      </c>
      <c r="H57" s="288" t="n">
        <v>-0.4</v>
      </c>
      <c r="I57" s="283" t="n">
        <v>-0.6</v>
      </c>
      <c r="J57" s="288" t="n">
        <v>-0.6</v>
      </c>
      <c r="K57" s="288" t="n">
        <v>0</v>
      </c>
      <c r="L57" s="288" t="n">
        <v>0.8</v>
      </c>
      <c r="M57" s="283" t="n">
        <v>1.25</v>
      </c>
      <c r="N57" s="283" t="n">
        <v>1.75</v>
      </c>
      <c r="O57" s="288" t="n">
        <v>2.25</v>
      </c>
      <c r="P57" s="283" t="n">
        <v>2.85</v>
      </c>
      <c r="Q57" s="288" t="n">
        <v>3.25</v>
      </c>
      <c r="R57" s="283" t="n">
        <v>4.25</v>
      </c>
      <c r="S57" s="289" t="n">
        <v>5</v>
      </c>
      <c r="T57" s="290" t="n">
        <v>8.2</v>
      </c>
      <c r="U57" s="287" t="n">
        <v>29</v>
      </c>
    </row>
    <row r="58" customFormat="false" ht="12.75" hidden="false" customHeight="false" outlineLevel="0" collapsed="false">
      <c r="A58" s="278" t="n">
        <v>37591</v>
      </c>
      <c r="B58" s="286" t="n">
        <v>3</v>
      </c>
      <c r="C58" s="287" t="n">
        <v>2</v>
      </c>
      <c r="D58" s="281" t="n">
        <v>1</v>
      </c>
      <c r="E58" s="282" t="n">
        <v>0.75</v>
      </c>
      <c r="F58" s="283" t="n">
        <v>0.25</v>
      </c>
      <c r="G58" s="283" t="n">
        <v>0</v>
      </c>
      <c r="H58" s="288" t="n">
        <v>-0.4</v>
      </c>
      <c r="I58" s="283" t="n">
        <v>-0.6</v>
      </c>
      <c r="J58" s="288" t="n">
        <v>-0.6</v>
      </c>
      <c r="K58" s="288" t="n">
        <v>0</v>
      </c>
      <c r="L58" s="288" t="n">
        <v>0.8</v>
      </c>
      <c r="M58" s="283" t="n">
        <v>1.25</v>
      </c>
      <c r="N58" s="283" t="n">
        <v>1.75</v>
      </c>
      <c r="O58" s="288" t="n">
        <v>2.25</v>
      </c>
      <c r="P58" s="283" t="n">
        <v>2.85</v>
      </c>
      <c r="Q58" s="288" t="n">
        <v>3.25</v>
      </c>
      <c r="R58" s="283" t="n">
        <v>4.25</v>
      </c>
      <c r="S58" s="289" t="n">
        <v>5</v>
      </c>
      <c r="T58" s="290" t="n">
        <v>8.2</v>
      </c>
      <c r="U58" s="287" t="n">
        <v>29</v>
      </c>
    </row>
    <row r="59" customFormat="false" ht="12.75" hidden="false" customHeight="false" outlineLevel="0" collapsed="false">
      <c r="A59" s="293" t="n">
        <v>37622</v>
      </c>
      <c r="B59" s="294" t="n">
        <v>3</v>
      </c>
      <c r="C59" s="295" t="n">
        <v>2</v>
      </c>
      <c r="D59" s="296" t="n">
        <v>1</v>
      </c>
      <c r="E59" s="297" t="n">
        <v>0.75</v>
      </c>
      <c r="F59" s="298" t="n">
        <v>0.25</v>
      </c>
      <c r="G59" s="298" t="n">
        <v>0</v>
      </c>
      <c r="H59" s="297" t="n">
        <v>-0.4</v>
      </c>
      <c r="I59" s="298" t="n">
        <v>-0.6</v>
      </c>
      <c r="J59" s="297" t="n">
        <v>-0.6</v>
      </c>
      <c r="K59" s="297" t="n">
        <v>0</v>
      </c>
      <c r="L59" s="297" t="n">
        <v>0.8</v>
      </c>
      <c r="M59" s="298" t="n">
        <v>1.25</v>
      </c>
      <c r="N59" s="298" t="n">
        <v>1.75</v>
      </c>
      <c r="O59" s="297" t="n">
        <v>2.25</v>
      </c>
      <c r="P59" s="298" t="n">
        <v>2.85</v>
      </c>
      <c r="Q59" s="297" t="n">
        <v>3.25</v>
      </c>
      <c r="R59" s="298" t="n">
        <v>4.25</v>
      </c>
      <c r="S59" s="295" t="n">
        <v>5</v>
      </c>
      <c r="T59" s="299" t="n">
        <v>8.2</v>
      </c>
      <c r="U59" s="300" t="n">
        <v>29</v>
      </c>
    </row>
    <row r="60" customFormat="false" ht="12.75" hidden="false" customHeight="false" outlineLevel="0" collapsed="false">
      <c r="A60" s="293" t="n">
        <v>37653</v>
      </c>
      <c r="B60" s="294" t="n">
        <v>3</v>
      </c>
      <c r="C60" s="295" t="n">
        <v>2</v>
      </c>
      <c r="D60" s="296" t="n">
        <v>1</v>
      </c>
      <c r="E60" s="297" t="n">
        <v>0.75</v>
      </c>
      <c r="F60" s="298" t="n">
        <v>0.25</v>
      </c>
      <c r="G60" s="298" t="n">
        <v>0</v>
      </c>
      <c r="H60" s="297" t="n">
        <v>-0.4</v>
      </c>
      <c r="I60" s="298" t="n">
        <v>-0.6</v>
      </c>
      <c r="J60" s="297" t="n">
        <v>-0.6</v>
      </c>
      <c r="K60" s="297" t="n">
        <v>0</v>
      </c>
      <c r="L60" s="297" t="n">
        <v>0.8</v>
      </c>
      <c r="M60" s="298" t="n">
        <v>1.25</v>
      </c>
      <c r="N60" s="298" t="n">
        <v>1.75</v>
      </c>
      <c r="O60" s="297" t="n">
        <v>2.25</v>
      </c>
      <c r="P60" s="298" t="n">
        <v>2.85</v>
      </c>
      <c r="Q60" s="297" t="n">
        <v>3.25</v>
      </c>
      <c r="R60" s="298" t="n">
        <v>4.25</v>
      </c>
      <c r="S60" s="295" t="n">
        <v>5</v>
      </c>
      <c r="T60" s="299" t="n">
        <v>8.2</v>
      </c>
      <c r="U60" s="300" t="n">
        <v>29</v>
      </c>
    </row>
    <row r="61" customFormat="false" ht="12.75" hidden="false" customHeight="false" outlineLevel="0" collapsed="false">
      <c r="A61" s="293" t="n">
        <v>37681</v>
      </c>
      <c r="B61" s="294" t="n">
        <v>3</v>
      </c>
      <c r="C61" s="295" t="n">
        <v>2</v>
      </c>
      <c r="D61" s="296" t="n">
        <v>1</v>
      </c>
      <c r="E61" s="297" t="n">
        <v>0.75</v>
      </c>
      <c r="F61" s="298" t="n">
        <v>0.25</v>
      </c>
      <c r="G61" s="298" t="n">
        <v>0</v>
      </c>
      <c r="H61" s="297" t="n">
        <v>-0.4</v>
      </c>
      <c r="I61" s="298" t="n">
        <v>-0.6</v>
      </c>
      <c r="J61" s="297" t="n">
        <v>-0.6</v>
      </c>
      <c r="K61" s="297" t="n">
        <v>0</v>
      </c>
      <c r="L61" s="297" t="n">
        <v>0.8</v>
      </c>
      <c r="M61" s="298" t="n">
        <v>1.25</v>
      </c>
      <c r="N61" s="298" t="n">
        <v>1.75</v>
      </c>
      <c r="O61" s="297" t="n">
        <v>2.25</v>
      </c>
      <c r="P61" s="298" t="n">
        <v>2.85</v>
      </c>
      <c r="Q61" s="297" t="n">
        <v>3.25</v>
      </c>
      <c r="R61" s="298" t="n">
        <v>4.25</v>
      </c>
      <c r="S61" s="295" t="n">
        <v>5</v>
      </c>
      <c r="T61" s="299" t="n">
        <v>8.2</v>
      </c>
      <c r="U61" s="300" t="n">
        <v>29</v>
      </c>
    </row>
    <row r="62" customFormat="false" ht="12.75" hidden="false" customHeight="false" outlineLevel="0" collapsed="false">
      <c r="A62" s="293" t="n">
        <v>37712</v>
      </c>
      <c r="B62" s="294" t="n">
        <v>3</v>
      </c>
      <c r="C62" s="295" t="n">
        <v>2</v>
      </c>
      <c r="D62" s="296" t="n">
        <v>0.75</v>
      </c>
      <c r="E62" s="297" t="n">
        <v>0.5</v>
      </c>
      <c r="F62" s="298" t="n">
        <v>0.25</v>
      </c>
      <c r="G62" s="298" t="n">
        <v>0</v>
      </c>
      <c r="H62" s="297" t="n">
        <v>-0.35</v>
      </c>
      <c r="I62" s="298" t="n">
        <v>-0.5</v>
      </c>
      <c r="J62" s="297" t="n">
        <v>-0.55</v>
      </c>
      <c r="K62" s="297" t="n">
        <v>0</v>
      </c>
      <c r="L62" s="297" t="n">
        <v>0.8</v>
      </c>
      <c r="M62" s="298" t="n">
        <v>1.25</v>
      </c>
      <c r="N62" s="298" t="n">
        <v>1.75</v>
      </c>
      <c r="O62" s="297" t="n">
        <v>2.25</v>
      </c>
      <c r="P62" s="298" t="n">
        <v>2.85</v>
      </c>
      <c r="Q62" s="297" t="n">
        <v>3.25</v>
      </c>
      <c r="R62" s="298" t="n">
        <v>4.25</v>
      </c>
      <c r="S62" s="295" t="n">
        <v>5</v>
      </c>
      <c r="T62" s="299" t="n">
        <v>8.2</v>
      </c>
      <c r="U62" s="300" t="n">
        <v>29</v>
      </c>
    </row>
    <row r="63" customFormat="false" ht="12.75" hidden="false" customHeight="false" outlineLevel="0" collapsed="false">
      <c r="A63" s="293" t="n">
        <v>37742</v>
      </c>
      <c r="B63" s="294" t="n">
        <v>3</v>
      </c>
      <c r="C63" s="295" t="n">
        <v>2</v>
      </c>
      <c r="D63" s="296" t="n">
        <v>0.75</v>
      </c>
      <c r="E63" s="297" t="n">
        <v>0.5</v>
      </c>
      <c r="F63" s="298" t="n">
        <v>0.25</v>
      </c>
      <c r="G63" s="298" t="n">
        <v>0</v>
      </c>
      <c r="H63" s="297" t="n">
        <v>-0.35</v>
      </c>
      <c r="I63" s="298" t="n">
        <v>-0.5</v>
      </c>
      <c r="J63" s="297" t="n">
        <v>-0.55</v>
      </c>
      <c r="K63" s="297" t="n">
        <v>0</v>
      </c>
      <c r="L63" s="297" t="n">
        <v>0.8</v>
      </c>
      <c r="M63" s="298" t="n">
        <v>1.25</v>
      </c>
      <c r="N63" s="298" t="n">
        <v>1.75</v>
      </c>
      <c r="O63" s="297" t="n">
        <v>2.25</v>
      </c>
      <c r="P63" s="298" t="n">
        <v>2.85</v>
      </c>
      <c r="Q63" s="297" t="n">
        <v>3.25</v>
      </c>
      <c r="R63" s="298" t="n">
        <v>4.25</v>
      </c>
      <c r="S63" s="295" t="n">
        <v>5</v>
      </c>
      <c r="T63" s="299" t="n">
        <v>8.2</v>
      </c>
      <c r="U63" s="300" t="n">
        <v>29</v>
      </c>
    </row>
    <row r="64" customFormat="false" ht="12.75" hidden="false" customHeight="false" outlineLevel="0" collapsed="false">
      <c r="A64" s="293" t="n">
        <v>37773</v>
      </c>
      <c r="B64" s="294" t="n">
        <v>3</v>
      </c>
      <c r="C64" s="295" t="n">
        <v>2</v>
      </c>
      <c r="D64" s="296" t="n">
        <v>0.75</v>
      </c>
      <c r="E64" s="297" t="n">
        <v>0.5</v>
      </c>
      <c r="F64" s="298" t="n">
        <v>0.25</v>
      </c>
      <c r="G64" s="298" t="n">
        <v>0</v>
      </c>
      <c r="H64" s="297" t="n">
        <v>-0.35</v>
      </c>
      <c r="I64" s="298" t="n">
        <v>-0.5</v>
      </c>
      <c r="J64" s="297" t="n">
        <v>-0.55</v>
      </c>
      <c r="K64" s="297" t="n">
        <v>0</v>
      </c>
      <c r="L64" s="297" t="n">
        <v>0.8</v>
      </c>
      <c r="M64" s="298" t="n">
        <v>1.25</v>
      </c>
      <c r="N64" s="298" t="n">
        <v>1.75</v>
      </c>
      <c r="O64" s="297" t="n">
        <v>2.25</v>
      </c>
      <c r="P64" s="298" t="n">
        <v>2.85</v>
      </c>
      <c r="Q64" s="297" t="n">
        <v>3.25</v>
      </c>
      <c r="R64" s="298" t="n">
        <v>4.25</v>
      </c>
      <c r="S64" s="295" t="n">
        <v>5</v>
      </c>
      <c r="T64" s="299" t="n">
        <v>8.2</v>
      </c>
      <c r="U64" s="300" t="n">
        <v>29</v>
      </c>
    </row>
    <row r="65" customFormat="false" ht="12.75" hidden="false" customHeight="false" outlineLevel="0" collapsed="false">
      <c r="A65" s="293" t="n">
        <v>37803</v>
      </c>
      <c r="B65" s="294" t="n">
        <v>3</v>
      </c>
      <c r="C65" s="295" t="n">
        <v>2</v>
      </c>
      <c r="D65" s="296" t="n">
        <v>0.75</v>
      </c>
      <c r="E65" s="297" t="n">
        <v>0.5</v>
      </c>
      <c r="F65" s="298" t="n">
        <v>0.25</v>
      </c>
      <c r="G65" s="298" t="n">
        <v>0</v>
      </c>
      <c r="H65" s="297" t="n">
        <v>-0.35</v>
      </c>
      <c r="I65" s="298" t="n">
        <v>-0.5</v>
      </c>
      <c r="J65" s="297" t="n">
        <v>-0.55</v>
      </c>
      <c r="K65" s="297" t="n">
        <v>0</v>
      </c>
      <c r="L65" s="297" t="n">
        <v>0.8</v>
      </c>
      <c r="M65" s="298" t="n">
        <v>1.25</v>
      </c>
      <c r="N65" s="298" t="n">
        <v>1.75</v>
      </c>
      <c r="O65" s="297" t="n">
        <v>2.25</v>
      </c>
      <c r="P65" s="298" t="n">
        <v>2.85</v>
      </c>
      <c r="Q65" s="297" t="n">
        <v>3.25</v>
      </c>
      <c r="R65" s="298" t="n">
        <v>4.25</v>
      </c>
      <c r="S65" s="295" t="n">
        <v>5</v>
      </c>
      <c r="T65" s="299" t="n">
        <v>8.2</v>
      </c>
      <c r="U65" s="300" t="n">
        <v>29</v>
      </c>
    </row>
    <row r="66" customFormat="false" ht="12.75" hidden="false" customHeight="false" outlineLevel="0" collapsed="false">
      <c r="A66" s="293" t="n">
        <v>37834</v>
      </c>
      <c r="B66" s="294" t="n">
        <v>3</v>
      </c>
      <c r="C66" s="295" t="n">
        <v>2</v>
      </c>
      <c r="D66" s="296" t="n">
        <v>0.75</v>
      </c>
      <c r="E66" s="297" t="n">
        <v>0.5</v>
      </c>
      <c r="F66" s="298" t="n">
        <v>0.25</v>
      </c>
      <c r="G66" s="298" t="n">
        <v>0</v>
      </c>
      <c r="H66" s="297" t="n">
        <v>-0.35</v>
      </c>
      <c r="I66" s="298" t="n">
        <v>-0.5</v>
      </c>
      <c r="J66" s="297" t="n">
        <v>-0.55</v>
      </c>
      <c r="K66" s="297" t="n">
        <v>0</v>
      </c>
      <c r="L66" s="297" t="n">
        <v>0.8</v>
      </c>
      <c r="M66" s="298" t="n">
        <v>1.25</v>
      </c>
      <c r="N66" s="298" t="n">
        <v>1.75</v>
      </c>
      <c r="O66" s="297" t="n">
        <v>2.25</v>
      </c>
      <c r="P66" s="298" t="n">
        <v>2.85</v>
      </c>
      <c r="Q66" s="297" t="n">
        <v>3.25</v>
      </c>
      <c r="R66" s="298" t="n">
        <v>4.25</v>
      </c>
      <c r="S66" s="295" t="n">
        <v>5</v>
      </c>
      <c r="T66" s="299" t="n">
        <v>8.2</v>
      </c>
      <c r="U66" s="300" t="n">
        <v>29</v>
      </c>
    </row>
    <row r="67" customFormat="false" ht="12.75" hidden="false" customHeight="false" outlineLevel="0" collapsed="false">
      <c r="A67" s="293" t="n">
        <v>37865</v>
      </c>
      <c r="B67" s="294" t="n">
        <v>3</v>
      </c>
      <c r="C67" s="295" t="n">
        <v>2</v>
      </c>
      <c r="D67" s="296" t="n">
        <v>0.75</v>
      </c>
      <c r="E67" s="297" t="n">
        <v>0.5</v>
      </c>
      <c r="F67" s="298" t="n">
        <v>0.25</v>
      </c>
      <c r="G67" s="298" t="n">
        <v>0</v>
      </c>
      <c r="H67" s="297" t="n">
        <v>-0.35</v>
      </c>
      <c r="I67" s="298" t="n">
        <v>-0.5</v>
      </c>
      <c r="J67" s="297" t="n">
        <v>-0.55</v>
      </c>
      <c r="K67" s="297" t="n">
        <v>0</v>
      </c>
      <c r="L67" s="297" t="n">
        <v>0.8</v>
      </c>
      <c r="M67" s="298" t="n">
        <v>1.25</v>
      </c>
      <c r="N67" s="298" t="n">
        <v>1.75</v>
      </c>
      <c r="O67" s="297" t="n">
        <v>2.25</v>
      </c>
      <c r="P67" s="298" t="n">
        <v>2.85</v>
      </c>
      <c r="Q67" s="297" t="n">
        <v>3.25</v>
      </c>
      <c r="R67" s="298" t="n">
        <v>4.25</v>
      </c>
      <c r="S67" s="295" t="n">
        <v>5</v>
      </c>
      <c r="T67" s="299" t="n">
        <v>8.2</v>
      </c>
      <c r="U67" s="300" t="n">
        <v>29</v>
      </c>
    </row>
    <row r="68" customFormat="false" ht="12.75" hidden="false" customHeight="false" outlineLevel="0" collapsed="false">
      <c r="A68" s="293" t="n">
        <v>37895</v>
      </c>
      <c r="B68" s="294" t="n">
        <v>3</v>
      </c>
      <c r="C68" s="295" t="n">
        <v>2</v>
      </c>
      <c r="D68" s="296" t="n">
        <v>0.75</v>
      </c>
      <c r="E68" s="297" t="n">
        <v>0.5</v>
      </c>
      <c r="F68" s="298" t="n">
        <v>0.25</v>
      </c>
      <c r="G68" s="298" t="n">
        <v>0</v>
      </c>
      <c r="H68" s="297" t="n">
        <v>-0.35</v>
      </c>
      <c r="I68" s="298" t="n">
        <v>-0.5</v>
      </c>
      <c r="J68" s="297" t="n">
        <v>-0.55</v>
      </c>
      <c r="K68" s="297" t="n">
        <v>0</v>
      </c>
      <c r="L68" s="297" t="n">
        <v>0.8</v>
      </c>
      <c r="M68" s="298" t="n">
        <v>1.25</v>
      </c>
      <c r="N68" s="298" t="n">
        <v>1.75</v>
      </c>
      <c r="O68" s="297" t="n">
        <v>2.25</v>
      </c>
      <c r="P68" s="298" t="n">
        <v>2.85</v>
      </c>
      <c r="Q68" s="297" t="n">
        <v>3.25</v>
      </c>
      <c r="R68" s="298" t="n">
        <v>4.25</v>
      </c>
      <c r="S68" s="295" t="n">
        <v>5</v>
      </c>
      <c r="T68" s="299" t="n">
        <v>8.2</v>
      </c>
      <c r="U68" s="300" t="n">
        <v>29</v>
      </c>
    </row>
    <row r="69" customFormat="false" ht="12.75" hidden="false" customHeight="false" outlineLevel="0" collapsed="false">
      <c r="A69" s="293" t="n">
        <v>37926</v>
      </c>
      <c r="B69" s="294" t="n">
        <v>3</v>
      </c>
      <c r="C69" s="295" t="n">
        <v>2</v>
      </c>
      <c r="D69" s="296" t="n">
        <v>0.75</v>
      </c>
      <c r="E69" s="297" t="n">
        <v>0.5</v>
      </c>
      <c r="F69" s="298" t="n">
        <v>0.25</v>
      </c>
      <c r="G69" s="298" t="n">
        <v>0</v>
      </c>
      <c r="H69" s="297" t="n">
        <v>-0.35</v>
      </c>
      <c r="I69" s="298" t="n">
        <v>-0.5</v>
      </c>
      <c r="J69" s="297" t="n">
        <v>-0.55</v>
      </c>
      <c r="K69" s="297" t="n">
        <v>0</v>
      </c>
      <c r="L69" s="297" t="n">
        <v>0.8</v>
      </c>
      <c r="M69" s="298" t="n">
        <v>1.25</v>
      </c>
      <c r="N69" s="298" t="n">
        <v>1.75</v>
      </c>
      <c r="O69" s="297" t="n">
        <v>2.25</v>
      </c>
      <c r="P69" s="298" t="n">
        <v>2.85</v>
      </c>
      <c r="Q69" s="297" t="n">
        <v>3.25</v>
      </c>
      <c r="R69" s="298" t="n">
        <v>4.25</v>
      </c>
      <c r="S69" s="295" t="n">
        <v>5</v>
      </c>
      <c r="T69" s="299" t="n">
        <v>8.2</v>
      </c>
      <c r="U69" s="300" t="n">
        <v>29</v>
      </c>
    </row>
    <row r="70" customFormat="false" ht="12.75" hidden="false" customHeight="false" outlineLevel="0" collapsed="false">
      <c r="A70" s="293" t="n">
        <v>37956</v>
      </c>
      <c r="B70" s="294" t="n">
        <v>3</v>
      </c>
      <c r="C70" s="295" t="n">
        <v>2</v>
      </c>
      <c r="D70" s="296" t="n">
        <v>0.75</v>
      </c>
      <c r="E70" s="297" t="n">
        <v>0.5</v>
      </c>
      <c r="F70" s="298" t="n">
        <v>0.25</v>
      </c>
      <c r="G70" s="298" t="n">
        <v>0</v>
      </c>
      <c r="H70" s="297" t="n">
        <v>-0.35</v>
      </c>
      <c r="I70" s="298" t="n">
        <v>-0.5</v>
      </c>
      <c r="J70" s="297" t="n">
        <v>-0.55</v>
      </c>
      <c r="K70" s="297" t="n">
        <v>0</v>
      </c>
      <c r="L70" s="297" t="n">
        <v>0.8</v>
      </c>
      <c r="M70" s="298" t="n">
        <v>1.25</v>
      </c>
      <c r="N70" s="298" t="n">
        <v>1.75</v>
      </c>
      <c r="O70" s="297" t="n">
        <v>2.25</v>
      </c>
      <c r="P70" s="298" t="n">
        <v>2.85</v>
      </c>
      <c r="Q70" s="297" t="n">
        <v>3.25</v>
      </c>
      <c r="R70" s="298" t="n">
        <v>4.25</v>
      </c>
      <c r="S70" s="295" t="n">
        <v>5</v>
      </c>
      <c r="T70" s="299" t="n">
        <v>8.2</v>
      </c>
      <c r="U70" s="300" t="n">
        <v>29</v>
      </c>
    </row>
    <row r="71" customFormat="false" ht="12.75" hidden="false" customHeight="false" outlineLevel="0" collapsed="false">
      <c r="A71" s="293" t="n">
        <v>37987</v>
      </c>
      <c r="B71" s="294" t="n">
        <v>3</v>
      </c>
      <c r="C71" s="295" t="n">
        <v>2</v>
      </c>
      <c r="D71" s="296" t="n">
        <v>0.75</v>
      </c>
      <c r="E71" s="297" t="n">
        <v>0.5</v>
      </c>
      <c r="F71" s="298" t="n">
        <v>0.25</v>
      </c>
      <c r="G71" s="298" t="n">
        <v>0</v>
      </c>
      <c r="H71" s="297" t="n">
        <v>-0.35</v>
      </c>
      <c r="I71" s="298" t="n">
        <v>-0.5</v>
      </c>
      <c r="J71" s="297" t="n">
        <v>-0.55</v>
      </c>
      <c r="K71" s="297" t="n">
        <v>0</v>
      </c>
      <c r="L71" s="297" t="n">
        <v>0.8</v>
      </c>
      <c r="M71" s="298" t="n">
        <v>1.25</v>
      </c>
      <c r="N71" s="298" t="n">
        <v>1.75</v>
      </c>
      <c r="O71" s="297" t="n">
        <v>2.25</v>
      </c>
      <c r="P71" s="298" t="n">
        <v>2.85</v>
      </c>
      <c r="Q71" s="297" t="n">
        <v>3.25</v>
      </c>
      <c r="R71" s="298" t="n">
        <v>4.25</v>
      </c>
      <c r="S71" s="295" t="n">
        <v>5</v>
      </c>
      <c r="T71" s="299" t="n">
        <v>8.2</v>
      </c>
      <c r="U71" s="300" t="n">
        <v>29</v>
      </c>
    </row>
    <row r="72" customFormat="false" ht="12.75" hidden="false" customHeight="false" outlineLevel="0" collapsed="false">
      <c r="A72" s="293" t="n">
        <v>38018</v>
      </c>
      <c r="B72" s="294" t="n">
        <v>3</v>
      </c>
      <c r="C72" s="295" t="n">
        <v>2</v>
      </c>
      <c r="D72" s="296" t="n">
        <v>0.75</v>
      </c>
      <c r="E72" s="297" t="n">
        <v>0.5</v>
      </c>
      <c r="F72" s="298" t="n">
        <v>0.25</v>
      </c>
      <c r="G72" s="298" t="n">
        <v>0</v>
      </c>
      <c r="H72" s="297" t="n">
        <v>-0.35</v>
      </c>
      <c r="I72" s="298" t="n">
        <v>-0.5</v>
      </c>
      <c r="J72" s="297" t="n">
        <v>-0.55</v>
      </c>
      <c r="K72" s="297" t="n">
        <v>0</v>
      </c>
      <c r="L72" s="297" t="n">
        <v>0.8</v>
      </c>
      <c r="M72" s="298" t="n">
        <v>1.25</v>
      </c>
      <c r="N72" s="298" t="n">
        <v>1.75</v>
      </c>
      <c r="O72" s="297" t="n">
        <v>2.25</v>
      </c>
      <c r="P72" s="298" t="n">
        <v>2.85</v>
      </c>
      <c r="Q72" s="297" t="n">
        <v>3.25</v>
      </c>
      <c r="R72" s="298" t="n">
        <v>4.25</v>
      </c>
      <c r="S72" s="295" t="n">
        <v>5</v>
      </c>
      <c r="T72" s="299" t="n">
        <v>8.2</v>
      </c>
      <c r="U72" s="300" t="n">
        <v>29</v>
      </c>
    </row>
    <row r="73" customFormat="false" ht="12.75" hidden="false" customHeight="false" outlineLevel="0" collapsed="false">
      <c r="A73" s="293" t="n">
        <v>38047</v>
      </c>
      <c r="B73" s="294" t="n">
        <v>3</v>
      </c>
      <c r="C73" s="295" t="n">
        <v>2</v>
      </c>
      <c r="D73" s="296" t="n">
        <v>0.75</v>
      </c>
      <c r="E73" s="297" t="n">
        <v>0.5</v>
      </c>
      <c r="F73" s="298" t="n">
        <v>0.25</v>
      </c>
      <c r="G73" s="298" t="n">
        <v>0</v>
      </c>
      <c r="H73" s="297" t="n">
        <v>-0.35</v>
      </c>
      <c r="I73" s="298" t="n">
        <v>-0.5</v>
      </c>
      <c r="J73" s="297" t="n">
        <v>-0.55</v>
      </c>
      <c r="K73" s="297" t="n">
        <v>0</v>
      </c>
      <c r="L73" s="297" t="n">
        <v>0.8</v>
      </c>
      <c r="M73" s="298" t="n">
        <v>1.25</v>
      </c>
      <c r="N73" s="298" t="n">
        <v>1.75</v>
      </c>
      <c r="O73" s="297" t="n">
        <v>2.25</v>
      </c>
      <c r="P73" s="298" t="n">
        <v>2.85</v>
      </c>
      <c r="Q73" s="297" t="n">
        <v>3.25</v>
      </c>
      <c r="R73" s="298" t="n">
        <v>4.25</v>
      </c>
      <c r="S73" s="295" t="n">
        <v>5</v>
      </c>
      <c r="T73" s="299" t="n">
        <v>8.2</v>
      </c>
      <c r="U73" s="300" t="n">
        <v>29</v>
      </c>
    </row>
    <row r="74" customFormat="false" ht="12.75" hidden="false" customHeight="false" outlineLevel="0" collapsed="false">
      <c r="A74" s="293" t="n">
        <v>38078</v>
      </c>
      <c r="B74" s="294" t="n">
        <v>3</v>
      </c>
      <c r="C74" s="295" t="n">
        <v>2</v>
      </c>
      <c r="D74" s="296" t="n">
        <v>0.75</v>
      </c>
      <c r="E74" s="297" t="n">
        <v>0.5</v>
      </c>
      <c r="F74" s="298" t="n">
        <v>0.25</v>
      </c>
      <c r="G74" s="298" t="n">
        <v>0</v>
      </c>
      <c r="H74" s="297" t="n">
        <v>-0.3</v>
      </c>
      <c r="I74" s="298" t="n">
        <v>-0.5</v>
      </c>
      <c r="J74" s="297" t="n">
        <v>-0.55</v>
      </c>
      <c r="K74" s="297" t="n">
        <v>0</v>
      </c>
      <c r="L74" s="297" t="n">
        <v>0.8</v>
      </c>
      <c r="M74" s="298" t="n">
        <v>1.25</v>
      </c>
      <c r="N74" s="298" t="n">
        <v>1.75</v>
      </c>
      <c r="O74" s="297" t="n">
        <v>2.25</v>
      </c>
      <c r="P74" s="298" t="n">
        <v>2.85</v>
      </c>
      <c r="Q74" s="297" t="n">
        <v>3.25</v>
      </c>
      <c r="R74" s="298" t="n">
        <v>4.25</v>
      </c>
      <c r="S74" s="295" t="n">
        <v>5</v>
      </c>
      <c r="T74" s="299" t="n">
        <v>8.2</v>
      </c>
      <c r="U74" s="300" t="n">
        <v>29</v>
      </c>
    </row>
    <row r="75" customFormat="false" ht="12.75" hidden="false" customHeight="false" outlineLevel="0" collapsed="false">
      <c r="A75" s="293" t="n">
        <v>38108</v>
      </c>
      <c r="B75" s="294" t="n">
        <v>3</v>
      </c>
      <c r="C75" s="295" t="n">
        <v>2</v>
      </c>
      <c r="D75" s="296" t="n">
        <v>0.75</v>
      </c>
      <c r="E75" s="297" t="n">
        <v>0.5</v>
      </c>
      <c r="F75" s="298" t="n">
        <v>0.25</v>
      </c>
      <c r="G75" s="298" t="n">
        <v>0</v>
      </c>
      <c r="H75" s="297" t="n">
        <v>-0.3</v>
      </c>
      <c r="I75" s="298" t="n">
        <v>-0.5</v>
      </c>
      <c r="J75" s="297" t="n">
        <v>-0.55</v>
      </c>
      <c r="K75" s="297" t="n">
        <v>0</v>
      </c>
      <c r="L75" s="297" t="n">
        <v>0.8</v>
      </c>
      <c r="M75" s="298" t="n">
        <v>1.25</v>
      </c>
      <c r="N75" s="298" t="n">
        <v>1.75</v>
      </c>
      <c r="O75" s="297" t="n">
        <v>2.25</v>
      </c>
      <c r="P75" s="298" t="n">
        <v>2.85</v>
      </c>
      <c r="Q75" s="297" t="n">
        <v>3.25</v>
      </c>
      <c r="R75" s="298" t="n">
        <v>4.25</v>
      </c>
      <c r="S75" s="295" t="n">
        <v>5</v>
      </c>
      <c r="T75" s="299" t="n">
        <v>8.2</v>
      </c>
      <c r="U75" s="300" t="n">
        <v>29</v>
      </c>
    </row>
    <row r="76" customFormat="false" ht="12.75" hidden="false" customHeight="false" outlineLevel="0" collapsed="false">
      <c r="A76" s="293" t="n">
        <v>38139</v>
      </c>
      <c r="B76" s="294" t="n">
        <v>3</v>
      </c>
      <c r="C76" s="295" t="n">
        <v>2</v>
      </c>
      <c r="D76" s="296" t="n">
        <v>0.75</v>
      </c>
      <c r="E76" s="297" t="n">
        <v>0.5</v>
      </c>
      <c r="F76" s="298" t="n">
        <v>0.25</v>
      </c>
      <c r="G76" s="298" t="n">
        <v>0</v>
      </c>
      <c r="H76" s="297" t="n">
        <v>-0.3</v>
      </c>
      <c r="I76" s="298" t="n">
        <v>-0.5</v>
      </c>
      <c r="J76" s="297" t="n">
        <v>-0.55</v>
      </c>
      <c r="K76" s="297" t="n">
        <v>0</v>
      </c>
      <c r="L76" s="297" t="n">
        <v>0.8</v>
      </c>
      <c r="M76" s="298" t="n">
        <v>1.25</v>
      </c>
      <c r="N76" s="298" t="n">
        <v>1.75</v>
      </c>
      <c r="O76" s="297" t="n">
        <v>2.25</v>
      </c>
      <c r="P76" s="298" t="n">
        <v>2.85</v>
      </c>
      <c r="Q76" s="297" t="n">
        <v>3.25</v>
      </c>
      <c r="R76" s="298" t="n">
        <v>4.25</v>
      </c>
      <c r="S76" s="295" t="n">
        <v>5</v>
      </c>
      <c r="T76" s="299" t="n">
        <v>8.2</v>
      </c>
      <c r="U76" s="300" t="n">
        <v>29</v>
      </c>
    </row>
    <row r="77" customFormat="false" ht="12.75" hidden="false" customHeight="false" outlineLevel="0" collapsed="false">
      <c r="A77" s="293" t="n">
        <v>38169</v>
      </c>
      <c r="B77" s="294" t="n">
        <v>3</v>
      </c>
      <c r="C77" s="295" t="n">
        <v>2</v>
      </c>
      <c r="D77" s="296" t="n">
        <v>0.75</v>
      </c>
      <c r="E77" s="297" t="n">
        <v>0.5</v>
      </c>
      <c r="F77" s="298" t="n">
        <v>0.25</v>
      </c>
      <c r="G77" s="298" t="n">
        <v>0</v>
      </c>
      <c r="H77" s="297" t="n">
        <v>-0.3</v>
      </c>
      <c r="I77" s="298" t="n">
        <v>-0.5</v>
      </c>
      <c r="J77" s="297" t="n">
        <v>-0.55</v>
      </c>
      <c r="K77" s="297" t="n">
        <v>0</v>
      </c>
      <c r="L77" s="297" t="n">
        <v>0.8</v>
      </c>
      <c r="M77" s="298" t="n">
        <v>1.25</v>
      </c>
      <c r="N77" s="298" t="n">
        <v>1.75</v>
      </c>
      <c r="O77" s="297" t="n">
        <v>2.25</v>
      </c>
      <c r="P77" s="298" t="n">
        <v>2.85</v>
      </c>
      <c r="Q77" s="297" t="n">
        <v>3.25</v>
      </c>
      <c r="R77" s="298" t="n">
        <v>4.25</v>
      </c>
      <c r="S77" s="295" t="n">
        <v>5</v>
      </c>
      <c r="T77" s="299" t="n">
        <v>8.2</v>
      </c>
      <c r="U77" s="300" t="n">
        <v>29</v>
      </c>
    </row>
    <row r="78" customFormat="false" ht="12.75" hidden="false" customHeight="false" outlineLevel="0" collapsed="false">
      <c r="A78" s="293" t="n">
        <v>38200</v>
      </c>
      <c r="B78" s="294" t="n">
        <v>3</v>
      </c>
      <c r="C78" s="295" t="n">
        <v>2</v>
      </c>
      <c r="D78" s="296" t="n">
        <v>0.75</v>
      </c>
      <c r="E78" s="297" t="n">
        <v>0.5</v>
      </c>
      <c r="F78" s="298" t="n">
        <v>0.25</v>
      </c>
      <c r="G78" s="298" t="n">
        <v>0</v>
      </c>
      <c r="H78" s="297" t="n">
        <v>-0.3</v>
      </c>
      <c r="I78" s="298" t="n">
        <v>-0.5</v>
      </c>
      <c r="J78" s="297" t="n">
        <v>-0.55</v>
      </c>
      <c r="K78" s="297" t="n">
        <v>0</v>
      </c>
      <c r="L78" s="297" t="n">
        <v>0.8</v>
      </c>
      <c r="M78" s="298" t="n">
        <v>1.25</v>
      </c>
      <c r="N78" s="298" t="n">
        <v>1.75</v>
      </c>
      <c r="O78" s="297" t="n">
        <v>2.25</v>
      </c>
      <c r="P78" s="298" t="n">
        <v>2.85</v>
      </c>
      <c r="Q78" s="297" t="n">
        <v>3.25</v>
      </c>
      <c r="R78" s="298" t="n">
        <v>4.25</v>
      </c>
      <c r="S78" s="295" t="n">
        <v>5</v>
      </c>
      <c r="T78" s="299" t="n">
        <v>8.2</v>
      </c>
      <c r="U78" s="300" t="n">
        <v>29</v>
      </c>
    </row>
    <row r="79" customFormat="false" ht="12.75" hidden="false" customHeight="false" outlineLevel="0" collapsed="false">
      <c r="A79" s="293" t="n">
        <v>38231</v>
      </c>
      <c r="B79" s="294" t="n">
        <v>3</v>
      </c>
      <c r="C79" s="295" t="n">
        <v>2</v>
      </c>
      <c r="D79" s="296" t="n">
        <v>0.75</v>
      </c>
      <c r="E79" s="297" t="n">
        <v>0.5</v>
      </c>
      <c r="F79" s="298" t="n">
        <v>0.25</v>
      </c>
      <c r="G79" s="298" t="n">
        <v>0</v>
      </c>
      <c r="H79" s="297" t="n">
        <v>-0.3</v>
      </c>
      <c r="I79" s="298" t="n">
        <v>-0.5</v>
      </c>
      <c r="J79" s="297" t="n">
        <v>-0.55</v>
      </c>
      <c r="K79" s="297" t="n">
        <v>0</v>
      </c>
      <c r="L79" s="297" t="n">
        <v>0.8</v>
      </c>
      <c r="M79" s="298" t="n">
        <v>1.25</v>
      </c>
      <c r="N79" s="298" t="n">
        <v>1.75</v>
      </c>
      <c r="O79" s="297" t="n">
        <v>2.25</v>
      </c>
      <c r="P79" s="298" t="n">
        <v>2.85</v>
      </c>
      <c r="Q79" s="297" t="n">
        <v>3.25</v>
      </c>
      <c r="R79" s="298" t="n">
        <v>4.25</v>
      </c>
      <c r="S79" s="295" t="n">
        <v>5</v>
      </c>
      <c r="T79" s="299" t="n">
        <v>8.2</v>
      </c>
      <c r="U79" s="300" t="n">
        <v>29</v>
      </c>
    </row>
    <row r="80" customFormat="false" ht="12.75" hidden="false" customHeight="false" outlineLevel="0" collapsed="false">
      <c r="A80" s="293" t="n">
        <v>40513</v>
      </c>
      <c r="B80" s="294" t="n">
        <v>3</v>
      </c>
      <c r="C80" s="295" t="n">
        <v>2</v>
      </c>
      <c r="D80" s="296" t="n">
        <v>0.75</v>
      </c>
      <c r="E80" s="297" t="n">
        <v>0.5</v>
      </c>
      <c r="F80" s="298" t="n">
        <v>0.25</v>
      </c>
      <c r="G80" s="298" t="n">
        <v>0</v>
      </c>
      <c r="H80" s="297" t="n">
        <v>-0.3</v>
      </c>
      <c r="I80" s="298" t="n">
        <v>-0.5</v>
      </c>
      <c r="J80" s="297" t="n">
        <v>-0.55</v>
      </c>
      <c r="K80" s="297" t="n">
        <v>0</v>
      </c>
      <c r="L80" s="297" t="n">
        <v>0.8</v>
      </c>
      <c r="M80" s="298" t="n">
        <v>1.25</v>
      </c>
      <c r="N80" s="298" t="n">
        <v>1.75</v>
      </c>
      <c r="O80" s="297" t="n">
        <v>2.25</v>
      </c>
      <c r="P80" s="298" t="n">
        <v>2.85</v>
      </c>
      <c r="Q80" s="297" t="n">
        <v>3.25</v>
      </c>
      <c r="R80" s="298" t="n">
        <v>4.25</v>
      </c>
      <c r="S80" s="295" t="n">
        <v>5</v>
      </c>
      <c r="T80" s="299" t="n">
        <v>8.2</v>
      </c>
      <c r="U80" s="300" t="n">
        <v>29</v>
      </c>
    </row>
    <row r="81" customFormat="false" ht="13.5" hidden="false" customHeight="false" outlineLevel="0" collapsed="false">
      <c r="A81" s="301" t="n">
        <v>44531</v>
      </c>
      <c r="B81" s="302" t="n">
        <v>3</v>
      </c>
      <c r="C81" s="303" t="n">
        <v>2</v>
      </c>
      <c r="D81" s="304" t="n">
        <v>0.75</v>
      </c>
      <c r="E81" s="305" t="n">
        <v>0.5</v>
      </c>
      <c r="F81" s="306" t="n">
        <v>0.25</v>
      </c>
      <c r="G81" s="306" t="n">
        <v>0</v>
      </c>
      <c r="H81" s="305" t="n">
        <v>-0.3</v>
      </c>
      <c r="I81" s="306" t="n">
        <v>-0.5</v>
      </c>
      <c r="J81" s="305" t="n">
        <v>-0.55</v>
      </c>
      <c r="K81" s="305" t="n">
        <v>0</v>
      </c>
      <c r="L81" s="305" t="n">
        <v>0.8</v>
      </c>
      <c r="M81" s="306" t="n">
        <v>1.25</v>
      </c>
      <c r="N81" s="306" t="n">
        <v>1.75</v>
      </c>
      <c r="O81" s="305" t="n">
        <v>2.25</v>
      </c>
      <c r="P81" s="306" t="n">
        <v>2.85</v>
      </c>
      <c r="Q81" s="305" t="n">
        <v>3.25</v>
      </c>
      <c r="R81" s="306" t="n">
        <v>4.25</v>
      </c>
      <c r="S81" s="303" t="n">
        <v>5</v>
      </c>
      <c r="T81" s="307" t="n">
        <v>8.2</v>
      </c>
      <c r="U81" s="308" t="n">
        <v>29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" t="n">
        <v>1</v>
      </c>
      <c r="B83" s="10" t="n">
        <v>1</v>
      </c>
      <c r="C83" s="309"/>
      <c r="D83" s="310"/>
      <c r="E83" s="310"/>
      <c r="F83" s="310"/>
      <c r="G83" s="310"/>
      <c r="H83" s="310"/>
      <c r="I83" s="311"/>
    </row>
    <row r="84" customFormat="false" ht="12.75" hidden="false" customHeight="false" outlineLevel="0" collapsed="false">
      <c r="A84" s="10" t="s">
        <v>218</v>
      </c>
      <c r="B84" s="10" t="n">
        <v>2</v>
      </c>
      <c r="C84" s="312"/>
      <c r="D84" s="45"/>
      <c r="E84" s="45"/>
      <c r="F84" s="45"/>
      <c r="G84" s="45"/>
      <c r="H84" s="45"/>
      <c r="I84" s="313"/>
    </row>
    <row r="85" customFormat="false" ht="12.75" hidden="false" customHeight="false" outlineLevel="0" collapsed="false">
      <c r="A85" s="10" t="s">
        <v>219</v>
      </c>
      <c r="B85" s="10" t="n">
        <v>3</v>
      </c>
      <c r="C85" s="312"/>
      <c r="D85" s="45"/>
      <c r="E85" s="45"/>
      <c r="F85" s="45"/>
      <c r="G85" s="45"/>
      <c r="H85" s="45"/>
      <c r="I85" s="313"/>
    </row>
    <row r="86" customFormat="false" ht="12.75" hidden="false" customHeight="false" outlineLevel="0" collapsed="false">
      <c r="B86" s="10" t="n">
        <v>4</v>
      </c>
      <c r="C86" s="312"/>
      <c r="D86" s="45"/>
      <c r="E86" s="45"/>
      <c r="F86" s="45"/>
      <c r="G86" s="45"/>
      <c r="H86" s="45"/>
      <c r="I86" s="313"/>
    </row>
    <row r="87" customFormat="false" ht="12.75" hidden="false" customHeight="false" outlineLevel="0" collapsed="false">
      <c r="B87" s="10" t="n">
        <v>5</v>
      </c>
      <c r="C87" s="312"/>
      <c r="D87" s="45"/>
      <c r="E87" s="45"/>
      <c r="F87" s="45"/>
      <c r="G87" s="45"/>
      <c r="H87" s="45"/>
      <c r="I87" s="313"/>
    </row>
    <row r="88" customFormat="false" ht="12.75" hidden="false" customHeight="false" outlineLevel="0" collapsed="false">
      <c r="B88" s="10" t="n">
        <v>6</v>
      </c>
      <c r="C88" s="312"/>
      <c r="D88" s="45"/>
      <c r="E88" s="45"/>
      <c r="F88" s="45"/>
      <c r="G88" s="45"/>
      <c r="H88" s="45"/>
      <c r="I88" s="313"/>
    </row>
    <row r="89" customFormat="false" ht="12.75" hidden="false" customHeight="false" outlineLevel="0" collapsed="false">
      <c r="B89" s="10" t="n">
        <v>7</v>
      </c>
      <c r="C89" s="312"/>
      <c r="D89" s="45"/>
      <c r="E89" s="45"/>
      <c r="F89" s="45"/>
      <c r="G89" s="45"/>
      <c r="H89" s="45"/>
      <c r="I89" s="313"/>
    </row>
    <row r="90" customFormat="false" ht="12.75" hidden="false" customHeight="false" outlineLevel="0" collapsed="false">
      <c r="B90" s="10" t="n">
        <v>8</v>
      </c>
      <c r="C90" s="312"/>
      <c r="D90" s="45"/>
      <c r="E90" s="45"/>
      <c r="F90" s="45"/>
      <c r="G90" s="45"/>
      <c r="H90" s="45"/>
      <c r="I90" s="313"/>
    </row>
    <row r="91" customFormat="false" ht="12.75" hidden="false" customHeight="false" outlineLevel="0" collapsed="false">
      <c r="B91" s="10" t="n">
        <v>9</v>
      </c>
      <c r="C91" s="312"/>
      <c r="D91" s="45"/>
      <c r="E91" s="45"/>
      <c r="F91" s="45"/>
      <c r="G91" s="45"/>
      <c r="H91" s="45"/>
      <c r="I91" s="313"/>
    </row>
    <row r="92" customFormat="false" ht="12.75" hidden="false" customHeight="false" outlineLevel="0" collapsed="false">
      <c r="B92" s="10" t="n">
        <v>10</v>
      </c>
      <c r="C92" s="312"/>
      <c r="D92" s="45"/>
      <c r="E92" s="45"/>
      <c r="F92" s="45"/>
      <c r="G92" s="45"/>
      <c r="H92" s="45"/>
      <c r="I92" s="313"/>
    </row>
    <row r="93" customFormat="false" ht="12.75" hidden="false" customHeight="false" outlineLevel="0" collapsed="false">
      <c r="B93" s="10" t="n">
        <v>11</v>
      </c>
      <c r="C93" s="312"/>
      <c r="D93" s="45"/>
      <c r="E93" s="45"/>
      <c r="F93" s="45"/>
      <c r="G93" s="45"/>
      <c r="H93" s="45"/>
      <c r="I93" s="313"/>
    </row>
    <row r="94" customFormat="false" ht="12.75" hidden="false" customHeight="false" outlineLevel="0" collapsed="false">
      <c r="B94" s="10" t="n">
        <v>12</v>
      </c>
      <c r="C94" s="312"/>
      <c r="D94" s="45"/>
      <c r="E94" s="45"/>
      <c r="F94" s="45"/>
      <c r="G94" s="45"/>
      <c r="H94" s="45"/>
      <c r="I94" s="313"/>
    </row>
    <row r="95" customFormat="false" ht="12.75" hidden="false" customHeight="false" outlineLevel="0" collapsed="false">
      <c r="B95" s="10" t="n">
        <v>13</v>
      </c>
      <c r="C95" s="312"/>
      <c r="D95" s="45"/>
      <c r="E95" s="45"/>
      <c r="F95" s="45"/>
      <c r="G95" s="45"/>
      <c r="H95" s="45"/>
      <c r="I95" s="313"/>
    </row>
    <row r="96" customFormat="false" ht="12.75" hidden="false" customHeight="false" outlineLevel="0" collapsed="false">
      <c r="B96" s="10" t="n">
        <v>14</v>
      </c>
      <c r="C96" s="312"/>
      <c r="D96" s="45"/>
      <c r="E96" s="45"/>
      <c r="F96" s="45"/>
      <c r="G96" s="45"/>
      <c r="H96" s="45"/>
      <c r="I96" s="313"/>
    </row>
    <row r="97" customFormat="false" ht="12.75" hidden="false" customHeight="false" outlineLevel="0" collapsed="false">
      <c r="B97" s="10" t="n">
        <v>15</v>
      </c>
      <c r="C97" s="312"/>
      <c r="D97" s="45"/>
      <c r="E97" s="45"/>
      <c r="F97" s="45"/>
      <c r="G97" s="45"/>
      <c r="H97" s="45"/>
      <c r="I97" s="313"/>
    </row>
    <row r="98" customFormat="false" ht="12.75" hidden="false" customHeight="false" outlineLevel="0" collapsed="false">
      <c r="B98" s="10" t="n">
        <v>16</v>
      </c>
      <c r="C98" s="312"/>
      <c r="D98" s="45"/>
      <c r="E98" s="45"/>
      <c r="F98" s="45"/>
      <c r="G98" s="45"/>
      <c r="H98" s="45"/>
      <c r="I98" s="313"/>
    </row>
    <row r="99" customFormat="false" ht="12.75" hidden="false" customHeight="false" outlineLevel="0" collapsed="false">
      <c r="B99" s="10" t="n">
        <v>17</v>
      </c>
      <c r="C99" s="312"/>
      <c r="D99" s="45"/>
      <c r="E99" s="45"/>
      <c r="F99" s="45"/>
      <c r="G99" s="45"/>
      <c r="H99" s="45"/>
      <c r="I99" s="313"/>
    </row>
    <row r="100" customFormat="false" ht="12.75" hidden="false" customHeight="false" outlineLevel="0" collapsed="false">
      <c r="B100" s="10" t="n">
        <v>18</v>
      </c>
      <c r="C100" s="312"/>
      <c r="D100" s="45"/>
      <c r="E100" s="45"/>
      <c r="F100" s="45"/>
      <c r="G100" s="45"/>
      <c r="H100" s="45"/>
      <c r="I100" s="313"/>
    </row>
    <row r="101" customFormat="false" ht="12.75" hidden="false" customHeight="false" outlineLevel="0" collapsed="false">
      <c r="B101" s="10" t="n">
        <v>19</v>
      </c>
      <c r="C101" s="312"/>
      <c r="D101" s="45"/>
      <c r="E101" s="45"/>
      <c r="F101" s="45"/>
      <c r="G101" s="45"/>
      <c r="H101" s="45"/>
      <c r="I101" s="313"/>
    </row>
    <row r="102" customFormat="false" ht="12.75" hidden="false" customHeight="false" outlineLevel="0" collapsed="false">
      <c r="B102" s="10" t="n">
        <v>20</v>
      </c>
      <c r="C102" s="312"/>
      <c r="D102" s="45"/>
      <c r="E102" s="45"/>
      <c r="F102" s="45"/>
      <c r="G102" s="45"/>
      <c r="H102" s="45"/>
      <c r="I102" s="313"/>
    </row>
    <row r="103" customFormat="false" ht="12.75" hidden="false" customHeight="false" outlineLevel="0" collapsed="false">
      <c r="B103" s="10" t="n">
        <v>21</v>
      </c>
      <c r="C103" s="312"/>
      <c r="D103" s="45"/>
      <c r="E103" s="45"/>
      <c r="F103" s="45"/>
      <c r="G103" s="45"/>
      <c r="H103" s="45"/>
      <c r="I103" s="313"/>
    </row>
    <row r="104" customFormat="false" ht="12.75" hidden="false" customHeight="false" outlineLevel="0" collapsed="false">
      <c r="B104" s="10" t="n">
        <v>22</v>
      </c>
      <c r="C104" s="312"/>
      <c r="D104" s="45"/>
      <c r="E104" s="45"/>
      <c r="F104" s="45"/>
      <c r="G104" s="45"/>
      <c r="H104" s="45"/>
      <c r="I104" s="313"/>
    </row>
    <row r="105" customFormat="false" ht="12.75" hidden="false" customHeight="false" outlineLevel="0" collapsed="false">
      <c r="B105" s="10" t="n">
        <v>23</v>
      </c>
      <c r="C105" s="312"/>
      <c r="D105" s="45"/>
      <c r="E105" s="45"/>
      <c r="F105" s="45"/>
      <c r="G105" s="45"/>
      <c r="H105" s="45"/>
      <c r="I105" s="313"/>
    </row>
    <row r="106" customFormat="false" ht="12.75" hidden="false" customHeight="false" outlineLevel="0" collapsed="false">
      <c r="B106" s="10" t="n">
        <v>24</v>
      </c>
      <c r="C106" s="312"/>
      <c r="D106" s="45"/>
      <c r="E106" s="45"/>
      <c r="F106" s="45"/>
      <c r="G106" s="45"/>
      <c r="H106" s="45"/>
      <c r="I106" s="313"/>
    </row>
    <row r="107" customFormat="false" ht="12.75" hidden="false" customHeight="false" outlineLevel="0" collapsed="false">
      <c r="B107" s="10" t="n">
        <v>25</v>
      </c>
      <c r="C107" s="312"/>
      <c r="D107" s="45"/>
      <c r="E107" s="45"/>
      <c r="F107" s="45"/>
      <c r="G107" s="45"/>
      <c r="H107" s="45"/>
      <c r="I107" s="313"/>
    </row>
    <row r="108" customFormat="false" ht="12.75" hidden="false" customHeight="false" outlineLevel="0" collapsed="false">
      <c r="B108" s="10" t="n">
        <v>26</v>
      </c>
      <c r="C108" s="312"/>
      <c r="D108" s="45"/>
      <c r="E108" s="45"/>
      <c r="F108" s="45"/>
      <c r="G108" s="45"/>
      <c r="H108" s="45"/>
      <c r="I108" s="313"/>
    </row>
    <row r="109" customFormat="false" ht="12.75" hidden="false" customHeight="false" outlineLevel="0" collapsed="false">
      <c r="B109" s="10" t="n">
        <v>27</v>
      </c>
      <c r="C109" s="312"/>
      <c r="D109" s="45"/>
      <c r="E109" s="45"/>
      <c r="F109" s="45"/>
      <c r="G109" s="45"/>
      <c r="H109" s="45"/>
      <c r="I109" s="313"/>
    </row>
    <row r="110" customFormat="false" ht="12.75" hidden="false" customHeight="false" outlineLevel="0" collapsed="false">
      <c r="B110" s="10" t="n">
        <v>28</v>
      </c>
      <c r="C110" s="312"/>
      <c r="D110" s="45"/>
      <c r="E110" s="45"/>
      <c r="F110" s="45"/>
      <c r="G110" s="45"/>
      <c r="H110" s="45"/>
      <c r="I110" s="313"/>
    </row>
    <row r="111" customFormat="false" ht="12.75" hidden="false" customHeight="false" outlineLevel="0" collapsed="false">
      <c r="B111" s="10" t="n">
        <v>29</v>
      </c>
      <c r="C111" s="312"/>
      <c r="D111" s="45"/>
      <c r="E111" s="45"/>
      <c r="F111" s="45"/>
      <c r="G111" s="45"/>
      <c r="H111" s="45"/>
      <c r="I111" s="313"/>
    </row>
    <row r="112" customFormat="false" ht="12.75" hidden="false" customHeight="false" outlineLevel="0" collapsed="false">
      <c r="B112" s="10" t="n">
        <v>30</v>
      </c>
      <c r="C112" s="312"/>
      <c r="D112" s="45"/>
      <c r="E112" s="45"/>
      <c r="F112" s="45"/>
      <c r="G112" s="45"/>
      <c r="H112" s="45"/>
      <c r="I112" s="313"/>
    </row>
    <row r="113" customFormat="false" ht="12.75" hidden="false" customHeight="false" outlineLevel="0" collapsed="false">
      <c r="B113" s="10" t="n">
        <v>31</v>
      </c>
      <c r="C113" s="312"/>
      <c r="D113" s="45"/>
      <c r="E113" s="45"/>
      <c r="F113" s="45"/>
      <c r="G113" s="45"/>
      <c r="H113" s="45"/>
      <c r="I113" s="313"/>
    </row>
    <row r="114" customFormat="false" ht="12.75" hidden="false" customHeight="false" outlineLevel="0" collapsed="false">
      <c r="B114" s="10" t="n">
        <v>32</v>
      </c>
      <c r="C114" s="312"/>
      <c r="D114" s="45"/>
      <c r="E114" s="45"/>
      <c r="F114" s="45"/>
      <c r="G114" s="45"/>
      <c r="H114" s="45"/>
      <c r="I114" s="313"/>
    </row>
    <row r="115" customFormat="false" ht="12.75" hidden="false" customHeight="false" outlineLevel="0" collapsed="false">
      <c r="B115" s="10" t="n">
        <v>33</v>
      </c>
      <c r="C115" s="312"/>
      <c r="D115" s="45"/>
      <c r="E115" s="45"/>
      <c r="F115" s="45"/>
      <c r="G115" s="45"/>
      <c r="H115" s="45"/>
      <c r="I115" s="313"/>
    </row>
    <row r="116" customFormat="false" ht="12.75" hidden="false" customHeight="false" outlineLevel="0" collapsed="false">
      <c r="B116" s="10" t="n">
        <v>34</v>
      </c>
      <c r="C116" s="312"/>
      <c r="D116" s="45"/>
      <c r="E116" s="45"/>
      <c r="F116" s="45"/>
      <c r="G116" s="45"/>
      <c r="H116" s="45"/>
      <c r="I116" s="313"/>
    </row>
    <row r="117" customFormat="false" ht="12.75" hidden="false" customHeight="false" outlineLevel="0" collapsed="false">
      <c r="B117" s="10" t="n">
        <v>35</v>
      </c>
      <c r="C117" s="312"/>
      <c r="D117" s="45"/>
      <c r="E117" s="45"/>
      <c r="F117" s="45"/>
      <c r="G117" s="45"/>
      <c r="H117" s="45"/>
      <c r="I117" s="313"/>
    </row>
    <row r="118" customFormat="false" ht="12.75" hidden="false" customHeight="false" outlineLevel="0" collapsed="false">
      <c r="B118" s="10" t="n">
        <v>36</v>
      </c>
      <c r="C118" s="312"/>
      <c r="D118" s="45"/>
      <c r="E118" s="45"/>
      <c r="F118" s="45"/>
      <c r="G118" s="45"/>
      <c r="H118" s="45"/>
      <c r="I118" s="313"/>
    </row>
    <row r="119" customFormat="false" ht="12.75" hidden="false" customHeight="false" outlineLevel="0" collapsed="false">
      <c r="B119" s="10" t="n">
        <v>37</v>
      </c>
      <c r="C119" s="312"/>
      <c r="D119" s="45"/>
      <c r="E119" s="45"/>
      <c r="F119" s="45"/>
      <c r="G119" s="45"/>
      <c r="H119" s="45"/>
      <c r="I119" s="313"/>
    </row>
    <row r="120" customFormat="false" ht="13.5" hidden="false" customHeight="false" outlineLevel="0" collapsed="false">
      <c r="B120" s="10" t="n">
        <v>38</v>
      </c>
      <c r="C120" s="314"/>
      <c r="D120" s="315"/>
      <c r="E120" s="315"/>
      <c r="F120" s="315"/>
      <c r="G120" s="315"/>
      <c r="H120" s="315"/>
      <c r="I120" s="316"/>
    </row>
    <row r="121" customFormat="false" ht="12.75" hidden="false" customHeight="false" outlineLevel="0" collapsed="false">
      <c r="D121" s="45"/>
      <c r="E121" s="45"/>
      <c r="F121" s="45"/>
      <c r="G121" s="45"/>
      <c r="H121" s="45"/>
      <c r="I121" s="45"/>
    </row>
    <row r="122" customFormat="false" ht="12.75" hidden="false" customHeight="false" outlineLevel="0" collapsed="false">
      <c r="B122" s="317"/>
      <c r="D122" s="45"/>
      <c r="E122" s="45"/>
      <c r="F122" s="45"/>
      <c r="G122" s="45"/>
      <c r="H122" s="45"/>
      <c r="I122" s="45"/>
    </row>
    <row r="123" customFormat="false" ht="12.75" hidden="false" customHeight="false" outlineLevel="0" collapsed="false">
      <c r="A123" s="10" t="n">
        <v>1</v>
      </c>
    </row>
    <row r="124" customFormat="false" ht="12.75" hidden="false" customHeight="false" outlineLevel="0" collapsed="false">
      <c r="D124" s="45"/>
      <c r="E124" s="45"/>
      <c r="F124" s="45"/>
      <c r="G124" s="45"/>
      <c r="H124" s="45"/>
      <c r="I124" s="45"/>
    </row>
  </sheetData>
  <mergeCells count="1">
    <mergeCell ref="AD11:A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K57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22" width="18.7"/>
  </cols>
  <sheetData>
    <row r="4" customFormat="false" ht="12.75" hidden="false" customHeight="false" outlineLevel="0" collapsed="false">
      <c r="A4" s="122" t="s">
        <v>220</v>
      </c>
      <c r="K4" s="122" t="s">
        <v>221</v>
      </c>
    </row>
    <row r="5" customFormat="false" ht="12.75" hidden="false" customHeight="false" outlineLevel="0" collapsed="false">
      <c r="A5" s="122" t="s">
        <v>222</v>
      </c>
      <c r="K5" s="122" t="s">
        <v>183</v>
      </c>
    </row>
    <row r="6" customFormat="false" ht="12.75" hidden="false" customHeight="false" outlineLevel="0" collapsed="false">
      <c r="A6" s="122" t="s">
        <v>223</v>
      </c>
      <c r="K6" s="122" t="s">
        <v>190</v>
      </c>
    </row>
    <row r="7" customFormat="false" ht="12.75" hidden="false" customHeight="false" outlineLevel="0" collapsed="false">
      <c r="A7" s="122" t="s">
        <v>190</v>
      </c>
      <c r="K7" s="122" t="s">
        <v>224</v>
      </c>
    </row>
    <row r="8" customFormat="false" ht="12.75" hidden="false" customHeight="false" outlineLevel="0" collapsed="false">
      <c r="A8" s="122" t="s">
        <v>225</v>
      </c>
      <c r="G8" s="122" t="s">
        <v>226</v>
      </c>
      <c r="K8" s="122" t="s">
        <v>227</v>
      </c>
    </row>
    <row r="9" customFormat="false" ht="12.75" hidden="false" customHeight="false" outlineLevel="0" collapsed="false">
      <c r="A9" s="122" t="s">
        <v>228</v>
      </c>
      <c r="G9" s="122" t="s">
        <v>229</v>
      </c>
      <c r="K9" s="122" t="s">
        <v>230</v>
      </c>
    </row>
    <row r="10" customFormat="false" ht="12.75" hidden="false" customHeight="false" outlineLevel="0" collapsed="false">
      <c r="A10" s="122" t="s">
        <v>231</v>
      </c>
      <c r="G10" s="122" t="s">
        <v>232</v>
      </c>
      <c r="K10" s="122" t="s">
        <v>233</v>
      </c>
    </row>
    <row r="11" customFormat="false" ht="12.75" hidden="false" customHeight="false" outlineLevel="0" collapsed="false">
      <c r="A11" s="122" t="s">
        <v>230</v>
      </c>
      <c r="K11" s="122" t="s">
        <v>234</v>
      </c>
    </row>
    <row r="12" customFormat="false" ht="12.75" hidden="false" customHeight="false" outlineLevel="0" collapsed="false">
      <c r="A12" s="122" t="s">
        <v>233</v>
      </c>
      <c r="K12" s="122" t="s">
        <v>235</v>
      </c>
    </row>
    <row r="13" customFormat="false" ht="12.75" hidden="false" customHeight="false" outlineLevel="0" collapsed="false">
      <c r="A13" s="122" t="s">
        <v>236</v>
      </c>
      <c r="K13" s="122" t="s">
        <v>237</v>
      </c>
    </row>
    <row r="14" customFormat="false" ht="12.75" hidden="false" customHeight="false" outlineLevel="0" collapsed="false">
      <c r="A14" s="122" t="s">
        <v>238</v>
      </c>
      <c r="K14" s="122" t="s">
        <v>87</v>
      </c>
    </row>
    <row r="15" customFormat="false" ht="12.75" hidden="false" customHeight="false" outlineLevel="0" collapsed="false">
      <c r="A15" s="122" t="s">
        <v>239</v>
      </c>
      <c r="K15" s="122" t="s">
        <v>240</v>
      </c>
    </row>
    <row r="16" customFormat="false" ht="12.75" hidden="false" customHeight="false" outlineLevel="0" collapsed="false">
      <c r="A16" s="122" t="s">
        <v>221</v>
      </c>
    </row>
    <row r="17" customFormat="false" ht="12.75" hidden="false" customHeight="false" outlineLevel="0" collapsed="false">
      <c r="A17" s="122" t="s">
        <v>183</v>
      </c>
    </row>
    <row r="18" customFormat="false" ht="12.75" hidden="false" customHeight="false" outlineLevel="0" collapsed="false">
      <c r="A18" s="122" t="s">
        <v>241</v>
      </c>
    </row>
    <row r="19" customFormat="false" ht="12.75" hidden="false" customHeight="false" outlineLevel="0" collapsed="false">
      <c r="A19" s="122" t="s">
        <v>242</v>
      </c>
      <c r="F19" s="122" t="s">
        <v>243</v>
      </c>
    </row>
    <row r="20" customFormat="false" ht="12.75" hidden="false" customHeight="false" outlineLevel="0" collapsed="false">
      <c r="A20" s="122" t="s">
        <v>244</v>
      </c>
      <c r="F20" s="122" t="s">
        <v>245</v>
      </c>
      <c r="H20" s="122" t="s">
        <v>229</v>
      </c>
    </row>
    <row r="21" customFormat="false" ht="12.75" hidden="false" customHeight="false" outlineLevel="0" collapsed="false">
      <c r="A21" s="122" t="s">
        <v>246</v>
      </c>
      <c r="H21" s="122" t="s">
        <v>247</v>
      </c>
    </row>
    <row r="22" customFormat="false" ht="12.75" hidden="false" customHeight="false" outlineLevel="0" collapsed="false">
      <c r="A22" s="122" t="s">
        <v>248</v>
      </c>
    </row>
    <row r="23" customFormat="false" ht="12.75" hidden="false" customHeight="false" outlineLevel="0" collapsed="false">
      <c r="A23" s="122" t="s">
        <v>249</v>
      </c>
    </row>
    <row r="24" customFormat="false" ht="12.75" hidden="false" customHeight="false" outlineLevel="0" collapsed="false">
      <c r="A24" s="122" t="s">
        <v>250</v>
      </c>
    </row>
    <row r="25" customFormat="false" ht="12.75" hidden="false" customHeight="false" outlineLevel="0" collapsed="false">
      <c r="A25" s="122" t="s">
        <v>245</v>
      </c>
    </row>
    <row r="26" customFormat="false" ht="12.75" hidden="false" customHeight="false" outlineLevel="0" collapsed="false">
      <c r="A26" s="122" t="s">
        <v>251</v>
      </c>
    </row>
    <row r="27" customFormat="false" ht="12.75" hidden="false" customHeight="false" outlineLevel="0" collapsed="false">
      <c r="A27" s="122" t="s">
        <v>227</v>
      </c>
    </row>
    <row r="28" customFormat="false" ht="12.75" hidden="false" customHeight="false" outlineLevel="0" collapsed="false">
      <c r="A28" s="122" t="s">
        <v>252</v>
      </c>
    </row>
    <row r="29" customFormat="false" ht="12.75" hidden="false" customHeight="false" outlineLevel="0" collapsed="false">
      <c r="A29" s="122" t="s">
        <v>224</v>
      </c>
      <c r="F29" s="122" t="s">
        <v>183</v>
      </c>
    </row>
    <row r="30" customFormat="false" ht="12.75" hidden="false" customHeight="false" outlineLevel="0" collapsed="false">
      <c r="A30" s="122" t="s">
        <v>253</v>
      </c>
      <c r="F30" s="122" t="s">
        <v>190</v>
      </c>
    </row>
    <row r="31" customFormat="false" ht="12.75" hidden="false" customHeight="false" outlineLevel="0" collapsed="false">
      <c r="A31" s="122" t="s">
        <v>226</v>
      </c>
      <c r="F31" s="122" t="s">
        <v>233</v>
      </c>
    </row>
    <row r="32" customFormat="false" ht="12.75" hidden="false" customHeight="false" outlineLevel="0" collapsed="false">
      <c r="A32" s="122" t="s">
        <v>247</v>
      </c>
      <c r="F32" s="122" t="s">
        <v>224</v>
      </c>
    </row>
    <row r="33" customFormat="false" ht="12.75" hidden="false" customHeight="false" outlineLevel="0" collapsed="false">
      <c r="A33" s="122" t="s">
        <v>254</v>
      </c>
      <c r="F33" s="122" t="s">
        <v>235</v>
      </c>
    </row>
    <row r="34" customFormat="false" ht="12.75" hidden="false" customHeight="false" outlineLevel="0" collapsed="false">
      <c r="A34" s="122" t="s">
        <v>255</v>
      </c>
      <c r="F34" s="122" t="s">
        <v>256</v>
      </c>
    </row>
    <row r="35" customFormat="false" ht="12.75" hidden="false" customHeight="false" outlineLevel="0" collapsed="false">
      <c r="A35" s="122" t="s">
        <v>229</v>
      </c>
      <c r="F35" s="122" t="s">
        <v>234</v>
      </c>
    </row>
    <row r="36" customFormat="false" ht="12.75" hidden="false" customHeight="false" outlineLevel="0" collapsed="false">
      <c r="A36" s="122" t="s">
        <v>257</v>
      </c>
    </row>
    <row r="37" customFormat="false" ht="12.75" hidden="false" customHeight="false" outlineLevel="0" collapsed="false">
      <c r="A37" s="122" t="s">
        <v>258</v>
      </c>
    </row>
    <row r="38" customFormat="false" ht="12.75" hidden="false" customHeight="false" outlineLevel="0" collapsed="false">
      <c r="A38" s="122" t="s">
        <v>243</v>
      </c>
    </row>
    <row r="39" customFormat="false" ht="12.75" hidden="false" customHeight="false" outlineLevel="0" collapsed="false">
      <c r="A39" s="122" t="s">
        <v>259</v>
      </c>
    </row>
    <row r="40" customFormat="false" ht="12.75" hidden="false" customHeight="false" outlineLevel="0" collapsed="false">
      <c r="A40" s="122" t="s">
        <v>260</v>
      </c>
    </row>
    <row r="41" customFormat="false" ht="12.75" hidden="false" customHeight="false" outlineLevel="0" collapsed="false">
      <c r="A41" s="122" t="s">
        <v>261</v>
      </c>
    </row>
    <row r="42" customFormat="false" ht="12.75" hidden="false" customHeight="false" outlineLevel="0" collapsed="false">
      <c r="A42" s="122" t="s">
        <v>262</v>
      </c>
    </row>
    <row r="43" customFormat="false" ht="12.75" hidden="false" customHeight="false" outlineLevel="0" collapsed="false">
      <c r="A43" s="122" t="s">
        <v>234</v>
      </c>
      <c r="F43" s="122" t="s">
        <v>245</v>
      </c>
    </row>
    <row r="44" customFormat="false" ht="12.75" hidden="false" customHeight="false" outlineLevel="0" collapsed="false">
      <c r="A44" s="122" t="s">
        <v>263</v>
      </c>
      <c r="F44" s="122" t="s">
        <v>243</v>
      </c>
    </row>
    <row r="45" customFormat="false" ht="12.75" hidden="false" customHeight="false" outlineLevel="0" collapsed="false">
      <c r="A45" s="122" t="s">
        <v>232</v>
      </c>
    </row>
    <row r="46" customFormat="false" ht="12.75" hidden="false" customHeight="false" outlineLevel="0" collapsed="false">
      <c r="A46" s="122" t="s">
        <v>264</v>
      </c>
    </row>
    <row r="47" customFormat="false" ht="12.75" hidden="false" customHeight="false" outlineLevel="0" collapsed="false">
      <c r="A47" s="122" t="s">
        <v>265</v>
      </c>
    </row>
    <row r="48" customFormat="false" ht="12.75" hidden="false" customHeight="false" outlineLevel="0" collapsed="false">
      <c r="A48" s="122" t="s">
        <v>266</v>
      </c>
    </row>
    <row r="49" customFormat="false" ht="12.75" hidden="false" customHeight="false" outlineLevel="0" collapsed="false">
      <c r="A49" s="122" t="s">
        <v>267</v>
      </c>
    </row>
    <row r="50" customFormat="false" ht="12.75" hidden="false" customHeight="false" outlineLevel="0" collapsed="false">
      <c r="A50" s="122" t="s">
        <v>256</v>
      </c>
    </row>
    <row r="51" customFormat="false" ht="12.75" hidden="false" customHeight="false" outlineLevel="0" collapsed="false">
      <c r="A51" s="122" t="s">
        <v>268</v>
      </c>
    </row>
    <row r="52" customFormat="false" ht="12.75" hidden="false" customHeight="false" outlineLevel="0" collapsed="false">
      <c r="A52" s="122" t="s">
        <v>235</v>
      </c>
    </row>
    <row r="53" customFormat="false" ht="12.75" hidden="false" customHeight="false" outlineLevel="0" collapsed="false">
      <c r="A53" s="122" t="s">
        <v>237</v>
      </c>
    </row>
    <row r="54" customFormat="false" ht="12.75" hidden="false" customHeight="false" outlineLevel="0" collapsed="false">
      <c r="A54" s="122" t="s">
        <v>87</v>
      </c>
    </row>
    <row r="55" customFormat="false" ht="12.75" hidden="false" customHeight="false" outlineLevel="0" collapsed="false">
      <c r="A55" s="122" t="s">
        <v>240</v>
      </c>
    </row>
    <row r="56" customFormat="false" ht="12.75" hidden="false" customHeight="false" outlineLevel="0" collapsed="false">
      <c r="A56" s="122" t="s">
        <v>269</v>
      </c>
    </row>
    <row r="57" customFormat="false" ht="12.75" hidden="false" customHeight="false" outlineLevel="0" collapsed="false">
      <c r="A57" s="122" t="s">
        <v>251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18" width="9.14"/>
    <col collapsed="false" customWidth="true" hidden="false" outlineLevel="0" max="3" min="3" style="319" width="11.56"/>
    <col collapsed="false" customWidth="true" hidden="false" outlineLevel="0" max="5" min="4" style="320" width="9.14"/>
    <col collapsed="false" customWidth="true" hidden="false" outlineLevel="0" max="6" min="6" style="320" width="11.42"/>
    <col collapsed="false" customWidth="true" hidden="false" outlineLevel="0" max="7" min="7" style="320" width="10.56"/>
    <col collapsed="false" customWidth="true" hidden="false" outlineLevel="0" max="9" min="8" style="320" width="9.14"/>
    <col collapsed="false" customWidth="true" hidden="false" outlineLevel="0" max="10" min="10" style="320" width="13.14"/>
    <col collapsed="false" customWidth="true" hidden="false" outlineLevel="0" max="11" min="11" style="320" width="12.99"/>
    <col collapsed="false" customWidth="true" hidden="false" outlineLevel="0" max="12" min="12" style="320" width="10.28"/>
    <col collapsed="false" customWidth="true" hidden="false" outlineLevel="0" max="13" min="13" style="320" width="9.7"/>
    <col collapsed="false" customWidth="true" hidden="false" outlineLevel="0" max="14" min="14" style="320" width="11.85"/>
    <col collapsed="false" customWidth="true" hidden="false" outlineLevel="0" max="15" min="15" style="320" width="10.13"/>
    <col collapsed="false" customWidth="true" hidden="false" outlineLevel="0" max="16" min="16" style="318" width="11.28"/>
    <col collapsed="false" customWidth="true" hidden="false" outlineLevel="0" max="17" min="17" style="318" width="11.13"/>
    <col collapsed="false" customWidth="true" hidden="false" outlineLevel="0" max="18" min="18" style="318" width="8.99"/>
    <col collapsed="false" customWidth="true" hidden="false" outlineLevel="0" max="19" min="19" style="318" width="11.28"/>
    <col collapsed="false" customWidth="true" hidden="false" outlineLevel="0" max="20" min="20" style="318" width="9.41"/>
    <col collapsed="false" customWidth="true" hidden="false" outlineLevel="0" max="21" min="21" style="318" width="14.28"/>
    <col collapsed="false" customWidth="true" hidden="false" outlineLevel="0" max="22" min="22" style="318" width="10.85"/>
    <col collapsed="false" customWidth="true" hidden="false" outlineLevel="0" max="23" min="23" style="318" width="9.14"/>
    <col collapsed="false" customWidth="true" hidden="false" outlineLevel="0" max="24" min="24" style="318" width="13.14"/>
    <col collapsed="false" customWidth="true" hidden="false" outlineLevel="0" max="101" min="25" style="318" width="9.14"/>
  </cols>
  <sheetData>
    <row r="1" customFormat="false" ht="12.75" hidden="false" customHeight="false" outlineLevel="0" collapsed="false">
      <c r="D1" s="320" t="str">
        <f aca="false">D3</f>
        <v>NG</v>
      </c>
      <c r="E1" s="320" t="str">
        <f aca="false">E3</f>
        <v>NG</v>
      </c>
      <c r="F1" s="320" t="str">
        <f aca="false">F3</f>
        <v>INTNS</v>
      </c>
      <c r="G1" s="320" t="str">
        <f aca="false">G3</f>
        <v>IF-ANR/OK</v>
      </c>
      <c r="H1" s="320" t="str">
        <f aca="false">H3</f>
        <v>IF-NGPL/MIDCON</v>
      </c>
      <c r="I1" s="320" t="str">
        <f aca="false">I3</f>
        <v>IF-NNG/DEMARCAT</v>
      </c>
      <c r="J1" s="320" t="str">
        <f aca="false">J3</f>
        <v>IF-NNG/TOK</v>
      </c>
      <c r="K1" s="320" t="str">
        <f aca="false">K3</f>
        <v>IF-NNG/VENT</v>
      </c>
      <c r="L1" s="320" t="str">
        <f aca="false">L3</f>
        <v>IF-NGPL/LA</v>
      </c>
      <c r="M1" s="320" t="str">
        <f aca="false">M3</f>
        <v>IF-NORAM/EAST</v>
      </c>
      <c r="N1" s="320" t="str">
        <f aca="false">N3</f>
        <v>IF-ONG/OKLAHOMA</v>
      </c>
      <c r="O1" s="320" t="str">
        <f aca="false">O3</f>
        <v>IF-PAN/TX/OK</v>
      </c>
      <c r="P1" s="320" t="str">
        <f aca="false">P3</f>
        <v>IF-WNG/TOK</v>
      </c>
      <c r="Q1" s="320" t="str">
        <f aca="false">Q3</f>
        <v>IF-TRUNKL/FLDZN</v>
      </c>
      <c r="R1" s="320" t="str">
        <f aca="false">R3</f>
        <v>IF-TRUNKL/LA</v>
      </c>
      <c r="S1" s="320" t="str">
        <f aca="false">S3</f>
        <v>MICH_CG-GD</v>
      </c>
      <c r="T1" s="320" t="str">
        <f aca="false">T3</f>
        <v>ML7/CG</v>
      </c>
      <c r="U1" s="320" t="str">
        <f aca="false">U3</f>
        <v>NGI/CHI. GATE</v>
      </c>
      <c r="V1" s="320" t="str">
        <f aca="false">V3</f>
        <v>NGI-PGE/CG</v>
      </c>
      <c r="W1" s="320" t="str">
        <f aca="false">W3</f>
        <v>IF-CGT/APPALAC</v>
      </c>
      <c r="X1" s="320" t="str">
        <f aca="false">X3</f>
        <v>IF-CNG/APPALACH</v>
      </c>
      <c r="Y1" s="320" t="str">
        <f aca="false">Y3</f>
        <v>IF-COLGULF/LA</v>
      </c>
      <c r="Z1" s="320" t="str">
        <f aca="false">Z3</f>
        <v>IF-FGT/Z1</v>
      </c>
      <c r="AA1" s="320" t="str">
        <f aca="false">AA3</f>
        <v>IF-FGT/Z2</v>
      </c>
      <c r="AB1" s="320" t="str">
        <f aca="false">AB3</f>
        <v>IF-FGT/Z3</v>
      </c>
      <c r="AC1" s="320" t="str">
        <f aca="false">AC3</f>
        <v>IF-HEHUB</v>
      </c>
      <c r="AD1" s="320" t="str">
        <f aca="false">AD3</f>
        <v>IF-SONAT/LA</v>
      </c>
      <c r="AE1" s="320" t="str">
        <f aca="false">AE3</f>
        <v>IF-TENN/LA</v>
      </c>
      <c r="AF1" s="320" t="str">
        <f aca="false">AF3</f>
        <v>IF-TETCO/ELA</v>
      </c>
      <c r="AG1" s="320" t="str">
        <f aca="false">AG3</f>
        <v>IF-TETCO/WLA</v>
      </c>
      <c r="AH1" s="320" t="str">
        <f aca="false">AH3</f>
        <v>IF-TGT/Z1</v>
      </c>
      <c r="AI1" s="320" t="str">
        <f aca="false">AI3</f>
        <v>IF-TRANSCO/Z1</v>
      </c>
      <c r="AJ1" s="320" t="str">
        <f aca="false">AJ3</f>
        <v>IF-TRUNKL/TX</v>
      </c>
      <c r="AK1" s="320" t="str">
        <f aca="false">AK3</f>
        <v>IF-TRANSCO/Z2</v>
      </c>
      <c r="AL1" s="320" t="str">
        <f aca="false">AL3</f>
        <v>IF-TRANSCO/Z3</v>
      </c>
      <c r="AM1" s="320" t="str">
        <f aca="false">AM3</f>
        <v>IF-TRANSCO/Z6</v>
      </c>
      <c r="AN1" s="320" t="str">
        <f aca="false">AN3</f>
        <v>IF-HPL/SHPCHAN</v>
      </c>
      <c r="AO1" s="320" t="str">
        <f aca="false">AO3</f>
        <v>IF-CIG/RKYMTN</v>
      </c>
      <c r="AP1" s="320" t="str">
        <f aca="false">AP3</f>
        <v>IF-ELPO/PERMIAN</v>
      </c>
      <c r="AQ1" s="320" t="str">
        <f aca="false">AQ3</f>
        <v>IF-ELPO/SJ</v>
      </c>
      <c r="AR1" s="320" t="str">
        <f aca="false">AR3</f>
        <v>IF-NTHWST/CANBR</v>
      </c>
      <c r="AS1" s="320" t="str">
        <f aca="false">AS3</f>
        <v>IF-NWPL_ROCKY_M</v>
      </c>
      <c r="AT1" s="320" t="str">
        <f aca="false">AT3</f>
        <v>IF-QUESTAR</v>
      </c>
      <c r="AU1" s="320" t="str">
        <f aca="false">AU3</f>
        <v>NGI-SOCAL</v>
      </c>
      <c r="AV1" s="320" t="str">
        <f aca="false">AV3</f>
        <v>DJ/BASIN/CIG</v>
      </c>
      <c r="AW1" s="320" t="str">
        <f aca="false">AW3</f>
        <v>IF-VALERO/TX</v>
      </c>
      <c r="AX1" s="320" t="str">
        <f aca="false">AX3</f>
        <v>IF-WAHA-TX</v>
      </c>
      <c r="AY1" s="320" t="str">
        <f aca="false">AY3</f>
        <v>IF-TETCO/STX</v>
      </c>
      <c r="AZ1" s="320" t="str">
        <f aca="false">AZ3</f>
        <v>IF-ANR/LA</v>
      </c>
      <c r="BA1" s="320" t="str">
        <f aca="false">BA3</f>
        <v>IF-TENN/TX</v>
      </c>
      <c r="BB1" s="320" t="str">
        <f aca="false">BB3</f>
        <v>IF-TGT/ZSL</v>
      </c>
      <c r="BC1" s="320" t="str">
        <f aca="false">BC3</f>
        <v>IF-NGPLTXOK</v>
      </c>
      <c r="BD1" s="320" t="str">
        <f aca="false">BD3</f>
        <v>IF-KATY</v>
      </c>
      <c r="BE1" s="320" t="str">
        <f aca="false">BE3</f>
        <v>IF-TENN/LA_OFF</v>
      </c>
      <c r="BF1" s="320" t="str">
        <f aca="false">BF3</f>
        <v>NGI-MALIN</v>
      </c>
      <c r="BG1" s="320" t="str">
        <f aca="false">BG3</f>
        <v>GDM-DAWN</v>
      </c>
      <c r="BH1" s="320" t="str">
        <f aca="false">BH3</f>
        <v>ANR/ML7-GDM</v>
      </c>
      <c r="BI1" s="320" t="str">
        <f aca="false">BI3</f>
        <v>MICH/CONS</v>
      </c>
      <c r="BJ1" s="320" t="str">
        <f aca="false">BJ3</f>
        <v>IF-TETCO/M3</v>
      </c>
      <c r="BK1" s="318" t="str">
        <f aca="false">CONCATENATE(BK3,BK5)</f>
        <v>IF-HEHUBI</v>
      </c>
      <c r="BL1" s="318" t="str">
        <f aca="false">CONCATENATE(BL3,BL5)</f>
        <v>IF-HPL/SHPCHANI</v>
      </c>
      <c r="BM1" s="318" t="str">
        <f aca="false">CONCATENATE(BM3,BM5)</f>
        <v>IF-CGT/APPALACI</v>
      </c>
      <c r="BN1" s="318" t="str">
        <f aca="false">CONCATENATE(BN3,BN5)</f>
        <v>IF-PAN/TX/OKI</v>
      </c>
      <c r="BO1" s="318" t="str">
        <f aca="false">CONCATENATE(BO3,BO5)</f>
        <v>IF-NWPL_ROCKY_MI</v>
      </c>
      <c r="BP1" s="318" t="str">
        <f aca="false">CONCATENATE(BP3,BP5)</f>
        <v>IF-ELPO/PERMIANI</v>
      </c>
      <c r="BQ1" s="318" t="str">
        <f aca="false">CONCATENATE(BQ3,BQ5)</f>
        <v>IF-ELPO/SJI</v>
      </c>
      <c r="BR1" s="318" t="str">
        <f aca="false">CONCATENATE(BR3,BR5)</f>
        <v>IF-TRANSCO/Z6I</v>
      </c>
      <c r="BS1" s="318" t="str">
        <f aca="false">CONCATENATE(BS3,BS5)</f>
        <v>NGI/CHI. GATEI</v>
      </c>
      <c r="BT1" s="318" t="str">
        <f aca="false">CONCATENATE(BT3,BT5)</f>
        <v>NGI-PGE/CGI</v>
      </c>
      <c r="BU1" s="318" t="str">
        <f aca="false">CONCATENATE(BU3,BU5)</f>
        <v>NGI-SOCALI</v>
      </c>
      <c r="BV1" s="318" t="str">
        <f aca="false">CONCATENATE(BV3,BV5)</f>
        <v>NGI-MALINI</v>
      </c>
    </row>
    <row r="2" customFormat="false" ht="12.75" hidden="false" customHeight="false" outlineLevel="0" collapsed="false">
      <c r="D2" s="320" t="n">
        <v>2</v>
      </c>
      <c r="E2" s="320" t="n">
        <f aca="false">D2+1</f>
        <v>3</v>
      </c>
      <c r="F2" s="320" t="n">
        <f aca="false">E2+1</f>
        <v>4</v>
      </c>
      <c r="G2" s="320" t="n">
        <f aca="false">F2+1</f>
        <v>5</v>
      </c>
      <c r="H2" s="320" t="n">
        <f aca="false">G2+1</f>
        <v>6</v>
      </c>
      <c r="I2" s="320" t="n">
        <f aca="false">H2+1</f>
        <v>7</v>
      </c>
      <c r="J2" s="320" t="n">
        <f aca="false">I2+1</f>
        <v>8</v>
      </c>
      <c r="K2" s="320" t="n">
        <f aca="false">J2+1</f>
        <v>9</v>
      </c>
      <c r="L2" s="320" t="n">
        <f aca="false">K2+1</f>
        <v>10</v>
      </c>
      <c r="M2" s="320" t="n">
        <f aca="false">L2+1</f>
        <v>11</v>
      </c>
      <c r="N2" s="320" t="n">
        <f aca="false">M2+1</f>
        <v>12</v>
      </c>
      <c r="O2" s="320" t="n">
        <f aca="false">N2+1</f>
        <v>13</v>
      </c>
      <c r="P2" s="320" t="n">
        <f aca="false">O2+1</f>
        <v>14</v>
      </c>
      <c r="Q2" s="320" t="n">
        <f aca="false">P2+1</f>
        <v>15</v>
      </c>
      <c r="R2" s="320" t="n">
        <f aca="false">Q2+1</f>
        <v>16</v>
      </c>
      <c r="S2" s="320" t="n">
        <f aca="false">R2+1</f>
        <v>17</v>
      </c>
      <c r="T2" s="320" t="n">
        <f aca="false">S2+1</f>
        <v>18</v>
      </c>
      <c r="U2" s="320" t="n">
        <f aca="false">T2+1</f>
        <v>19</v>
      </c>
      <c r="V2" s="320" t="n">
        <f aca="false">U2+1</f>
        <v>20</v>
      </c>
      <c r="W2" s="320" t="n">
        <f aca="false">V2+1</f>
        <v>21</v>
      </c>
      <c r="X2" s="320" t="n">
        <f aca="false">W2+1</f>
        <v>22</v>
      </c>
      <c r="Y2" s="320" t="n">
        <f aca="false">X2+1</f>
        <v>23</v>
      </c>
      <c r="Z2" s="320" t="n">
        <f aca="false">Y2+1</f>
        <v>24</v>
      </c>
      <c r="AA2" s="320" t="n">
        <f aca="false">Z2+1</f>
        <v>25</v>
      </c>
      <c r="AB2" s="320" t="n">
        <f aca="false">AA2+1</f>
        <v>26</v>
      </c>
      <c r="AC2" s="320" t="n">
        <f aca="false">AB2+1</f>
        <v>27</v>
      </c>
      <c r="AD2" s="320" t="n">
        <f aca="false">AC2+1</f>
        <v>28</v>
      </c>
      <c r="AE2" s="320" t="n">
        <f aca="false">AD2+1</f>
        <v>29</v>
      </c>
      <c r="AF2" s="320" t="n">
        <f aca="false">AE2+1</f>
        <v>30</v>
      </c>
      <c r="AG2" s="320" t="n">
        <f aca="false">AF2+1</f>
        <v>31</v>
      </c>
      <c r="AH2" s="320" t="n">
        <f aca="false">AG2+1</f>
        <v>32</v>
      </c>
      <c r="AI2" s="320" t="n">
        <f aca="false">AH2+1</f>
        <v>33</v>
      </c>
      <c r="AJ2" s="320" t="n">
        <f aca="false">AI2+1</f>
        <v>34</v>
      </c>
      <c r="AK2" s="320" t="n">
        <f aca="false">AJ2+1</f>
        <v>35</v>
      </c>
      <c r="AL2" s="320" t="n">
        <f aca="false">AK2+1</f>
        <v>36</v>
      </c>
      <c r="AM2" s="320" t="n">
        <f aca="false">AL2+1</f>
        <v>37</v>
      </c>
      <c r="AN2" s="320" t="n">
        <f aca="false">AM2+1</f>
        <v>38</v>
      </c>
      <c r="AO2" s="320" t="n">
        <f aca="false">AN2+1</f>
        <v>39</v>
      </c>
      <c r="AP2" s="320" t="n">
        <f aca="false">AO2+1</f>
        <v>40</v>
      </c>
      <c r="AQ2" s="320" t="n">
        <f aca="false">AP2+1</f>
        <v>41</v>
      </c>
      <c r="AR2" s="320" t="n">
        <f aca="false">AQ2+1</f>
        <v>42</v>
      </c>
      <c r="AS2" s="320" t="n">
        <f aca="false">AR2+1</f>
        <v>43</v>
      </c>
      <c r="AT2" s="320" t="n">
        <f aca="false">AS2+1</f>
        <v>44</v>
      </c>
      <c r="AU2" s="320" t="n">
        <f aca="false">AT2+1</f>
        <v>45</v>
      </c>
      <c r="AV2" s="320" t="n">
        <f aca="false">AU2+1</f>
        <v>46</v>
      </c>
      <c r="AW2" s="320" t="n">
        <f aca="false">AV2+1</f>
        <v>47</v>
      </c>
      <c r="AX2" s="320" t="n">
        <f aca="false">AW2+1</f>
        <v>48</v>
      </c>
      <c r="AY2" s="320" t="n">
        <f aca="false">AX2+1</f>
        <v>49</v>
      </c>
      <c r="AZ2" s="320" t="n">
        <f aca="false">AY2+1</f>
        <v>50</v>
      </c>
      <c r="BA2" s="320" t="n">
        <f aca="false">AZ2+1</f>
        <v>51</v>
      </c>
      <c r="BB2" s="320" t="n">
        <f aca="false">BA2+1</f>
        <v>52</v>
      </c>
      <c r="BC2" s="320" t="n">
        <f aca="false">BB2+1</f>
        <v>53</v>
      </c>
      <c r="BD2" s="320" t="n">
        <f aca="false">BC2+1</f>
        <v>54</v>
      </c>
      <c r="BE2" s="320" t="n">
        <f aca="false">BD2+1</f>
        <v>55</v>
      </c>
      <c r="BF2" s="320" t="n">
        <f aca="false">BE2+1</f>
        <v>56</v>
      </c>
      <c r="BG2" s="320" t="n">
        <f aca="false">BF2+1</f>
        <v>57</v>
      </c>
      <c r="BH2" s="320" t="n">
        <f aca="false">BG2+1</f>
        <v>58</v>
      </c>
      <c r="BI2" s="320" t="n">
        <f aca="false">BH2+1</f>
        <v>59</v>
      </c>
      <c r="BJ2" s="320" t="n">
        <f aca="false">BI2+1</f>
        <v>60</v>
      </c>
      <c r="BK2" s="320" t="n">
        <f aca="false">BJ2+1</f>
        <v>61</v>
      </c>
      <c r="BL2" s="320" t="n">
        <f aca="false">BK2+1</f>
        <v>62</v>
      </c>
      <c r="BM2" s="320" t="n">
        <f aca="false">BL2+1</f>
        <v>63</v>
      </c>
      <c r="BN2" s="320" t="n">
        <f aca="false">BM2+1</f>
        <v>64</v>
      </c>
      <c r="BO2" s="320" t="n">
        <f aca="false">BN2+1</f>
        <v>65</v>
      </c>
      <c r="BP2" s="320" t="n">
        <f aca="false">BO2+1</f>
        <v>66</v>
      </c>
      <c r="BQ2" s="320" t="n">
        <f aca="false">BP2+1</f>
        <v>67</v>
      </c>
      <c r="BR2" s="320" t="n">
        <f aca="false">BQ2+1</f>
        <v>68</v>
      </c>
      <c r="BS2" s="320" t="n">
        <f aca="false">BR2+1</f>
        <v>69</v>
      </c>
      <c r="BT2" s="320" t="n">
        <f aca="false">BS2+1</f>
        <v>70</v>
      </c>
      <c r="BU2" s="320" t="n">
        <f aca="false">BT2+1</f>
        <v>71</v>
      </c>
      <c r="BV2" s="320" t="n">
        <f aca="false">BU2+1</f>
        <v>72</v>
      </c>
    </row>
    <row r="3" customFormat="false" ht="12.75" hidden="false" customHeight="false" outlineLevel="0" collapsed="false">
      <c r="C3" s="321" t="s">
        <v>270</v>
      </c>
      <c r="D3" s="320" t="s">
        <v>271</v>
      </c>
      <c r="E3" s="322" t="s">
        <v>271</v>
      </c>
      <c r="F3" s="322" t="s">
        <v>272</v>
      </c>
      <c r="G3" s="322" t="s">
        <v>223</v>
      </c>
      <c r="H3" s="322" t="s">
        <v>244</v>
      </c>
      <c r="I3" s="322" t="s">
        <v>248</v>
      </c>
      <c r="J3" s="322" t="s">
        <v>249</v>
      </c>
      <c r="K3" s="322" t="s">
        <v>250</v>
      </c>
      <c r="L3" s="322" t="s">
        <v>242</v>
      </c>
      <c r="M3" s="322" t="s">
        <v>245</v>
      </c>
      <c r="N3" s="323" t="s">
        <v>252</v>
      </c>
      <c r="O3" s="322" t="s">
        <v>224</v>
      </c>
      <c r="P3" s="322" t="s">
        <v>267</v>
      </c>
      <c r="Q3" s="322" t="s">
        <v>263</v>
      </c>
      <c r="R3" s="322" t="s">
        <v>232</v>
      </c>
      <c r="S3" s="322" t="s">
        <v>256</v>
      </c>
      <c r="T3" s="322" t="s">
        <v>268</v>
      </c>
      <c r="U3" s="322" t="s">
        <v>235</v>
      </c>
      <c r="V3" s="322" t="s">
        <v>237</v>
      </c>
      <c r="W3" s="322" t="s">
        <v>190</v>
      </c>
      <c r="X3" s="322" t="s">
        <v>228</v>
      </c>
      <c r="Y3" s="324" t="s">
        <v>231</v>
      </c>
      <c r="Z3" s="325" t="s">
        <v>236</v>
      </c>
      <c r="AA3" s="318" t="s">
        <v>238</v>
      </c>
      <c r="AB3" s="318" t="s">
        <v>239</v>
      </c>
      <c r="AC3" s="318" t="s">
        <v>221</v>
      </c>
      <c r="AD3" s="318" t="s">
        <v>226</v>
      </c>
      <c r="AE3" s="318" t="s">
        <v>247</v>
      </c>
      <c r="AF3" s="318" t="s">
        <v>229</v>
      </c>
      <c r="AG3" s="318" t="s">
        <v>258</v>
      </c>
      <c r="AH3" s="318" t="s">
        <v>243</v>
      </c>
      <c r="AI3" s="318" t="s">
        <v>260</v>
      </c>
      <c r="AJ3" s="318" t="s">
        <v>264</v>
      </c>
      <c r="AK3" s="318" t="s">
        <v>261</v>
      </c>
      <c r="AL3" s="318" t="s">
        <v>262</v>
      </c>
      <c r="AM3" s="318" t="s">
        <v>234</v>
      </c>
      <c r="AN3" s="318" t="s">
        <v>183</v>
      </c>
      <c r="AO3" s="318" t="s">
        <v>225</v>
      </c>
      <c r="AP3" s="318" t="s">
        <v>230</v>
      </c>
      <c r="AQ3" s="318" t="s">
        <v>233</v>
      </c>
      <c r="AR3" s="318" t="s">
        <v>251</v>
      </c>
      <c r="AS3" s="318" t="s">
        <v>227</v>
      </c>
      <c r="AT3" s="318" t="s">
        <v>253</v>
      </c>
      <c r="AU3" s="318" t="s">
        <v>87</v>
      </c>
      <c r="AV3" s="318" t="s">
        <v>220</v>
      </c>
      <c r="AW3" s="318" t="s">
        <v>265</v>
      </c>
      <c r="AX3" s="318" t="s">
        <v>266</v>
      </c>
      <c r="AY3" s="326" t="s">
        <v>257</v>
      </c>
      <c r="AZ3" s="326" t="s">
        <v>222</v>
      </c>
      <c r="BA3" s="326" t="s">
        <v>255</v>
      </c>
      <c r="BB3" s="326" t="s">
        <v>259</v>
      </c>
      <c r="BC3" s="326" t="s">
        <v>246</v>
      </c>
      <c r="BD3" s="326" t="s">
        <v>241</v>
      </c>
      <c r="BE3" s="326" t="s">
        <v>254</v>
      </c>
      <c r="BF3" s="326" t="s">
        <v>240</v>
      </c>
      <c r="BG3" s="318" t="s">
        <v>273</v>
      </c>
      <c r="BH3" s="318" t="s">
        <v>274</v>
      </c>
      <c r="BI3" s="318" t="s">
        <v>275</v>
      </c>
      <c r="BJ3" s="318" t="s">
        <v>269</v>
      </c>
      <c r="BK3" s="318" t="s">
        <v>221</v>
      </c>
      <c r="BL3" s="318" t="s">
        <v>183</v>
      </c>
      <c r="BM3" s="318" t="s">
        <v>190</v>
      </c>
      <c r="BN3" s="318" t="s">
        <v>224</v>
      </c>
      <c r="BO3" s="318" t="s">
        <v>227</v>
      </c>
      <c r="BP3" s="318" t="s">
        <v>230</v>
      </c>
      <c r="BQ3" s="318" t="s">
        <v>233</v>
      </c>
      <c r="BR3" s="318" t="s">
        <v>234</v>
      </c>
      <c r="BS3" s="0" t="s">
        <v>235</v>
      </c>
      <c r="BT3" s="0" t="s">
        <v>237</v>
      </c>
      <c r="BU3" s="0" t="s">
        <v>87</v>
      </c>
      <c r="BV3" s="0" t="s">
        <v>240</v>
      </c>
    </row>
    <row r="4" customFormat="false" ht="12.75" hidden="false" customHeight="false" outlineLevel="0" collapsed="false">
      <c r="C4" s="321" t="s">
        <v>276</v>
      </c>
      <c r="D4" s="320" t="s">
        <v>277</v>
      </c>
      <c r="E4" s="320" t="s">
        <v>278</v>
      </c>
      <c r="F4" s="320" t="s">
        <v>279</v>
      </c>
      <c r="G4" s="320" t="s">
        <v>277</v>
      </c>
      <c r="H4" s="320" t="s">
        <v>277</v>
      </c>
      <c r="I4" s="320" t="s">
        <v>277</v>
      </c>
      <c r="J4" s="320" t="s">
        <v>277</v>
      </c>
      <c r="K4" s="320" t="s">
        <v>277</v>
      </c>
      <c r="L4" s="320" t="s">
        <v>277</v>
      </c>
      <c r="M4" s="320" t="s">
        <v>277</v>
      </c>
      <c r="N4" s="320" t="s">
        <v>277</v>
      </c>
      <c r="O4" s="320" t="s">
        <v>277</v>
      </c>
      <c r="P4" s="320" t="s">
        <v>277</v>
      </c>
      <c r="Q4" s="320" t="s">
        <v>277</v>
      </c>
      <c r="R4" s="320" t="s">
        <v>277</v>
      </c>
      <c r="S4" s="320" t="s">
        <v>277</v>
      </c>
      <c r="T4" s="320" t="s">
        <v>277</v>
      </c>
      <c r="U4" s="320" t="s">
        <v>277</v>
      </c>
      <c r="V4" s="320" t="s">
        <v>277</v>
      </c>
      <c r="W4" s="320" t="s">
        <v>277</v>
      </c>
      <c r="X4" s="320" t="s">
        <v>277</v>
      </c>
      <c r="Y4" s="320" t="s">
        <v>277</v>
      </c>
      <c r="Z4" s="320" t="s">
        <v>277</v>
      </c>
      <c r="AA4" s="320" t="s">
        <v>277</v>
      </c>
      <c r="AB4" s="320" t="s">
        <v>277</v>
      </c>
      <c r="AC4" s="320" t="s">
        <v>277</v>
      </c>
      <c r="AD4" s="320" t="s">
        <v>277</v>
      </c>
      <c r="AE4" s="320" t="s">
        <v>277</v>
      </c>
      <c r="AF4" s="320" t="s">
        <v>277</v>
      </c>
      <c r="AG4" s="320" t="s">
        <v>277</v>
      </c>
      <c r="AH4" s="320" t="s">
        <v>277</v>
      </c>
      <c r="AI4" s="320" t="s">
        <v>277</v>
      </c>
      <c r="AJ4" s="320" t="s">
        <v>277</v>
      </c>
      <c r="AK4" s="320" t="s">
        <v>277</v>
      </c>
      <c r="AL4" s="320" t="s">
        <v>277</v>
      </c>
      <c r="AM4" s="320" t="s">
        <v>277</v>
      </c>
      <c r="AN4" s="320" t="s">
        <v>277</v>
      </c>
      <c r="AO4" s="320" t="s">
        <v>277</v>
      </c>
      <c r="AP4" s="320" t="s">
        <v>277</v>
      </c>
      <c r="AQ4" s="320" t="s">
        <v>277</v>
      </c>
      <c r="AR4" s="320" t="s">
        <v>277</v>
      </c>
      <c r="AS4" s="320" t="s">
        <v>277</v>
      </c>
      <c r="AT4" s="320" t="s">
        <v>277</v>
      </c>
      <c r="AU4" s="320" t="s">
        <v>277</v>
      </c>
      <c r="AV4" s="320" t="s">
        <v>277</v>
      </c>
      <c r="AW4" s="320" t="s">
        <v>277</v>
      </c>
      <c r="AX4" s="320" t="s">
        <v>277</v>
      </c>
      <c r="AY4" s="320" t="s">
        <v>277</v>
      </c>
      <c r="AZ4" s="320" t="s">
        <v>277</v>
      </c>
      <c r="BA4" s="320" t="s">
        <v>277</v>
      </c>
      <c r="BB4" s="320" t="s">
        <v>277</v>
      </c>
      <c r="BC4" s="320" t="s">
        <v>277</v>
      </c>
      <c r="BD4" s="320" t="s">
        <v>277</v>
      </c>
      <c r="BE4" s="320" t="s">
        <v>277</v>
      </c>
      <c r="BF4" s="320" t="s">
        <v>277</v>
      </c>
      <c r="BG4" s="318" t="s">
        <v>277</v>
      </c>
      <c r="BH4" s="318" t="s">
        <v>277</v>
      </c>
      <c r="BI4" s="318" t="s">
        <v>277</v>
      </c>
      <c r="BJ4" s="318" t="s">
        <v>277</v>
      </c>
      <c r="BK4" s="318" t="s">
        <v>277</v>
      </c>
      <c r="BL4" s="318" t="s">
        <v>277</v>
      </c>
      <c r="BM4" s="318" t="s">
        <v>277</v>
      </c>
      <c r="BN4" s="318" t="s">
        <v>277</v>
      </c>
      <c r="BO4" s="318" t="s">
        <v>277</v>
      </c>
      <c r="BP4" s="318" t="s">
        <v>277</v>
      </c>
      <c r="BQ4" s="318" t="s">
        <v>277</v>
      </c>
      <c r="BR4" s="318" t="s">
        <v>277</v>
      </c>
      <c r="BS4" s="0" t="s">
        <v>277</v>
      </c>
      <c r="BT4" s="0" t="s">
        <v>277</v>
      </c>
      <c r="BU4" s="0" t="s">
        <v>277</v>
      </c>
      <c r="BV4" s="0" t="s">
        <v>277</v>
      </c>
    </row>
    <row r="5" customFormat="false" ht="12.75" hidden="false" customHeight="false" outlineLevel="0" collapsed="false">
      <c r="C5" s="321" t="s">
        <v>280</v>
      </c>
      <c r="D5" s="320" t="s">
        <v>281</v>
      </c>
      <c r="E5" s="320" t="s">
        <v>281</v>
      </c>
      <c r="F5" s="320" t="s">
        <v>282</v>
      </c>
      <c r="G5" s="320" t="s">
        <v>283</v>
      </c>
      <c r="H5" s="320" t="s">
        <v>283</v>
      </c>
      <c r="I5" s="320" t="s">
        <v>283</v>
      </c>
      <c r="J5" s="320" t="s">
        <v>283</v>
      </c>
      <c r="K5" s="320" t="s">
        <v>283</v>
      </c>
      <c r="L5" s="320" t="s">
        <v>283</v>
      </c>
      <c r="M5" s="320" t="s">
        <v>283</v>
      </c>
      <c r="N5" s="320" t="s">
        <v>283</v>
      </c>
      <c r="O5" s="320" t="s">
        <v>283</v>
      </c>
      <c r="P5" s="320" t="s">
        <v>283</v>
      </c>
      <c r="Q5" s="320" t="s">
        <v>283</v>
      </c>
      <c r="R5" s="320" t="s">
        <v>283</v>
      </c>
      <c r="S5" s="320" t="s">
        <v>283</v>
      </c>
      <c r="T5" s="320" t="s">
        <v>283</v>
      </c>
      <c r="U5" s="320" t="s">
        <v>283</v>
      </c>
      <c r="V5" s="320" t="s">
        <v>283</v>
      </c>
      <c r="W5" s="320" t="s">
        <v>283</v>
      </c>
      <c r="X5" s="320" t="s">
        <v>283</v>
      </c>
      <c r="Y5" s="320" t="s">
        <v>283</v>
      </c>
      <c r="Z5" s="320" t="s">
        <v>283</v>
      </c>
      <c r="AA5" s="320" t="s">
        <v>283</v>
      </c>
      <c r="AB5" s="320" t="s">
        <v>283</v>
      </c>
      <c r="AC5" s="320" t="s">
        <v>283</v>
      </c>
      <c r="AD5" s="320" t="s">
        <v>283</v>
      </c>
      <c r="AE5" s="320" t="s">
        <v>283</v>
      </c>
      <c r="AF5" s="320" t="s">
        <v>283</v>
      </c>
      <c r="AG5" s="320" t="s">
        <v>283</v>
      </c>
      <c r="AH5" s="320" t="s">
        <v>283</v>
      </c>
      <c r="AI5" s="320" t="s">
        <v>283</v>
      </c>
      <c r="AJ5" s="320" t="s">
        <v>283</v>
      </c>
      <c r="AK5" s="320" t="s">
        <v>283</v>
      </c>
      <c r="AL5" s="320" t="s">
        <v>283</v>
      </c>
      <c r="AM5" s="320" t="s">
        <v>283</v>
      </c>
      <c r="AN5" s="320" t="s">
        <v>283</v>
      </c>
      <c r="AO5" s="320" t="s">
        <v>283</v>
      </c>
      <c r="AP5" s="320" t="s">
        <v>283</v>
      </c>
      <c r="AQ5" s="320" t="s">
        <v>283</v>
      </c>
      <c r="AR5" s="320" t="s">
        <v>283</v>
      </c>
      <c r="AS5" s="320" t="s">
        <v>283</v>
      </c>
      <c r="AT5" s="320" t="s">
        <v>283</v>
      </c>
      <c r="AU5" s="320" t="s">
        <v>283</v>
      </c>
      <c r="AV5" s="320" t="s">
        <v>283</v>
      </c>
      <c r="AW5" s="320" t="s">
        <v>283</v>
      </c>
      <c r="AX5" s="320" t="s">
        <v>283</v>
      </c>
      <c r="AY5" s="320" t="s">
        <v>283</v>
      </c>
      <c r="AZ5" s="320" t="s">
        <v>283</v>
      </c>
      <c r="BA5" s="320" t="s">
        <v>283</v>
      </c>
      <c r="BB5" s="320" t="s">
        <v>283</v>
      </c>
      <c r="BC5" s="320" t="s">
        <v>283</v>
      </c>
      <c r="BD5" s="320" t="s">
        <v>283</v>
      </c>
      <c r="BE5" s="320" t="s">
        <v>283</v>
      </c>
      <c r="BF5" s="320" t="s">
        <v>283</v>
      </c>
      <c r="BG5" s="318" t="s">
        <v>283</v>
      </c>
      <c r="BH5" s="318" t="s">
        <v>283</v>
      </c>
      <c r="BI5" s="318" t="s">
        <v>283</v>
      </c>
      <c r="BJ5" s="318" t="s">
        <v>283</v>
      </c>
      <c r="BK5" s="318" t="s">
        <v>284</v>
      </c>
      <c r="BL5" s="318" t="s">
        <v>284</v>
      </c>
      <c r="BM5" s="318" t="s">
        <v>284</v>
      </c>
      <c r="BN5" s="318" t="s">
        <v>284</v>
      </c>
      <c r="BO5" s="318" t="s">
        <v>284</v>
      </c>
      <c r="BP5" s="318" t="s">
        <v>284</v>
      </c>
      <c r="BQ5" s="318" t="s">
        <v>284</v>
      </c>
      <c r="BR5" s="318" t="s">
        <v>284</v>
      </c>
      <c r="BS5" s="0" t="s">
        <v>284</v>
      </c>
      <c r="BT5" s="0" t="s">
        <v>284</v>
      </c>
      <c r="BU5" s="0" t="s">
        <v>284</v>
      </c>
      <c r="BV5" s="0" t="s">
        <v>284</v>
      </c>
    </row>
    <row r="6" customFormat="false" ht="12.75" hidden="false" customHeight="false" outlineLevel="0" collapsed="false">
      <c r="A6" s="320" t="e">
        <f aca="false">#REF!-B6</f>
        <v>#REF!</v>
      </c>
      <c r="B6" s="320" t="n">
        <v>4.354</v>
      </c>
      <c r="C6" s="327" t="n">
        <v>37288</v>
      </c>
      <c r="D6" s="328" t="n">
        <v>2.275</v>
      </c>
      <c r="E6" s="329" t="n">
        <v>0.98</v>
      </c>
      <c r="F6" s="318" t="n">
        <v>0.0217808492956433</v>
      </c>
      <c r="G6" s="318" t="n">
        <v>-0.12</v>
      </c>
      <c r="H6" s="318" t="n">
        <v>-0.14</v>
      </c>
      <c r="I6" s="330" t="n">
        <v>-0.015</v>
      </c>
      <c r="J6" s="330" t="n">
        <v>-0.115</v>
      </c>
      <c r="K6" s="318" t="n">
        <v>-0.015</v>
      </c>
      <c r="L6" s="318" t="n">
        <v>-0.08</v>
      </c>
      <c r="M6" s="318" t="n">
        <v>-0.11</v>
      </c>
      <c r="N6" s="318" t="n">
        <v>-0.11</v>
      </c>
      <c r="O6" s="318" t="n">
        <v>-0.11</v>
      </c>
      <c r="P6" s="318" t="n">
        <v>-0.12</v>
      </c>
      <c r="Q6" s="318" t="n">
        <v>-0.1</v>
      </c>
      <c r="R6" s="318" t="n">
        <v>-0.08</v>
      </c>
      <c r="S6" s="318" t="n">
        <v>0.105</v>
      </c>
      <c r="T6" s="318" t="n">
        <v>0.125</v>
      </c>
      <c r="U6" s="318" t="n">
        <v>0.12</v>
      </c>
      <c r="V6" s="318" t="n">
        <v>0.2</v>
      </c>
      <c r="W6" s="318" t="n">
        <v>0.1325</v>
      </c>
      <c r="X6" s="318" t="n">
        <v>0.2025</v>
      </c>
      <c r="Y6" s="318" t="n">
        <v>-0.025</v>
      </c>
      <c r="Z6" s="318" t="n">
        <v>-0.06</v>
      </c>
      <c r="AA6" s="318" t="n">
        <v>-0.01</v>
      </c>
      <c r="AB6" s="318" t="n">
        <v>-0.035</v>
      </c>
      <c r="AC6" s="318" t="n">
        <v>0.0025</v>
      </c>
      <c r="AD6" s="318" t="n">
        <v>-0.0425</v>
      </c>
      <c r="AE6" s="318" t="n">
        <v>-0.0825</v>
      </c>
      <c r="AF6" s="318" t="n">
        <v>-0.0675</v>
      </c>
      <c r="AG6" s="318" t="n">
        <v>-0.0925</v>
      </c>
      <c r="AH6" s="318" t="n">
        <v>-0.02</v>
      </c>
      <c r="AI6" s="318" t="n">
        <v>-0.08</v>
      </c>
      <c r="AJ6" s="318" t="n">
        <v>-0.12</v>
      </c>
      <c r="AK6" s="318" t="n">
        <v>-0.025</v>
      </c>
      <c r="AL6" s="318" t="n">
        <v>0.015</v>
      </c>
      <c r="AM6" s="318" t="n">
        <v>1.72</v>
      </c>
      <c r="AN6" s="318" t="n">
        <v>-0.0325</v>
      </c>
      <c r="AO6" s="318" t="n">
        <v>-0.365</v>
      </c>
      <c r="AP6" s="318" t="n">
        <v>-0.15</v>
      </c>
      <c r="AQ6" s="318" t="n">
        <v>-0.27</v>
      </c>
      <c r="AR6" s="318" t="n">
        <v>0.06</v>
      </c>
      <c r="AS6" s="318" t="n">
        <v>-0.31</v>
      </c>
      <c r="AT6" s="318" t="n">
        <v>-0.465</v>
      </c>
      <c r="AU6" s="318" t="n">
        <v>-0.015</v>
      </c>
      <c r="AV6" s="318" t="n">
        <v>-0.365</v>
      </c>
      <c r="AW6" s="318" t="n">
        <v>-0.21</v>
      </c>
      <c r="AX6" s="318" t="n">
        <v>-0.12</v>
      </c>
      <c r="AY6" s="318" t="n">
        <v>-0.14</v>
      </c>
      <c r="AZ6" s="318" t="n">
        <v>-0.0875</v>
      </c>
      <c r="BA6" s="318" t="n">
        <v>-0.1275</v>
      </c>
      <c r="BB6" s="318" t="n">
        <v>-0.025</v>
      </c>
      <c r="BC6" s="318" t="n">
        <v>-0.085</v>
      </c>
      <c r="BD6" s="318" t="n">
        <v>-0.0525</v>
      </c>
      <c r="BE6" s="318" t="n">
        <v>-0.0825</v>
      </c>
      <c r="BF6" s="318" t="n">
        <v>-0.015</v>
      </c>
      <c r="BG6" s="318" t="n">
        <v>0.21</v>
      </c>
      <c r="BH6" s="318" t="n">
        <v>0.125</v>
      </c>
      <c r="BI6" s="318" t="n">
        <v>0.135</v>
      </c>
      <c r="BJ6" s="318" t="n">
        <v>0.78</v>
      </c>
      <c r="BK6" s="318" t="n">
        <v>-0.005</v>
      </c>
      <c r="BL6" s="318" t="n">
        <v>-0.025</v>
      </c>
      <c r="BM6" s="318" t="n">
        <v>0.005</v>
      </c>
      <c r="BN6" s="318" t="n">
        <v>-0.015</v>
      </c>
      <c r="BO6" s="318" t="n">
        <v>0.015</v>
      </c>
      <c r="BP6" s="318" t="n">
        <v>-0.0275</v>
      </c>
      <c r="BQ6" s="318" t="n">
        <v>-0.01</v>
      </c>
      <c r="BR6" s="318" t="n">
        <v>0.43</v>
      </c>
      <c r="BS6" s="0" t="n">
        <v>0</v>
      </c>
      <c r="BT6" s="0" t="n">
        <v>0.01</v>
      </c>
      <c r="BU6" s="0" t="n">
        <v>-0.01</v>
      </c>
      <c r="BV6" s="0" t="n">
        <v>0.02</v>
      </c>
    </row>
    <row r="7" customFormat="false" ht="12.75" hidden="false" customHeight="false" outlineLevel="0" collapsed="false">
      <c r="A7" s="320" t="e">
        <f aca="false">#REF!-B7</f>
        <v>#REF!</v>
      </c>
      <c r="B7" s="320" t="n">
        <v>4.34</v>
      </c>
      <c r="C7" s="327" t="n">
        <f aca="false">EOMONTH(C6,0)+1</f>
        <v>37316</v>
      </c>
      <c r="D7" s="328" t="n">
        <v>2.265</v>
      </c>
      <c r="E7" s="320" t="n">
        <v>0.92</v>
      </c>
      <c r="F7" s="318" t="n">
        <v>0.0211456580710117</v>
      </c>
      <c r="G7" s="318" t="n">
        <v>-0.115</v>
      </c>
      <c r="H7" s="318" t="n">
        <v>-0.135</v>
      </c>
      <c r="I7" s="330" t="n">
        <v>-0.005</v>
      </c>
      <c r="J7" s="330" t="n">
        <v>-0.105</v>
      </c>
      <c r="K7" s="318" t="n">
        <v>-0.005</v>
      </c>
      <c r="L7" s="318" t="n">
        <v>-0.08</v>
      </c>
      <c r="M7" s="318" t="n">
        <v>-0.11</v>
      </c>
      <c r="N7" s="318" t="n">
        <v>-0.105</v>
      </c>
      <c r="O7" s="318" t="n">
        <v>-0.105</v>
      </c>
      <c r="P7" s="318" t="n">
        <v>-0.115</v>
      </c>
      <c r="Q7" s="318" t="n">
        <v>-0.1</v>
      </c>
      <c r="R7" s="318" t="n">
        <v>-0.08</v>
      </c>
      <c r="S7" s="318" t="n">
        <v>0.1</v>
      </c>
      <c r="T7" s="318" t="n">
        <v>0.12</v>
      </c>
      <c r="U7" s="318" t="n">
        <v>0.095</v>
      </c>
      <c r="V7" s="318" t="n">
        <v>0.11</v>
      </c>
      <c r="W7" s="318" t="n">
        <v>0.1325</v>
      </c>
      <c r="X7" s="318" t="n">
        <v>0.2</v>
      </c>
      <c r="Y7" s="318" t="n">
        <v>-0.025</v>
      </c>
      <c r="Z7" s="318" t="n">
        <v>-0.06</v>
      </c>
      <c r="AA7" s="318" t="n">
        <v>-0.01</v>
      </c>
      <c r="AB7" s="318" t="n">
        <v>-0.035</v>
      </c>
      <c r="AC7" s="318" t="n">
        <v>0.0025</v>
      </c>
      <c r="AD7" s="318" t="n">
        <v>-0.0425</v>
      </c>
      <c r="AE7" s="318" t="n">
        <v>-0.0825</v>
      </c>
      <c r="AF7" s="318" t="n">
        <v>-0.0675</v>
      </c>
      <c r="AG7" s="318" t="n">
        <v>-0.0925</v>
      </c>
      <c r="AH7" s="318" t="n">
        <v>-0.02</v>
      </c>
      <c r="AI7" s="318" t="n">
        <v>-0.0775</v>
      </c>
      <c r="AJ7" s="318" t="n">
        <v>-0.12</v>
      </c>
      <c r="AK7" s="318" t="n">
        <v>-0.025</v>
      </c>
      <c r="AL7" s="318" t="n">
        <v>0.015</v>
      </c>
      <c r="AM7" s="318" t="n">
        <v>1.7</v>
      </c>
      <c r="AN7" s="318" t="n">
        <v>-0.0275</v>
      </c>
      <c r="AO7" s="318" t="n">
        <v>-0.395</v>
      </c>
      <c r="AP7" s="318" t="n">
        <v>-0.155</v>
      </c>
      <c r="AQ7" s="318" t="n">
        <v>-0.3</v>
      </c>
      <c r="AR7" s="318" t="n">
        <v>-0.08</v>
      </c>
      <c r="AS7" s="318" t="n">
        <v>-0.34</v>
      </c>
      <c r="AT7" s="318" t="n">
        <v>-0.495</v>
      </c>
      <c r="AU7" s="318" t="n">
        <v>-0.09</v>
      </c>
      <c r="AV7" s="318" t="n">
        <v>-0.395</v>
      </c>
      <c r="AW7" s="318" t="n">
        <v>-0.21</v>
      </c>
      <c r="AX7" s="318" t="n">
        <v>-0.125</v>
      </c>
      <c r="AY7" s="318" t="n">
        <v>-0.14</v>
      </c>
      <c r="AZ7" s="318" t="n">
        <v>-0.0875</v>
      </c>
      <c r="BA7" s="318" t="n">
        <v>-0.1275</v>
      </c>
      <c r="BB7" s="318" t="n">
        <v>-0.025</v>
      </c>
      <c r="BC7" s="318" t="n">
        <v>-0.085</v>
      </c>
      <c r="BD7" s="318" t="n">
        <v>-0.0475</v>
      </c>
      <c r="BE7" s="318" t="n">
        <v>-0.0825</v>
      </c>
      <c r="BF7" s="318" t="n">
        <v>-0.05</v>
      </c>
      <c r="BG7" s="318" t="n">
        <v>0.155</v>
      </c>
      <c r="BH7" s="318" t="n">
        <v>0.12</v>
      </c>
      <c r="BI7" s="318" t="n">
        <v>0.13</v>
      </c>
      <c r="BJ7" s="318" t="n">
        <v>0.78</v>
      </c>
      <c r="BK7" s="318" t="n">
        <v>-0.005</v>
      </c>
      <c r="BL7" s="318" t="n">
        <v>-0.025</v>
      </c>
      <c r="BM7" s="318" t="n">
        <v>0.005</v>
      </c>
      <c r="BN7" s="318" t="n">
        <v>-0.015</v>
      </c>
      <c r="BO7" s="318" t="n">
        <v>0.015</v>
      </c>
      <c r="BP7" s="318" t="n">
        <v>-0.0275</v>
      </c>
      <c r="BQ7" s="318" t="n">
        <v>-0.01</v>
      </c>
      <c r="BR7" s="318" t="n">
        <v>0.43</v>
      </c>
      <c r="BS7" s="0" t="n">
        <v>0</v>
      </c>
      <c r="BT7" s="0" t="n">
        <v>0.01</v>
      </c>
      <c r="BU7" s="0" t="n">
        <v>-0.01</v>
      </c>
      <c r="BV7" s="0" t="n">
        <v>0.02</v>
      </c>
    </row>
    <row r="8" customFormat="false" ht="12.75" hidden="false" customHeight="false" outlineLevel="0" collapsed="false">
      <c r="A8" s="320" t="e">
        <f aca="false">#REF!-B8</f>
        <v>#REF!</v>
      </c>
      <c r="B8" s="320" t="n">
        <v>4.32</v>
      </c>
      <c r="C8" s="327" t="n">
        <f aca="false">EOMONTH(C7,0)+1</f>
        <v>37347</v>
      </c>
      <c r="D8" s="328" t="n">
        <v>2.288</v>
      </c>
      <c r="E8" s="320" t="n">
        <v>0.803</v>
      </c>
      <c r="F8" s="318" t="n">
        <v>0.0207759939054513</v>
      </c>
      <c r="G8" s="318" t="n">
        <v>-0.115</v>
      </c>
      <c r="H8" s="318" t="n">
        <v>-0.135</v>
      </c>
      <c r="I8" s="330" t="n">
        <v>-0.005</v>
      </c>
      <c r="J8" s="330" t="n">
        <v>-0.105</v>
      </c>
      <c r="K8" s="318" t="n">
        <v>-0.005</v>
      </c>
      <c r="L8" s="318" t="n">
        <v>-0.08</v>
      </c>
      <c r="M8" s="318" t="n">
        <v>-0.11</v>
      </c>
      <c r="N8" s="318" t="n">
        <v>-0.105</v>
      </c>
      <c r="O8" s="318" t="n">
        <v>-0.105</v>
      </c>
      <c r="P8" s="318" t="n">
        <v>-0.115</v>
      </c>
      <c r="Q8" s="318" t="n">
        <v>-0.1</v>
      </c>
      <c r="R8" s="318" t="n">
        <v>-0.08</v>
      </c>
      <c r="S8" s="318" t="n">
        <v>0.095</v>
      </c>
      <c r="T8" s="318" t="n">
        <v>0.115</v>
      </c>
      <c r="U8" s="318" t="n">
        <v>0.085</v>
      </c>
      <c r="V8" s="318" t="n">
        <v>0.09</v>
      </c>
      <c r="W8" s="318" t="n">
        <v>0.12</v>
      </c>
      <c r="X8" s="318" t="n">
        <v>0.17</v>
      </c>
      <c r="Y8" s="318" t="n">
        <v>-0.025</v>
      </c>
      <c r="Z8" s="318" t="n">
        <v>-0.06</v>
      </c>
      <c r="AA8" s="318" t="n">
        <v>-0.01</v>
      </c>
      <c r="AB8" s="318" t="n">
        <v>-0.035</v>
      </c>
      <c r="AC8" s="318" t="n">
        <v>0.0025</v>
      </c>
      <c r="AD8" s="318" t="n">
        <v>-0.0425</v>
      </c>
      <c r="AE8" s="318" t="n">
        <v>-0.0825</v>
      </c>
      <c r="AF8" s="318" t="n">
        <v>-0.0675</v>
      </c>
      <c r="AG8" s="318" t="n">
        <v>-0.0925</v>
      </c>
      <c r="AH8" s="318" t="n">
        <v>-0.02</v>
      </c>
      <c r="AI8" s="318" t="n">
        <v>-0.0775</v>
      </c>
      <c r="AJ8" s="318" t="n">
        <v>-0.12</v>
      </c>
      <c r="AK8" s="318" t="n">
        <v>-0.025</v>
      </c>
      <c r="AL8" s="318" t="n">
        <v>0.015</v>
      </c>
      <c r="AM8" s="318" t="n">
        <v>0.64</v>
      </c>
      <c r="AN8" s="318" t="n">
        <v>-0.0225</v>
      </c>
      <c r="AO8" s="318" t="n">
        <v>-0.495</v>
      </c>
      <c r="AP8" s="318" t="n">
        <v>-0.16</v>
      </c>
      <c r="AQ8" s="318" t="n">
        <v>-0.34</v>
      </c>
      <c r="AR8" s="318" t="n">
        <v>-0.25</v>
      </c>
      <c r="AS8" s="318" t="n">
        <v>-0.43</v>
      </c>
      <c r="AT8" s="318" t="n">
        <v>-0.595</v>
      </c>
      <c r="AU8" s="318" t="n">
        <v>-0.01</v>
      </c>
      <c r="AV8" s="318" t="n">
        <v>-0.495</v>
      </c>
      <c r="AW8" s="318" t="n">
        <v>-0.21</v>
      </c>
      <c r="AX8" s="318" t="n">
        <v>-0.13</v>
      </c>
      <c r="AY8" s="318" t="n">
        <v>-0.14</v>
      </c>
      <c r="AZ8" s="318" t="n">
        <v>-0.0875</v>
      </c>
      <c r="BA8" s="318" t="n">
        <v>-0.1275</v>
      </c>
      <c r="BB8" s="318" t="n">
        <v>-0.025</v>
      </c>
      <c r="BC8" s="318" t="n">
        <v>-0.085</v>
      </c>
      <c r="BD8" s="318" t="n">
        <v>-0.0425</v>
      </c>
      <c r="BE8" s="318" t="n">
        <v>-0.0825</v>
      </c>
      <c r="BF8" s="318" t="n">
        <v>-0.1</v>
      </c>
      <c r="BG8" s="318" t="n">
        <v>0.16</v>
      </c>
      <c r="BH8" s="318" t="n">
        <v>0.115</v>
      </c>
      <c r="BI8" s="318" t="n">
        <v>0.125</v>
      </c>
      <c r="BJ8" s="318" t="n">
        <v>0.48</v>
      </c>
      <c r="BK8" s="318" t="n">
        <v>-0.005</v>
      </c>
      <c r="BL8" s="318" t="n">
        <v>-0.02</v>
      </c>
      <c r="BM8" s="318" t="n">
        <v>0.005</v>
      </c>
      <c r="BN8" s="318" t="n">
        <v>-0.015</v>
      </c>
      <c r="BO8" s="318" t="n">
        <v>0.015</v>
      </c>
      <c r="BP8" s="318" t="n">
        <v>-0.0275</v>
      </c>
      <c r="BQ8" s="318" t="n">
        <v>-0.01</v>
      </c>
      <c r="BR8" s="318" t="n">
        <v>0.05</v>
      </c>
      <c r="BS8" s="0" t="n">
        <v>0</v>
      </c>
      <c r="BT8" s="0" t="n">
        <v>0.01</v>
      </c>
      <c r="BU8" s="0" t="n">
        <v>-0.01</v>
      </c>
      <c r="BV8" s="0" t="n">
        <v>0.02</v>
      </c>
    </row>
    <row r="9" customFormat="false" ht="12.75" hidden="false" customHeight="false" outlineLevel="0" collapsed="false">
      <c r="A9" s="320" t="e">
        <f aca="false">#REF!-B9</f>
        <v>#REF!</v>
      </c>
      <c r="B9" s="320" t="n">
        <v>4.335</v>
      </c>
      <c r="C9" s="327" t="n">
        <f aca="false">EOMONTH(C8,0)+1</f>
        <v>37377</v>
      </c>
      <c r="D9" s="0" t="n">
        <v>2.352</v>
      </c>
      <c r="E9" s="320" t="n">
        <v>0.66</v>
      </c>
      <c r="F9" s="318" t="n">
        <v>0.0200334599021574</v>
      </c>
      <c r="G9" s="318" t="n">
        <v>-0.13</v>
      </c>
      <c r="H9" s="318" t="n">
        <v>-0.15</v>
      </c>
      <c r="I9" s="330" t="n">
        <v>-0.09</v>
      </c>
      <c r="J9" s="330" t="n">
        <v>-0.205</v>
      </c>
      <c r="K9" s="318" t="n">
        <v>-0.09</v>
      </c>
      <c r="L9" s="318" t="n">
        <v>-0.07</v>
      </c>
      <c r="M9" s="318" t="n">
        <v>-0.095</v>
      </c>
      <c r="N9" s="318" t="n">
        <v>-0.12</v>
      </c>
      <c r="O9" s="318" t="n">
        <v>-0.12</v>
      </c>
      <c r="P9" s="318" t="n">
        <v>-0.13</v>
      </c>
      <c r="Q9" s="318" t="n">
        <v>-0.1125</v>
      </c>
      <c r="R9" s="318" t="n">
        <v>-0.0875</v>
      </c>
      <c r="S9" s="318" t="n">
        <v>0.085</v>
      </c>
      <c r="T9" s="318" t="n">
        <v>0.135</v>
      </c>
      <c r="U9" s="318" t="n">
        <v>0.03</v>
      </c>
      <c r="V9" s="318" t="n">
        <v>0.07</v>
      </c>
      <c r="W9" s="318" t="n">
        <v>0.15</v>
      </c>
      <c r="X9" s="318" t="n">
        <v>0.195</v>
      </c>
      <c r="Y9" s="318" t="n">
        <v>-0.025</v>
      </c>
      <c r="Z9" s="318" t="n">
        <v>-0.055</v>
      </c>
      <c r="AA9" s="318" t="n">
        <v>0.01</v>
      </c>
      <c r="AB9" s="318" t="n">
        <v>-0.0225</v>
      </c>
      <c r="AC9" s="318" t="n">
        <v>0.0025</v>
      </c>
      <c r="AD9" s="318" t="n">
        <v>-0.0275</v>
      </c>
      <c r="AE9" s="318" t="n">
        <v>-0.0775</v>
      </c>
      <c r="AF9" s="318" t="n">
        <v>-0.065</v>
      </c>
      <c r="AG9" s="318" t="n">
        <v>-0.09</v>
      </c>
      <c r="AH9" s="318" t="n">
        <v>-0.02</v>
      </c>
      <c r="AI9" s="318" t="n">
        <v>-0.0775</v>
      </c>
      <c r="AJ9" s="318" t="n">
        <v>-0.1375</v>
      </c>
      <c r="AK9" s="318" t="n">
        <v>-0.0225</v>
      </c>
      <c r="AL9" s="318" t="n">
        <v>0.0175</v>
      </c>
      <c r="AM9" s="318" t="n">
        <v>0.41</v>
      </c>
      <c r="AN9" s="318" t="n">
        <v>0.015</v>
      </c>
      <c r="AO9" s="318" t="n">
        <v>-0.64</v>
      </c>
      <c r="AP9" s="318" t="n">
        <v>-0.175</v>
      </c>
      <c r="AQ9" s="318" t="n">
        <v>-0.36</v>
      </c>
      <c r="AR9" s="318" t="n">
        <v>-0.275</v>
      </c>
      <c r="AS9" s="318" t="n">
        <v>-0.53</v>
      </c>
      <c r="AT9" s="318" t="n">
        <v>-0.64</v>
      </c>
      <c r="AU9" s="318" t="n">
        <v>-0.09</v>
      </c>
      <c r="AV9" s="318" t="n">
        <v>-0.64</v>
      </c>
      <c r="AW9" s="318" t="n">
        <v>-0.235</v>
      </c>
      <c r="AX9" s="318" t="n">
        <v>-0.135</v>
      </c>
      <c r="AY9" s="318" t="n">
        <v>-0.165</v>
      </c>
      <c r="AZ9" s="318" t="n">
        <v>-0.085</v>
      </c>
      <c r="BA9" s="318" t="n">
        <v>-0.1425</v>
      </c>
      <c r="BB9" s="318" t="n">
        <v>-0.025</v>
      </c>
      <c r="BC9" s="318" t="n">
        <v>-0.0825</v>
      </c>
      <c r="BD9" s="318" t="n">
        <v>-0.015</v>
      </c>
      <c r="BE9" s="318" t="n">
        <v>-0.0775</v>
      </c>
      <c r="BF9" s="318" t="n">
        <v>-0.12</v>
      </c>
      <c r="BG9" s="318" t="n">
        <v>0.085</v>
      </c>
      <c r="BH9" s="318" t="n">
        <v>0.135</v>
      </c>
      <c r="BI9" s="318" t="n">
        <v>0.09</v>
      </c>
      <c r="BJ9" s="318" t="n">
        <v>0.34</v>
      </c>
      <c r="BK9" s="318" t="n">
        <v>-0.0025</v>
      </c>
      <c r="BL9" s="318" t="n">
        <v>-0.015</v>
      </c>
      <c r="BM9" s="318" t="n">
        <v>0.005</v>
      </c>
      <c r="BN9" s="318" t="n">
        <v>-0.01</v>
      </c>
      <c r="BO9" s="318" t="n">
        <v>0.02</v>
      </c>
      <c r="BP9" s="318" t="n">
        <v>-0.01</v>
      </c>
      <c r="BQ9" s="318" t="n">
        <v>0</v>
      </c>
      <c r="BR9" s="318" t="n">
        <v>0.02</v>
      </c>
      <c r="BS9" s="0" t="n">
        <v>-0.005</v>
      </c>
      <c r="BT9" s="0" t="n">
        <v>0.03</v>
      </c>
      <c r="BU9" s="0" t="n">
        <v>-0.01</v>
      </c>
      <c r="BV9" s="0" t="n">
        <v>0.02</v>
      </c>
    </row>
    <row r="10" customFormat="false" ht="12.75" hidden="false" customHeight="false" outlineLevel="0" collapsed="false">
      <c r="A10" s="320" t="e">
        <f aca="false">#REF!-B10</f>
        <v>#REF!</v>
      </c>
      <c r="B10" s="320" t="n">
        <v>4.434</v>
      </c>
      <c r="C10" s="327" t="n">
        <f aca="false">EOMONTH(C9,0)+1</f>
        <v>37408</v>
      </c>
      <c r="D10" s="0" t="n">
        <v>2.421</v>
      </c>
      <c r="E10" s="320" t="n">
        <v>0.593</v>
      </c>
      <c r="F10" s="318" t="n">
        <v>0.0201562427304349</v>
      </c>
      <c r="G10" s="318" t="n">
        <v>-0.13</v>
      </c>
      <c r="H10" s="318" t="n">
        <v>-0.15</v>
      </c>
      <c r="I10" s="330" t="n">
        <v>-0.09</v>
      </c>
      <c r="J10" s="330" t="n">
        <v>-0.1975</v>
      </c>
      <c r="K10" s="318" t="n">
        <v>-0.09</v>
      </c>
      <c r="L10" s="318" t="n">
        <v>-0.07</v>
      </c>
      <c r="M10" s="318" t="n">
        <v>-0.095</v>
      </c>
      <c r="N10" s="318" t="n">
        <v>-0.12</v>
      </c>
      <c r="O10" s="318" t="n">
        <v>-0.12</v>
      </c>
      <c r="P10" s="318" t="n">
        <v>-0.13</v>
      </c>
      <c r="Q10" s="318" t="n">
        <v>-0.1125</v>
      </c>
      <c r="R10" s="318" t="n">
        <v>-0.0875</v>
      </c>
      <c r="S10" s="318" t="n">
        <v>0.085</v>
      </c>
      <c r="T10" s="318" t="n">
        <v>0.135</v>
      </c>
      <c r="U10" s="318" t="n">
        <v>0.03</v>
      </c>
      <c r="V10" s="318" t="n">
        <v>0.07</v>
      </c>
      <c r="W10" s="318" t="n">
        <v>0.13</v>
      </c>
      <c r="X10" s="318" t="n">
        <v>0.135</v>
      </c>
      <c r="Y10" s="318" t="n">
        <v>-0.025</v>
      </c>
      <c r="Z10" s="318" t="n">
        <v>-0.055</v>
      </c>
      <c r="AA10" s="318" t="n">
        <v>0.01</v>
      </c>
      <c r="AB10" s="318" t="n">
        <v>-0.0225</v>
      </c>
      <c r="AC10" s="318" t="n">
        <v>0.0025</v>
      </c>
      <c r="AD10" s="318" t="n">
        <v>-0.0275</v>
      </c>
      <c r="AE10" s="318" t="n">
        <v>-0.0775</v>
      </c>
      <c r="AF10" s="318" t="n">
        <v>-0.065</v>
      </c>
      <c r="AG10" s="318" t="n">
        <v>-0.09</v>
      </c>
      <c r="AH10" s="318" t="n">
        <v>-0.02</v>
      </c>
      <c r="AI10" s="318" t="n">
        <v>-0.0775</v>
      </c>
      <c r="AJ10" s="318" t="n">
        <v>-0.1375</v>
      </c>
      <c r="AK10" s="318" t="n">
        <v>-0.0225</v>
      </c>
      <c r="AL10" s="318" t="n">
        <v>0.0175</v>
      </c>
      <c r="AM10" s="318" t="n">
        <v>0.38</v>
      </c>
      <c r="AN10" s="318" t="n">
        <v>0.02</v>
      </c>
      <c r="AO10" s="318" t="n">
        <v>-0.64</v>
      </c>
      <c r="AP10" s="318" t="n">
        <v>-0.17</v>
      </c>
      <c r="AQ10" s="318" t="n">
        <v>-0.36</v>
      </c>
      <c r="AR10" s="318" t="n">
        <v>-0.275</v>
      </c>
      <c r="AS10" s="318" t="n">
        <v>-0.53</v>
      </c>
      <c r="AT10" s="318" t="n">
        <v>-0.64</v>
      </c>
      <c r="AU10" s="318" t="n">
        <v>-0.07</v>
      </c>
      <c r="AV10" s="318" t="n">
        <v>-0.64</v>
      </c>
      <c r="AW10" s="318" t="n">
        <v>-0.2025</v>
      </c>
      <c r="AX10" s="318" t="n">
        <v>-0.1275</v>
      </c>
      <c r="AY10" s="318" t="n">
        <v>-0.1425</v>
      </c>
      <c r="AZ10" s="318" t="n">
        <v>-0.085</v>
      </c>
      <c r="BA10" s="318" t="n">
        <v>-0.135</v>
      </c>
      <c r="BB10" s="318" t="n">
        <v>-0.025</v>
      </c>
      <c r="BC10" s="318" t="n">
        <v>-0.0825</v>
      </c>
      <c r="BD10" s="318" t="n">
        <v>-0.01</v>
      </c>
      <c r="BE10" s="318" t="n">
        <v>-0.0775</v>
      </c>
      <c r="BF10" s="318" t="n">
        <v>-0.12</v>
      </c>
      <c r="BG10" s="318" t="n">
        <v>0.085</v>
      </c>
      <c r="BH10" s="318" t="n">
        <v>0.135</v>
      </c>
      <c r="BI10" s="318" t="n">
        <v>0.09</v>
      </c>
      <c r="BJ10" s="318" t="n">
        <v>0.3125</v>
      </c>
      <c r="BK10" s="318" t="n">
        <v>-0.0025</v>
      </c>
      <c r="BL10" s="318" t="n">
        <v>-0.015</v>
      </c>
      <c r="BM10" s="318" t="n">
        <v>0.005</v>
      </c>
      <c r="BN10" s="318" t="n">
        <v>-0.01</v>
      </c>
      <c r="BO10" s="318" t="n">
        <v>0.02</v>
      </c>
      <c r="BP10" s="318" t="n">
        <v>-0.01</v>
      </c>
      <c r="BQ10" s="318" t="n">
        <v>0</v>
      </c>
      <c r="BR10" s="318" t="n">
        <v>0.02</v>
      </c>
      <c r="BS10" s="0" t="n">
        <v>-0.005</v>
      </c>
      <c r="BT10" s="0" t="n">
        <v>0.03</v>
      </c>
      <c r="BU10" s="0" t="n">
        <v>-0.01</v>
      </c>
      <c r="BV10" s="0" t="n">
        <v>0.02</v>
      </c>
    </row>
    <row r="11" customFormat="false" ht="12.75" hidden="false" customHeight="false" outlineLevel="0" collapsed="false">
      <c r="A11" s="320" t="e">
        <f aca="false">#REF!-B11</f>
        <v>#REF!</v>
      </c>
      <c r="B11" s="320" t="n">
        <v>4.533</v>
      </c>
      <c r="C11" s="327" t="n">
        <f aca="false">EOMONTH(C10,0)+1</f>
        <v>37438</v>
      </c>
      <c r="D11" s="0" t="n">
        <v>2.483</v>
      </c>
      <c r="E11" s="320" t="n">
        <v>0.573</v>
      </c>
      <c r="F11" s="318" t="n">
        <v>0.0202831183250214</v>
      </c>
      <c r="G11" s="318" t="n">
        <v>-0.13</v>
      </c>
      <c r="H11" s="318" t="n">
        <v>-0.15</v>
      </c>
      <c r="I11" s="330" t="n">
        <v>-0.09</v>
      </c>
      <c r="J11" s="330" t="n">
        <v>-0.1925</v>
      </c>
      <c r="K11" s="318" t="n">
        <v>-0.09</v>
      </c>
      <c r="L11" s="318" t="n">
        <v>-0.07</v>
      </c>
      <c r="M11" s="318" t="n">
        <v>-0.095</v>
      </c>
      <c r="N11" s="318" t="n">
        <v>-0.12</v>
      </c>
      <c r="O11" s="318" t="n">
        <v>-0.12</v>
      </c>
      <c r="P11" s="318" t="n">
        <v>-0.13</v>
      </c>
      <c r="Q11" s="318" t="n">
        <v>-0.1125</v>
      </c>
      <c r="R11" s="318" t="n">
        <v>-0.0875</v>
      </c>
      <c r="S11" s="318" t="n">
        <v>0.085</v>
      </c>
      <c r="T11" s="318" t="n">
        <v>0.135</v>
      </c>
      <c r="U11" s="318" t="n">
        <v>0.03</v>
      </c>
      <c r="V11" s="318" t="n">
        <v>0.07</v>
      </c>
      <c r="W11" s="318" t="n">
        <v>0.15</v>
      </c>
      <c r="X11" s="318" t="n">
        <v>0.165</v>
      </c>
      <c r="Y11" s="318" t="n">
        <v>-0.025</v>
      </c>
      <c r="Z11" s="318" t="n">
        <v>-0.0525</v>
      </c>
      <c r="AA11" s="318" t="n">
        <v>0.0125</v>
      </c>
      <c r="AB11" s="318" t="n">
        <v>-0.02</v>
      </c>
      <c r="AC11" s="318" t="n">
        <v>0.0025</v>
      </c>
      <c r="AD11" s="318" t="n">
        <v>-0.0275</v>
      </c>
      <c r="AE11" s="318" t="n">
        <v>-0.0775</v>
      </c>
      <c r="AF11" s="318" t="n">
        <v>-0.065</v>
      </c>
      <c r="AG11" s="318" t="n">
        <v>-0.09</v>
      </c>
      <c r="AH11" s="318" t="n">
        <v>-0.02</v>
      </c>
      <c r="AI11" s="318" t="n">
        <v>-0.0775</v>
      </c>
      <c r="AJ11" s="318" t="n">
        <v>-0.1375</v>
      </c>
      <c r="AK11" s="318" t="n">
        <v>-0.0225</v>
      </c>
      <c r="AL11" s="318" t="n">
        <v>0.0175</v>
      </c>
      <c r="AM11" s="318" t="n">
        <v>0.365</v>
      </c>
      <c r="AN11" s="318" t="n">
        <v>0.0325</v>
      </c>
      <c r="AO11" s="318" t="n">
        <v>-0.64</v>
      </c>
      <c r="AP11" s="318" t="n">
        <v>-0.165</v>
      </c>
      <c r="AQ11" s="318" t="n">
        <v>-0.36</v>
      </c>
      <c r="AR11" s="318" t="n">
        <v>-0.275</v>
      </c>
      <c r="AS11" s="318" t="n">
        <v>-0.53</v>
      </c>
      <c r="AT11" s="318" t="n">
        <v>-0.64</v>
      </c>
      <c r="AU11" s="318" t="n">
        <v>-0.05</v>
      </c>
      <c r="AV11" s="318" t="n">
        <v>-0.64</v>
      </c>
      <c r="AW11" s="318" t="n">
        <v>-0.15</v>
      </c>
      <c r="AX11" s="318" t="n">
        <v>-0.1225</v>
      </c>
      <c r="AY11" s="318" t="n">
        <v>-0.09</v>
      </c>
      <c r="AZ11" s="318" t="n">
        <v>-0.085</v>
      </c>
      <c r="BA11" s="318" t="n">
        <v>-0.0925</v>
      </c>
      <c r="BB11" s="318" t="n">
        <v>-0.025</v>
      </c>
      <c r="BC11" s="318" t="n">
        <v>-0.0825</v>
      </c>
      <c r="BD11" s="318" t="n">
        <v>0.0025</v>
      </c>
      <c r="BE11" s="318" t="n">
        <v>-0.0775</v>
      </c>
      <c r="BF11" s="318" t="n">
        <v>-0.12</v>
      </c>
      <c r="BG11" s="318" t="n">
        <v>0.085</v>
      </c>
      <c r="BH11" s="318" t="n">
        <v>0.135</v>
      </c>
      <c r="BI11" s="318" t="n">
        <v>0.09</v>
      </c>
      <c r="BJ11" s="318" t="n">
        <v>0.31</v>
      </c>
      <c r="BK11" s="318" t="n">
        <v>-0.0025</v>
      </c>
      <c r="BL11" s="318" t="n">
        <v>-0.015</v>
      </c>
      <c r="BM11" s="318" t="n">
        <v>0.005</v>
      </c>
      <c r="BN11" s="318" t="n">
        <v>-0.01</v>
      </c>
      <c r="BO11" s="318" t="n">
        <v>0.02</v>
      </c>
      <c r="BP11" s="318" t="n">
        <v>-0.01</v>
      </c>
      <c r="BQ11" s="318" t="n">
        <v>0</v>
      </c>
      <c r="BR11" s="318" t="n">
        <v>0.035</v>
      </c>
      <c r="BS11" s="0" t="n">
        <v>-0.005</v>
      </c>
      <c r="BT11" s="0" t="n">
        <v>0.03</v>
      </c>
      <c r="BU11" s="0" t="n">
        <v>-0.01</v>
      </c>
      <c r="BV11" s="0" t="n">
        <v>0.02</v>
      </c>
    </row>
    <row r="12" customFormat="false" ht="12.75" hidden="false" customHeight="false" outlineLevel="0" collapsed="false">
      <c r="A12" s="320" t="e">
        <f aca="false">#REF!-B12</f>
        <v>#REF!</v>
      </c>
      <c r="B12" s="320" t="n">
        <v>4.541</v>
      </c>
      <c r="C12" s="327" t="n">
        <f aca="false">EOMONTH(C11,0)+1</f>
        <v>37469</v>
      </c>
      <c r="D12" s="0" t="n">
        <v>2.536</v>
      </c>
      <c r="E12" s="320" t="n">
        <v>0.568</v>
      </c>
      <c r="F12" s="318" t="n">
        <v>0.020560063885966</v>
      </c>
      <c r="G12" s="318" t="n">
        <v>-0.13</v>
      </c>
      <c r="H12" s="318" t="n">
        <v>-0.15</v>
      </c>
      <c r="I12" s="330" t="n">
        <v>-0.09</v>
      </c>
      <c r="J12" s="330" t="n">
        <v>-0.155</v>
      </c>
      <c r="K12" s="318" t="n">
        <v>-0.09</v>
      </c>
      <c r="L12" s="318" t="n">
        <v>-0.07</v>
      </c>
      <c r="M12" s="318" t="n">
        <v>-0.095</v>
      </c>
      <c r="N12" s="318" t="n">
        <v>-0.12</v>
      </c>
      <c r="O12" s="318" t="n">
        <v>-0.12</v>
      </c>
      <c r="P12" s="318" t="n">
        <v>-0.13</v>
      </c>
      <c r="Q12" s="318" t="n">
        <v>-0.1125</v>
      </c>
      <c r="R12" s="318" t="n">
        <v>-0.0875</v>
      </c>
      <c r="S12" s="318" t="n">
        <v>0.085</v>
      </c>
      <c r="T12" s="318" t="n">
        <v>0.135</v>
      </c>
      <c r="U12" s="318" t="n">
        <v>0.03</v>
      </c>
      <c r="V12" s="318" t="n">
        <v>0.28</v>
      </c>
      <c r="W12" s="318" t="n">
        <v>0.165</v>
      </c>
      <c r="X12" s="318" t="n">
        <v>0.205</v>
      </c>
      <c r="Y12" s="318" t="n">
        <v>-0.025</v>
      </c>
      <c r="Z12" s="318" t="n">
        <v>-0.0525</v>
      </c>
      <c r="AA12" s="318" t="n">
        <v>0.0125</v>
      </c>
      <c r="AB12" s="318" t="n">
        <v>-0.02</v>
      </c>
      <c r="AC12" s="318" t="n">
        <v>0.0025</v>
      </c>
      <c r="AD12" s="318" t="n">
        <v>-0.0275</v>
      </c>
      <c r="AE12" s="318" t="n">
        <v>-0.0775</v>
      </c>
      <c r="AF12" s="318" t="n">
        <v>-0.065</v>
      </c>
      <c r="AG12" s="318" t="n">
        <v>-0.09</v>
      </c>
      <c r="AH12" s="318" t="n">
        <v>-0.02</v>
      </c>
      <c r="AI12" s="318" t="n">
        <v>-0.0775</v>
      </c>
      <c r="AJ12" s="318" t="n">
        <v>-0.1375</v>
      </c>
      <c r="AK12" s="318" t="n">
        <v>-0.0225</v>
      </c>
      <c r="AL12" s="318" t="n">
        <v>0.0175</v>
      </c>
      <c r="AM12" s="318" t="n">
        <v>0.42</v>
      </c>
      <c r="AN12" s="318" t="n">
        <v>0.045</v>
      </c>
      <c r="AO12" s="318" t="n">
        <v>-0.65</v>
      </c>
      <c r="AP12" s="318" t="n">
        <v>-0.125</v>
      </c>
      <c r="AQ12" s="318" t="n">
        <v>-0.33</v>
      </c>
      <c r="AR12" s="318" t="n">
        <v>-0.39</v>
      </c>
      <c r="AS12" s="318" t="n">
        <v>-0.54</v>
      </c>
      <c r="AT12" s="318" t="n">
        <v>-0.65</v>
      </c>
      <c r="AU12" s="318" t="n">
        <v>0.115</v>
      </c>
      <c r="AV12" s="318" t="n">
        <v>-0.65</v>
      </c>
      <c r="AW12" s="318" t="n">
        <v>-0.16</v>
      </c>
      <c r="AX12" s="318" t="n">
        <v>-0.085</v>
      </c>
      <c r="AY12" s="318" t="n">
        <v>-0.1</v>
      </c>
      <c r="AZ12" s="318" t="n">
        <v>-0.085</v>
      </c>
      <c r="BA12" s="318" t="n">
        <v>-0.09</v>
      </c>
      <c r="BB12" s="318" t="n">
        <v>-0.025</v>
      </c>
      <c r="BC12" s="318" t="n">
        <v>-0.0825</v>
      </c>
      <c r="BD12" s="318" t="n">
        <v>0.015</v>
      </c>
      <c r="BE12" s="318" t="n">
        <v>-0.0775</v>
      </c>
      <c r="BF12" s="318" t="n">
        <v>-0.02</v>
      </c>
      <c r="BG12" s="318" t="n">
        <v>0.085</v>
      </c>
      <c r="BH12" s="318" t="n">
        <v>0.135</v>
      </c>
      <c r="BI12" s="318" t="n">
        <v>0.09</v>
      </c>
      <c r="BJ12" s="318" t="n">
        <v>0.33</v>
      </c>
      <c r="BK12" s="318" t="n">
        <v>-0.0025</v>
      </c>
      <c r="BL12" s="318" t="n">
        <v>-0.01</v>
      </c>
      <c r="BM12" s="318" t="n">
        <v>0.005</v>
      </c>
      <c r="BN12" s="318" t="n">
        <v>-0.01</v>
      </c>
      <c r="BO12" s="318" t="n">
        <v>0.02</v>
      </c>
      <c r="BP12" s="318" t="n">
        <v>-0.01</v>
      </c>
      <c r="BQ12" s="318" t="n">
        <v>0</v>
      </c>
      <c r="BR12" s="318" t="n">
        <v>0.035</v>
      </c>
      <c r="BS12" s="0" t="n">
        <v>-0.005</v>
      </c>
      <c r="BT12" s="0" t="n">
        <v>0.03</v>
      </c>
      <c r="BU12" s="0" t="n">
        <v>-0.01</v>
      </c>
      <c r="BV12" s="0" t="n">
        <v>0.02</v>
      </c>
    </row>
    <row r="13" customFormat="false" ht="12.75" hidden="false" customHeight="false" outlineLevel="0" collapsed="false">
      <c r="A13" s="320" t="e">
        <f aca="false">#REF!-B13</f>
        <v>#REF!</v>
      </c>
      <c r="B13" s="320" t="n">
        <v>4.321</v>
      </c>
      <c r="C13" s="327" t="n">
        <f aca="false">EOMONTH(C12,0)+1</f>
        <v>37500</v>
      </c>
      <c r="D13" s="328" t="n">
        <v>2.551</v>
      </c>
      <c r="E13" s="331" t="n">
        <v>0.563</v>
      </c>
      <c r="F13" s="318" t="n">
        <v>0.0210943841345661</v>
      </c>
      <c r="G13" s="318" t="n">
        <v>-0.13</v>
      </c>
      <c r="H13" s="318" t="n">
        <v>-0.15</v>
      </c>
      <c r="I13" s="330" t="n">
        <v>-0.09</v>
      </c>
      <c r="J13" s="330" t="n">
        <v>-0.14</v>
      </c>
      <c r="K13" s="318" t="n">
        <v>-0.09</v>
      </c>
      <c r="L13" s="318" t="n">
        <v>-0.07</v>
      </c>
      <c r="M13" s="318" t="n">
        <v>-0.095</v>
      </c>
      <c r="N13" s="318" t="n">
        <v>-0.12</v>
      </c>
      <c r="O13" s="318" t="n">
        <v>-0.12</v>
      </c>
      <c r="P13" s="318" t="n">
        <v>-0.13</v>
      </c>
      <c r="Q13" s="318" t="n">
        <v>-0.1125</v>
      </c>
      <c r="R13" s="318" t="n">
        <v>-0.0875</v>
      </c>
      <c r="S13" s="318" t="n">
        <v>0.085</v>
      </c>
      <c r="T13" s="318" t="n">
        <v>0.135</v>
      </c>
      <c r="U13" s="318" t="n">
        <v>0.03</v>
      </c>
      <c r="V13" s="318" t="n">
        <v>0.28</v>
      </c>
      <c r="W13" s="318" t="n">
        <v>0.165</v>
      </c>
      <c r="X13" s="318" t="n">
        <v>0.205</v>
      </c>
      <c r="Y13" s="318" t="n">
        <v>-0.025</v>
      </c>
      <c r="Z13" s="318" t="n">
        <v>-0.0525</v>
      </c>
      <c r="AA13" s="318" t="n">
        <v>0.0125</v>
      </c>
      <c r="AB13" s="318" t="n">
        <v>-0.02</v>
      </c>
      <c r="AC13" s="318" t="n">
        <v>0.0025</v>
      </c>
      <c r="AD13" s="318" t="n">
        <v>-0.0275</v>
      </c>
      <c r="AE13" s="318" t="n">
        <v>-0.0775</v>
      </c>
      <c r="AF13" s="318" t="n">
        <v>-0.065</v>
      </c>
      <c r="AG13" s="318" t="n">
        <v>-0.09</v>
      </c>
      <c r="AH13" s="318" t="n">
        <v>-0.02</v>
      </c>
      <c r="AI13" s="318" t="n">
        <v>-0.0775</v>
      </c>
      <c r="AJ13" s="318" t="n">
        <v>-0.1375</v>
      </c>
      <c r="AK13" s="318" t="n">
        <v>-0.0225</v>
      </c>
      <c r="AL13" s="318" t="n">
        <v>0.0175</v>
      </c>
      <c r="AM13" s="318" t="n">
        <v>0.42</v>
      </c>
      <c r="AN13" s="318" t="n">
        <v>0.05</v>
      </c>
      <c r="AO13" s="318" t="n">
        <v>-0.65</v>
      </c>
      <c r="AP13" s="318" t="n">
        <v>-0.11</v>
      </c>
      <c r="AQ13" s="318" t="n">
        <v>-0.33</v>
      </c>
      <c r="AR13" s="318" t="n">
        <v>-0.39</v>
      </c>
      <c r="AS13" s="318" t="n">
        <v>-0.54</v>
      </c>
      <c r="AT13" s="318" t="n">
        <v>-0.65</v>
      </c>
      <c r="AU13" s="318" t="n">
        <v>0.125</v>
      </c>
      <c r="AV13" s="318" t="n">
        <v>-0.65</v>
      </c>
      <c r="AW13" s="318" t="n">
        <v>-0.155</v>
      </c>
      <c r="AX13" s="318" t="n">
        <v>-0.07</v>
      </c>
      <c r="AY13" s="318" t="n">
        <v>-0.095</v>
      </c>
      <c r="AZ13" s="318" t="n">
        <v>-0.085</v>
      </c>
      <c r="BA13" s="318" t="n">
        <v>-0.0875</v>
      </c>
      <c r="BB13" s="318" t="n">
        <v>-0.025</v>
      </c>
      <c r="BC13" s="318" t="n">
        <v>-0.0825</v>
      </c>
      <c r="BD13" s="318" t="n">
        <v>0.02</v>
      </c>
      <c r="BE13" s="318" t="n">
        <v>-0.0775</v>
      </c>
      <c r="BF13" s="318" t="n">
        <v>0.01</v>
      </c>
      <c r="BG13" s="318" t="n">
        <v>0.085</v>
      </c>
      <c r="BH13" s="318" t="n">
        <v>0.135</v>
      </c>
      <c r="BI13" s="318" t="n">
        <v>0.09</v>
      </c>
      <c r="BJ13" s="318" t="n">
        <v>0.33</v>
      </c>
      <c r="BK13" s="318" t="n">
        <v>-0.0025</v>
      </c>
      <c r="BL13" s="318" t="n">
        <v>-0.01</v>
      </c>
      <c r="BM13" s="318" t="n">
        <v>0.005</v>
      </c>
      <c r="BN13" s="318" t="n">
        <v>-0.01</v>
      </c>
      <c r="BO13" s="318" t="n">
        <v>0.02</v>
      </c>
      <c r="BP13" s="318" t="n">
        <v>-0.01</v>
      </c>
      <c r="BQ13" s="318" t="n">
        <v>0</v>
      </c>
      <c r="BR13" s="318" t="n">
        <v>0.01</v>
      </c>
      <c r="BS13" s="0" t="n">
        <v>-0.005</v>
      </c>
      <c r="BT13" s="0" t="n">
        <v>0.03</v>
      </c>
      <c r="BU13" s="0" t="n">
        <v>-0.01</v>
      </c>
      <c r="BV13" s="0" t="n">
        <v>0.02</v>
      </c>
    </row>
    <row r="14" customFormat="false" ht="12.75" hidden="false" customHeight="false" outlineLevel="0" collapsed="false">
      <c r="A14" s="320" t="e">
        <f aca="false">#REF!-B14</f>
        <v>#REF!</v>
      </c>
      <c r="B14" s="320" t="n">
        <v>4.101</v>
      </c>
      <c r="C14" s="327" t="n">
        <f aca="false">EOMONTH(C13,0)+1</f>
        <v>37530</v>
      </c>
      <c r="D14" s="0" t="n">
        <v>2.588</v>
      </c>
      <c r="E14" s="320" t="n">
        <v>0.56</v>
      </c>
      <c r="F14" s="318" t="n">
        <v>0.0216287044798529</v>
      </c>
      <c r="G14" s="318" t="n">
        <v>-0.13</v>
      </c>
      <c r="H14" s="318" t="n">
        <v>-0.15</v>
      </c>
      <c r="I14" s="330" t="n">
        <v>-0.09</v>
      </c>
      <c r="J14" s="330" t="n">
        <v>-0.1675</v>
      </c>
      <c r="K14" s="318" t="n">
        <v>-0.09</v>
      </c>
      <c r="L14" s="318" t="n">
        <v>-0.07</v>
      </c>
      <c r="M14" s="318" t="n">
        <v>-0.095</v>
      </c>
      <c r="N14" s="318" t="n">
        <v>-0.12</v>
      </c>
      <c r="O14" s="318" t="n">
        <v>-0.12</v>
      </c>
      <c r="P14" s="318" t="n">
        <v>-0.13</v>
      </c>
      <c r="Q14" s="318" t="n">
        <v>-0.1125</v>
      </c>
      <c r="R14" s="318" t="n">
        <v>-0.0875</v>
      </c>
      <c r="S14" s="318" t="n">
        <v>0.085</v>
      </c>
      <c r="T14" s="318" t="n">
        <v>0.135</v>
      </c>
      <c r="U14" s="318" t="n">
        <v>0.03</v>
      </c>
      <c r="V14" s="318" t="n">
        <v>0.28</v>
      </c>
      <c r="W14" s="318" t="n">
        <v>0.13</v>
      </c>
      <c r="X14" s="318" t="n">
        <v>0.145</v>
      </c>
      <c r="Y14" s="318" t="n">
        <v>-0.025</v>
      </c>
      <c r="Z14" s="318" t="n">
        <v>-0.0575</v>
      </c>
      <c r="AA14" s="318" t="n">
        <v>0.0075</v>
      </c>
      <c r="AB14" s="318" t="n">
        <v>-0.025</v>
      </c>
      <c r="AC14" s="318" t="n">
        <v>0.0025</v>
      </c>
      <c r="AD14" s="318" t="n">
        <v>-0.0275</v>
      </c>
      <c r="AE14" s="318" t="n">
        <v>-0.0775</v>
      </c>
      <c r="AF14" s="318" t="n">
        <v>-0.065</v>
      </c>
      <c r="AG14" s="318" t="n">
        <v>-0.09</v>
      </c>
      <c r="AH14" s="318" t="n">
        <v>-0.02</v>
      </c>
      <c r="AI14" s="318" t="n">
        <v>-0.0775</v>
      </c>
      <c r="AJ14" s="318" t="n">
        <v>-0.1375</v>
      </c>
      <c r="AK14" s="318" t="n">
        <v>-0.0225</v>
      </c>
      <c r="AL14" s="318" t="n">
        <v>0.0175</v>
      </c>
      <c r="AM14" s="318" t="n">
        <v>0.34</v>
      </c>
      <c r="AN14" s="318" t="n">
        <v>0.04</v>
      </c>
      <c r="AO14" s="318" t="n">
        <v>-0.65</v>
      </c>
      <c r="AP14" s="318" t="n">
        <v>-0.1375</v>
      </c>
      <c r="AQ14" s="318" t="n">
        <v>-0.33</v>
      </c>
      <c r="AR14" s="318" t="n">
        <v>-0.39</v>
      </c>
      <c r="AS14" s="318" t="n">
        <v>-0.54</v>
      </c>
      <c r="AT14" s="318" t="n">
        <v>-0.65</v>
      </c>
      <c r="AU14" s="318" t="n">
        <v>0.115</v>
      </c>
      <c r="AV14" s="318" t="n">
        <v>-0.65</v>
      </c>
      <c r="AW14" s="318" t="n">
        <v>-0.165</v>
      </c>
      <c r="AX14" s="318" t="n">
        <v>-0.0975</v>
      </c>
      <c r="AY14" s="318" t="n">
        <v>-0.105</v>
      </c>
      <c r="AZ14" s="318" t="n">
        <v>-0.085</v>
      </c>
      <c r="BA14" s="318" t="n">
        <v>-0.0925</v>
      </c>
      <c r="BB14" s="318" t="n">
        <v>-0.025</v>
      </c>
      <c r="BC14" s="318" t="n">
        <v>-0.0825</v>
      </c>
      <c r="BD14" s="318" t="n">
        <v>0.01</v>
      </c>
      <c r="BE14" s="318" t="n">
        <v>-0.0775</v>
      </c>
      <c r="BF14" s="318" t="n">
        <v>0.01</v>
      </c>
      <c r="BG14" s="318" t="n">
        <v>0.085</v>
      </c>
      <c r="BH14" s="318" t="n">
        <v>0.135</v>
      </c>
      <c r="BI14" s="318" t="n">
        <v>0.09</v>
      </c>
      <c r="BJ14" s="318" t="n">
        <v>0.32</v>
      </c>
      <c r="BK14" s="318" t="n">
        <v>-0.0025</v>
      </c>
      <c r="BL14" s="318" t="n">
        <v>-0.01</v>
      </c>
      <c r="BM14" s="318" t="n">
        <v>0.005</v>
      </c>
      <c r="BN14" s="318" t="n">
        <v>-0.01</v>
      </c>
      <c r="BO14" s="318" t="n">
        <v>0</v>
      </c>
      <c r="BP14" s="318" t="n">
        <v>-0.01</v>
      </c>
      <c r="BQ14" s="318" t="n">
        <v>0</v>
      </c>
      <c r="BR14" s="318" t="n">
        <v>0.01</v>
      </c>
      <c r="BS14" s="0" t="n">
        <v>-0.005</v>
      </c>
      <c r="BT14" s="0" t="n">
        <v>0.03</v>
      </c>
      <c r="BU14" s="0" t="n">
        <v>-0.01</v>
      </c>
      <c r="BV14" s="0" t="n">
        <v>0.02</v>
      </c>
    </row>
    <row r="15" customFormat="false" ht="12.75" hidden="false" customHeight="false" outlineLevel="0" collapsed="false">
      <c r="A15" s="320" t="e">
        <f aca="false">#REF!-B15</f>
        <v>#REF!</v>
      </c>
      <c r="B15" s="320" t="n">
        <v>3.861</v>
      </c>
      <c r="C15" s="327" t="n">
        <f aca="false">EOMONTH(C14,0)+1</f>
        <v>37561</v>
      </c>
      <c r="D15" s="0" t="n">
        <v>2.818</v>
      </c>
      <c r="E15" s="320" t="n">
        <v>0.56</v>
      </c>
      <c r="F15" s="318" t="n">
        <v>0.0222295635777168</v>
      </c>
      <c r="G15" s="318" t="n">
        <v>-0.13</v>
      </c>
      <c r="H15" s="318" t="n">
        <v>-0.15</v>
      </c>
      <c r="I15" s="330" t="n">
        <v>-0.09</v>
      </c>
      <c r="J15" s="330" t="n">
        <v>-0.2025</v>
      </c>
      <c r="K15" s="318" t="n">
        <v>-0.09</v>
      </c>
      <c r="L15" s="318" t="n">
        <v>-0.07</v>
      </c>
      <c r="M15" s="318" t="n">
        <v>-0.1275</v>
      </c>
      <c r="N15" s="318" t="n">
        <v>-0.12</v>
      </c>
      <c r="O15" s="318" t="n">
        <v>-0.12</v>
      </c>
      <c r="P15" s="318" t="n">
        <v>-0.13</v>
      </c>
      <c r="Q15" s="318" t="n">
        <v>-0.1125</v>
      </c>
      <c r="R15" s="318" t="n">
        <v>-0.0875</v>
      </c>
      <c r="S15" s="318" t="n">
        <v>0.085</v>
      </c>
      <c r="T15" s="318" t="n">
        <v>0.135</v>
      </c>
      <c r="U15" s="318" t="n">
        <v>0.03</v>
      </c>
      <c r="V15" s="318" t="n">
        <v>0.16</v>
      </c>
      <c r="W15" s="318" t="n">
        <v>0.15</v>
      </c>
      <c r="X15" s="318" t="n">
        <v>0.175</v>
      </c>
      <c r="Y15" s="318" t="n">
        <v>-0.025</v>
      </c>
      <c r="Z15" s="318" t="n">
        <v>-0.0575</v>
      </c>
      <c r="AA15" s="318" t="n">
        <v>0.0075</v>
      </c>
      <c r="AB15" s="318" t="n">
        <v>-0.025</v>
      </c>
      <c r="AC15" s="318" t="n">
        <v>0.0025</v>
      </c>
      <c r="AD15" s="318" t="n">
        <v>-0.0275</v>
      </c>
      <c r="AE15" s="318" t="n">
        <v>-0.0775</v>
      </c>
      <c r="AF15" s="318" t="n">
        <v>-0.065</v>
      </c>
      <c r="AG15" s="318" t="n">
        <v>-0.09</v>
      </c>
      <c r="AH15" s="318" t="n">
        <v>-0.02</v>
      </c>
      <c r="AI15" s="318" t="n">
        <v>-0.0775</v>
      </c>
      <c r="AJ15" s="318" t="n">
        <v>-0.1375</v>
      </c>
      <c r="AK15" s="318" t="n">
        <v>-0.0225</v>
      </c>
      <c r="AL15" s="318" t="n">
        <v>0.0175</v>
      </c>
      <c r="AM15" s="318" t="n">
        <v>0.36</v>
      </c>
      <c r="AN15" s="318" t="n">
        <v>0.0075</v>
      </c>
      <c r="AO15" s="318" t="n">
        <v>-0.69</v>
      </c>
      <c r="AP15" s="318" t="n">
        <v>-0.1725</v>
      </c>
      <c r="AQ15" s="318" t="n">
        <v>-0.36</v>
      </c>
      <c r="AR15" s="318" t="n">
        <v>-0.24</v>
      </c>
      <c r="AS15" s="318" t="n">
        <v>-0.58</v>
      </c>
      <c r="AT15" s="318" t="n">
        <v>-0.69</v>
      </c>
      <c r="AU15" s="318" t="n">
        <v>0.03</v>
      </c>
      <c r="AV15" s="318" t="n">
        <v>-0.69</v>
      </c>
      <c r="AW15" s="318" t="n">
        <v>-0.1525</v>
      </c>
      <c r="AX15" s="318" t="n">
        <v>-0.1325</v>
      </c>
      <c r="AY15" s="318" t="n">
        <v>-0.0925</v>
      </c>
      <c r="AZ15" s="318" t="n">
        <v>-0.085</v>
      </c>
      <c r="BA15" s="318" t="n">
        <v>-0.095</v>
      </c>
      <c r="BB15" s="318" t="n">
        <v>-0.025</v>
      </c>
      <c r="BC15" s="318" t="n">
        <v>-0.0825</v>
      </c>
      <c r="BD15" s="318" t="n">
        <v>-0.0225</v>
      </c>
      <c r="BE15" s="318" t="n">
        <v>-0.0775</v>
      </c>
      <c r="BF15" s="318" t="n">
        <v>0.035</v>
      </c>
      <c r="BG15" s="318" t="n">
        <v>0.085</v>
      </c>
      <c r="BH15" s="318" t="n">
        <v>0.135</v>
      </c>
      <c r="BI15" s="318" t="n">
        <v>0.09</v>
      </c>
      <c r="BJ15" s="318" t="n">
        <v>0.38</v>
      </c>
      <c r="BK15" s="318" t="n">
        <v>0</v>
      </c>
      <c r="BL15" s="318" t="n">
        <v>-0.015</v>
      </c>
      <c r="BM15" s="318" t="n">
        <v>0.005</v>
      </c>
      <c r="BN15" s="318" t="n">
        <v>-0.01</v>
      </c>
      <c r="BO15" s="318" t="n">
        <v>0.02</v>
      </c>
      <c r="BP15" s="318" t="n">
        <v>-0.01</v>
      </c>
      <c r="BQ15" s="318" t="n">
        <v>0</v>
      </c>
      <c r="BR15" s="318" t="n">
        <v>0.01</v>
      </c>
      <c r="BS15" s="0" t="n">
        <v>-0.005</v>
      </c>
      <c r="BT15" s="0" t="n">
        <v>0.03</v>
      </c>
      <c r="BU15" s="0" t="n">
        <v>-0.01</v>
      </c>
      <c r="BV15" s="0" t="n">
        <v>0.02</v>
      </c>
    </row>
    <row r="16" customFormat="false" ht="12.75" hidden="false" customHeight="false" outlineLevel="0" collapsed="false">
      <c r="A16" s="320" t="e">
        <f aca="false">#REF!-B16</f>
        <v>#REF!</v>
      </c>
      <c r="B16" s="320" t="n">
        <v>3.735</v>
      </c>
      <c r="C16" s="327" t="n">
        <f aca="false">EOMONTH(C15,0)+1</f>
        <v>37591</v>
      </c>
      <c r="D16" s="0" t="n">
        <v>3.048</v>
      </c>
      <c r="E16" s="320" t="n">
        <v>0.553</v>
      </c>
      <c r="F16" s="318" t="n">
        <v>0.0229691206647376</v>
      </c>
      <c r="G16" s="318" t="n">
        <v>-0.13</v>
      </c>
      <c r="H16" s="318" t="n">
        <v>-0.15</v>
      </c>
      <c r="I16" s="330" t="n">
        <v>-0.01</v>
      </c>
      <c r="J16" s="330" t="n">
        <v>-0.2</v>
      </c>
      <c r="K16" s="318" t="n">
        <v>0</v>
      </c>
      <c r="L16" s="318" t="n">
        <v>-0.08</v>
      </c>
      <c r="M16" s="318" t="n">
        <v>-0.11</v>
      </c>
      <c r="N16" s="318" t="n">
        <v>-0.12</v>
      </c>
      <c r="O16" s="318" t="n">
        <v>-0.12</v>
      </c>
      <c r="P16" s="318" t="n">
        <v>-0.13</v>
      </c>
      <c r="Q16" s="318" t="n">
        <v>-0.115</v>
      </c>
      <c r="R16" s="318" t="n">
        <v>-0.095</v>
      </c>
      <c r="S16" s="318" t="n">
        <v>0.105</v>
      </c>
      <c r="T16" s="318" t="n">
        <v>0.155</v>
      </c>
      <c r="U16" s="318" t="n">
        <v>0.09</v>
      </c>
      <c r="V16" s="318" t="n">
        <v>0.22</v>
      </c>
      <c r="W16" s="318" t="n">
        <v>0.195</v>
      </c>
      <c r="X16" s="318" t="n">
        <v>0.26</v>
      </c>
      <c r="Y16" s="318" t="n">
        <v>-0.0225</v>
      </c>
      <c r="Z16" s="318" t="n">
        <v>-0.0425</v>
      </c>
      <c r="AA16" s="318" t="n">
        <v>0.0025</v>
      </c>
      <c r="AB16" s="318" t="n">
        <v>-0.025</v>
      </c>
      <c r="AC16" s="318" t="n">
        <v>0.0025</v>
      </c>
      <c r="AD16" s="318" t="n">
        <v>-0.025</v>
      </c>
      <c r="AE16" s="318" t="n">
        <v>-0.075</v>
      </c>
      <c r="AF16" s="318" t="n">
        <v>-0.0675</v>
      </c>
      <c r="AG16" s="318" t="n">
        <v>-0.0925</v>
      </c>
      <c r="AH16" s="318" t="n">
        <v>-0.02</v>
      </c>
      <c r="AI16" s="318" t="n">
        <v>-0.0725</v>
      </c>
      <c r="AJ16" s="318" t="n">
        <v>-0.135</v>
      </c>
      <c r="AK16" s="318" t="n">
        <v>-0.0175</v>
      </c>
      <c r="AL16" s="318" t="n">
        <v>0.0225</v>
      </c>
      <c r="AM16" s="318" t="n">
        <v>0.6</v>
      </c>
      <c r="AN16" s="318" t="n">
        <v>-0.0225</v>
      </c>
      <c r="AO16" s="318" t="n">
        <v>-0.34</v>
      </c>
      <c r="AP16" s="318" t="n">
        <v>-0.155</v>
      </c>
      <c r="AQ16" s="318" t="n">
        <v>-0.22</v>
      </c>
      <c r="AR16" s="318" t="n">
        <v>0.02</v>
      </c>
      <c r="AS16" s="318" t="n">
        <v>-0.295</v>
      </c>
      <c r="AT16" s="318" t="n">
        <v>-0.34</v>
      </c>
      <c r="AU16" s="318" t="n">
        <v>0.03</v>
      </c>
      <c r="AV16" s="318" t="n">
        <v>-0.34</v>
      </c>
      <c r="AW16" s="318" t="n">
        <v>-0.17</v>
      </c>
      <c r="AX16" s="318" t="n">
        <v>-0.13</v>
      </c>
      <c r="AY16" s="318" t="n">
        <v>-0.11</v>
      </c>
      <c r="AZ16" s="318" t="n">
        <v>-0.075</v>
      </c>
      <c r="BA16" s="318" t="n">
        <v>-0.09</v>
      </c>
      <c r="BB16" s="318" t="n">
        <v>-0.025</v>
      </c>
      <c r="BC16" s="318" t="n">
        <v>-0.1</v>
      </c>
      <c r="BD16" s="318" t="n">
        <v>-0.0525</v>
      </c>
      <c r="BE16" s="318" t="n">
        <v>-0.075</v>
      </c>
      <c r="BF16" s="318" t="n">
        <v>0.05</v>
      </c>
      <c r="BG16" s="318" t="n">
        <v>0.185</v>
      </c>
      <c r="BH16" s="318" t="n">
        <v>0.155</v>
      </c>
      <c r="BI16" s="318" t="n">
        <v>0.165</v>
      </c>
      <c r="BJ16" s="318" t="n">
        <v>0.445</v>
      </c>
      <c r="BK16" s="318" t="n">
        <v>0</v>
      </c>
      <c r="BL16" s="318" t="n">
        <v>-0.02</v>
      </c>
      <c r="BM16" s="318" t="n">
        <v>0.005</v>
      </c>
      <c r="BN16" s="318" t="n">
        <v>0</v>
      </c>
      <c r="BO16" s="318" t="n">
        <v>0.0275</v>
      </c>
      <c r="BP16" s="318" t="n">
        <v>0</v>
      </c>
      <c r="BQ16" s="318" t="n">
        <v>0</v>
      </c>
      <c r="BR16" s="318" t="n">
        <v>0.055</v>
      </c>
      <c r="BS16" s="0" t="n">
        <v>0.025</v>
      </c>
      <c r="BT16" s="0" t="n">
        <v>0.04</v>
      </c>
      <c r="BU16" s="0" t="n">
        <v>0.02</v>
      </c>
      <c r="BV16" s="0" t="n">
        <v>0.04</v>
      </c>
    </row>
    <row r="17" customFormat="false" ht="12.75" hidden="false" customHeight="false" outlineLevel="0" collapsed="false">
      <c r="A17" s="320" t="e">
        <f aca="false">#REF!-B17</f>
        <v>#REF!</v>
      </c>
      <c r="B17" s="320" t="n">
        <v>3.71</v>
      </c>
      <c r="C17" s="327" t="n">
        <f aca="false">EOMONTH(C16,0)+1</f>
        <v>37622</v>
      </c>
      <c r="D17" s="0" t="n">
        <v>3.168</v>
      </c>
      <c r="E17" s="320" t="n">
        <v>0.548</v>
      </c>
      <c r="F17" s="318" t="n">
        <v>0.0236848212477305</v>
      </c>
      <c r="G17" s="318" t="n">
        <v>-0.1325</v>
      </c>
      <c r="H17" s="318" t="n">
        <v>-0.1525</v>
      </c>
      <c r="I17" s="330" t="n">
        <v>-0.005</v>
      </c>
      <c r="J17" s="330" t="n">
        <v>-0.2</v>
      </c>
      <c r="K17" s="318" t="n">
        <v>0.005</v>
      </c>
      <c r="L17" s="318" t="n">
        <v>-0.08</v>
      </c>
      <c r="M17" s="318" t="n">
        <v>-0.1125</v>
      </c>
      <c r="N17" s="318" t="n">
        <v>-0.1225</v>
      </c>
      <c r="O17" s="318" t="n">
        <v>-0.1225</v>
      </c>
      <c r="P17" s="318" t="n">
        <v>-0.1325</v>
      </c>
      <c r="Q17" s="318" t="n">
        <v>-0.115</v>
      </c>
      <c r="R17" s="318" t="n">
        <v>-0.095</v>
      </c>
      <c r="S17" s="318" t="n">
        <v>0.135</v>
      </c>
      <c r="T17" s="318" t="n">
        <v>0.185</v>
      </c>
      <c r="U17" s="318" t="n">
        <v>0.12</v>
      </c>
      <c r="V17" s="318" t="n">
        <v>0.33</v>
      </c>
      <c r="W17" s="318" t="n">
        <v>0.215</v>
      </c>
      <c r="X17" s="318" t="n">
        <v>0.33</v>
      </c>
      <c r="Y17" s="318" t="n">
        <v>-0.0225</v>
      </c>
      <c r="Z17" s="318" t="n">
        <v>-0.0425</v>
      </c>
      <c r="AA17" s="318" t="n">
        <v>0.0025</v>
      </c>
      <c r="AB17" s="318" t="n">
        <v>-0.025</v>
      </c>
      <c r="AC17" s="318" t="n">
        <v>0.0025</v>
      </c>
      <c r="AD17" s="318" t="n">
        <v>-0.025</v>
      </c>
      <c r="AE17" s="318" t="n">
        <v>-0.075</v>
      </c>
      <c r="AF17" s="318" t="n">
        <v>-0.0675</v>
      </c>
      <c r="AG17" s="318" t="n">
        <v>-0.0925</v>
      </c>
      <c r="AH17" s="318" t="n">
        <v>-0.0175</v>
      </c>
      <c r="AI17" s="318" t="n">
        <v>-0.0725</v>
      </c>
      <c r="AJ17" s="318" t="n">
        <v>-0.135</v>
      </c>
      <c r="AK17" s="318" t="n">
        <v>-0.0175</v>
      </c>
      <c r="AL17" s="318" t="n">
        <v>0.0225</v>
      </c>
      <c r="AM17" s="318" t="n">
        <v>0.94</v>
      </c>
      <c r="AN17" s="318" t="n">
        <v>-0.045</v>
      </c>
      <c r="AO17" s="318" t="n">
        <v>-0.34</v>
      </c>
      <c r="AP17" s="318" t="n">
        <v>-0.1555</v>
      </c>
      <c r="AQ17" s="318" t="n">
        <v>-0.22</v>
      </c>
      <c r="AR17" s="318" t="n">
        <v>0.27</v>
      </c>
      <c r="AS17" s="318" t="n">
        <v>-0.295</v>
      </c>
      <c r="AT17" s="318" t="n">
        <v>-0.34</v>
      </c>
      <c r="AU17" s="318" t="n">
        <v>0.03</v>
      </c>
      <c r="AV17" s="318" t="n">
        <v>-0.34</v>
      </c>
      <c r="AW17" s="318" t="n">
        <v>-0.1975</v>
      </c>
      <c r="AX17" s="318" t="n">
        <v>-0.13</v>
      </c>
      <c r="AY17" s="318" t="n">
        <v>-0.1375</v>
      </c>
      <c r="AZ17" s="318" t="n">
        <v>-0.075</v>
      </c>
      <c r="BA17" s="318" t="n">
        <v>-0.1175</v>
      </c>
      <c r="BB17" s="318" t="n">
        <v>-0.0225</v>
      </c>
      <c r="BC17" s="318" t="n">
        <v>-0.1</v>
      </c>
      <c r="BD17" s="318" t="n">
        <v>-0.075</v>
      </c>
      <c r="BE17" s="318" t="n">
        <v>-0.075</v>
      </c>
      <c r="BF17" s="318" t="n">
        <v>0.07</v>
      </c>
      <c r="BG17" s="318" t="n">
        <v>0.215</v>
      </c>
      <c r="BH17" s="318" t="n">
        <v>0.185</v>
      </c>
      <c r="BI17" s="318" t="n">
        <v>0.195</v>
      </c>
      <c r="BJ17" s="318" t="n">
        <v>0.78</v>
      </c>
      <c r="BK17" s="318" t="n">
        <v>0</v>
      </c>
      <c r="BL17" s="318" t="n">
        <v>-0.025</v>
      </c>
      <c r="BM17" s="318" t="n">
        <v>0.005</v>
      </c>
      <c r="BN17" s="318" t="n">
        <v>0</v>
      </c>
      <c r="BO17" s="318" t="n">
        <v>0.0275</v>
      </c>
      <c r="BP17" s="318" t="n">
        <v>0</v>
      </c>
      <c r="BQ17" s="318" t="n">
        <v>0</v>
      </c>
      <c r="BR17" s="318" t="n">
        <v>0.25</v>
      </c>
      <c r="BS17" s="0" t="n">
        <v>0.025</v>
      </c>
      <c r="BT17" s="0" t="n">
        <v>0.04</v>
      </c>
      <c r="BU17" s="0" t="n">
        <v>0.02</v>
      </c>
      <c r="BV17" s="0" t="n">
        <v>0.04</v>
      </c>
    </row>
    <row r="18" customFormat="false" ht="12.75" hidden="false" customHeight="false" outlineLevel="0" collapsed="false">
      <c r="A18" s="320" t="e">
        <f aca="false">#REF!-B18</f>
        <v>#REF!</v>
      </c>
      <c r="B18" s="320" t="n">
        <v>3.71</v>
      </c>
      <c r="C18" s="327" t="n">
        <f aca="false">EOMONTH(C17,0)+1</f>
        <v>37653</v>
      </c>
      <c r="D18" s="0" t="n">
        <v>3.118</v>
      </c>
      <c r="E18" s="320" t="n">
        <v>0.543</v>
      </c>
      <c r="F18" s="318" t="n">
        <v>0.024485717541272</v>
      </c>
      <c r="G18" s="318" t="n">
        <v>-0.135</v>
      </c>
      <c r="H18" s="318" t="n">
        <v>-0.155</v>
      </c>
      <c r="I18" s="330" t="n">
        <v>0.015</v>
      </c>
      <c r="J18" s="330" t="n">
        <v>-0.1975</v>
      </c>
      <c r="K18" s="318" t="n">
        <v>0.025</v>
      </c>
      <c r="L18" s="318" t="n">
        <v>-0.07</v>
      </c>
      <c r="M18" s="318" t="n">
        <v>-0.115</v>
      </c>
      <c r="N18" s="318" t="n">
        <v>-0.125</v>
      </c>
      <c r="O18" s="318" t="n">
        <v>-0.125</v>
      </c>
      <c r="P18" s="318" t="n">
        <v>-0.135</v>
      </c>
      <c r="Q18" s="318" t="n">
        <v>-0.11</v>
      </c>
      <c r="R18" s="318" t="n">
        <v>-0.095</v>
      </c>
      <c r="S18" s="318" t="n">
        <v>0.155</v>
      </c>
      <c r="T18" s="318" t="n">
        <v>0.205</v>
      </c>
      <c r="U18" s="318" t="n">
        <v>0.14</v>
      </c>
      <c r="V18" s="318" t="n">
        <v>0.38</v>
      </c>
      <c r="W18" s="318" t="n">
        <v>0.235</v>
      </c>
      <c r="X18" s="318" t="n">
        <v>0.38</v>
      </c>
      <c r="Y18" s="318" t="n">
        <v>-0.0225</v>
      </c>
      <c r="Z18" s="318" t="n">
        <v>-0.0425</v>
      </c>
      <c r="AA18" s="318" t="n">
        <v>0.0025</v>
      </c>
      <c r="AB18" s="318" t="n">
        <v>-0.025</v>
      </c>
      <c r="AC18" s="318" t="n">
        <v>0.0025</v>
      </c>
      <c r="AD18" s="318" t="n">
        <v>-0.025</v>
      </c>
      <c r="AE18" s="318" t="n">
        <v>-0.075</v>
      </c>
      <c r="AF18" s="318" t="n">
        <v>-0.0675</v>
      </c>
      <c r="AG18" s="318" t="n">
        <v>-0.0925</v>
      </c>
      <c r="AH18" s="318" t="n">
        <v>-0.0175</v>
      </c>
      <c r="AI18" s="318" t="n">
        <v>-0.0725</v>
      </c>
      <c r="AJ18" s="318" t="n">
        <v>-0.125</v>
      </c>
      <c r="AK18" s="318" t="n">
        <v>-0.0175</v>
      </c>
      <c r="AL18" s="318" t="n">
        <v>0.0225</v>
      </c>
      <c r="AM18" s="318" t="n">
        <v>1.88</v>
      </c>
      <c r="AN18" s="318" t="n">
        <v>-0.05</v>
      </c>
      <c r="AO18" s="318" t="n">
        <v>-0.315</v>
      </c>
      <c r="AP18" s="318" t="n">
        <v>-0.1475</v>
      </c>
      <c r="AQ18" s="318" t="n">
        <v>-0.22</v>
      </c>
      <c r="AR18" s="318" t="n">
        <v>0.32</v>
      </c>
      <c r="AS18" s="318" t="n">
        <v>-0.27</v>
      </c>
      <c r="AT18" s="318" t="n">
        <v>-0.315</v>
      </c>
      <c r="AU18" s="318" t="n">
        <v>0.02</v>
      </c>
      <c r="AV18" s="318" t="n">
        <v>-0.315</v>
      </c>
      <c r="AW18" s="318" t="n">
        <v>-0.2125</v>
      </c>
      <c r="AX18" s="318" t="n">
        <v>-0.1275</v>
      </c>
      <c r="AY18" s="318" t="n">
        <v>-0.1525</v>
      </c>
      <c r="AZ18" s="318" t="n">
        <v>-0.075</v>
      </c>
      <c r="BA18" s="318" t="n">
        <v>-0.1175</v>
      </c>
      <c r="BB18" s="318" t="n">
        <v>-0.0225</v>
      </c>
      <c r="BC18" s="318" t="n">
        <v>-0.09</v>
      </c>
      <c r="BD18" s="318" t="n">
        <v>-0.08</v>
      </c>
      <c r="BE18" s="318" t="n">
        <v>-0.075</v>
      </c>
      <c r="BF18" s="318" t="n">
        <v>0.145</v>
      </c>
      <c r="BG18" s="318" t="n">
        <v>0.235</v>
      </c>
      <c r="BH18" s="318" t="n">
        <v>0.205</v>
      </c>
      <c r="BI18" s="318" t="n">
        <v>0.215</v>
      </c>
      <c r="BJ18" s="318" t="n">
        <v>1.07</v>
      </c>
      <c r="BK18" s="318" t="n">
        <v>0</v>
      </c>
      <c r="BL18" s="318" t="n">
        <v>-0.025</v>
      </c>
      <c r="BM18" s="318" t="n">
        <v>0.005</v>
      </c>
      <c r="BN18" s="318" t="n">
        <v>0</v>
      </c>
      <c r="BO18" s="318" t="n">
        <v>0.0275</v>
      </c>
      <c r="BP18" s="318" t="n">
        <v>0</v>
      </c>
      <c r="BQ18" s="318" t="n">
        <v>0</v>
      </c>
      <c r="BR18" s="318" t="n">
        <v>0.45</v>
      </c>
      <c r="BS18" s="0" t="n">
        <v>0.025</v>
      </c>
      <c r="BT18" s="0" t="n">
        <v>0.04</v>
      </c>
      <c r="BU18" s="0" t="n">
        <v>0.02</v>
      </c>
      <c r="BV18" s="0" t="n">
        <v>0.04</v>
      </c>
    </row>
    <row r="19" customFormat="false" ht="12.75" hidden="false" customHeight="false" outlineLevel="0" collapsed="false">
      <c r="A19" s="320" t="e">
        <f aca="false">#REF!-B19</f>
        <v>#REF!</v>
      </c>
      <c r="B19" s="320" t="n">
        <v>3.72</v>
      </c>
      <c r="C19" s="327" t="n">
        <f aca="false">EOMONTH(C18,0)+1</f>
        <v>37681</v>
      </c>
      <c r="D19" s="0" t="n">
        <v>3.063</v>
      </c>
      <c r="E19" s="320" t="n">
        <v>0.533</v>
      </c>
      <c r="F19" s="318" t="n">
        <v>0.0253610969536586</v>
      </c>
      <c r="G19" s="318" t="n">
        <v>-0.1275</v>
      </c>
      <c r="H19" s="318" t="n">
        <v>-0.1475</v>
      </c>
      <c r="I19" s="330" t="n">
        <v>0.01</v>
      </c>
      <c r="J19" s="330" t="n">
        <v>-0.1975</v>
      </c>
      <c r="K19" s="318" t="n">
        <v>0.02</v>
      </c>
      <c r="L19" s="318" t="n">
        <v>-0.07</v>
      </c>
      <c r="M19" s="318" t="n">
        <v>-0.1075</v>
      </c>
      <c r="N19" s="318" t="n">
        <v>-0.1175</v>
      </c>
      <c r="O19" s="318" t="n">
        <v>-0.1175</v>
      </c>
      <c r="P19" s="318" t="n">
        <v>-0.1275</v>
      </c>
      <c r="Q19" s="318" t="n">
        <v>-0.11</v>
      </c>
      <c r="R19" s="318" t="n">
        <v>-0.095</v>
      </c>
      <c r="S19" s="318" t="n">
        <v>0.145</v>
      </c>
      <c r="T19" s="318" t="n">
        <v>0.195</v>
      </c>
      <c r="U19" s="318" t="n">
        <v>0.13</v>
      </c>
      <c r="V19" s="318" t="n">
        <v>0.37</v>
      </c>
      <c r="W19" s="318" t="n">
        <v>0.235</v>
      </c>
      <c r="X19" s="318" t="n">
        <v>0.38</v>
      </c>
      <c r="Y19" s="318" t="n">
        <v>-0.0225</v>
      </c>
      <c r="Z19" s="318" t="n">
        <v>-0.0425</v>
      </c>
      <c r="AA19" s="318" t="n">
        <v>0.0025</v>
      </c>
      <c r="AB19" s="318" t="n">
        <v>-0.025</v>
      </c>
      <c r="AC19" s="318" t="n">
        <v>0.0025</v>
      </c>
      <c r="AD19" s="318" t="n">
        <v>-0.025</v>
      </c>
      <c r="AE19" s="318" t="n">
        <v>-0.075</v>
      </c>
      <c r="AF19" s="318" t="n">
        <v>-0.0675</v>
      </c>
      <c r="AG19" s="318" t="n">
        <v>-0.0925</v>
      </c>
      <c r="AH19" s="318" t="n">
        <v>-0.0175</v>
      </c>
      <c r="AI19" s="318" t="n">
        <v>-0.0725</v>
      </c>
      <c r="AJ19" s="318" t="n">
        <v>-0.125</v>
      </c>
      <c r="AK19" s="318" t="n">
        <v>-0.0175</v>
      </c>
      <c r="AL19" s="318" t="n">
        <v>0.0225</v>
      </c>
      <c r="AM19" s="318" t="n">
        <v>1.88</v>
      </c>
      <c r="AN19" s="318" t="n">
        <v>-0.035</v>
      </c>
      <c r="AO19" s="318" t="n">
        <v>-0.305</v>
      </c>
      <c r="AP19" s="318" t="n">
        <v>-0.1475</v>
      </c>
      <c r="AQ19" s="318" t="n">
        <v>-0.22</v>
      </c>
      <c r="AR19" s="318" t="n">
        <v>0.02</v>
      </c>
      <c r="AS19" s="318" t="n">
        <v>-0.26</v>
      </c>
      <c r="AT19" s="318" t="n">
        <v>-0.305</v>
      </c>
      <c r="AU19" s="318" t="n">
        <v>0.02</v>
      </c>
      <c r="AV19" s="318" t="n">
        <v>-0.305</v>
      </c>
      <c r="AW19" s="318" t="n">
        <v>-0.2025</v>
      </c>
      <c r="AX19" s="318" t="n">
        <v>-0.1275</v>
      </c>
      <c r="AY19" s="318" t="n">
        <v>-0.1425</v>
      </c>
      <c r="AZ19" s="318" t="n">
        <v>-0.075</v>
      </c>
      <c r="BA19" s="318" t="n">
        <v>-0.1175</v>
      </c>
      <c r="BB19" s="318" t="n">
        <v>-0.0225</v>
      </c>
      <c r="BC19" s="318" t="n">
        <v>-0.09</v>
      </c>
      <c r="BD19" s="318" t="n">
        <v>-0.065</v>
      </c>
      <c r="BE19" s="318" t="n">
        <v>-0.075</v>
      </c>
      <c r="BF19" s="318" t="n">
        <v>0.125</v>
      </c>
      <c r="BG19" s="318" t="n">
        <v>0.225</v>
      </c>
      <c r="BH19" s="318" t="n">
        <v>0.195</v>
      </c>
      <c r="BI19" s="318" t="n">
        <v>0.205</v>
      </c>
      <c r="BJ19" s="318" t="n">
        <v>1.06</v>
      </c>
      <c r="BK19" s="318" t="n">
        <v>0</v>
      </c>
      <c r="BL19" s="318" t="n">
        <v>-0.025</v>
      </c>
      <c r="BM19" s="318" t="n">
        <v>0.005</v>
      </c>
      <c r="BN19" s="318" t="n">
        <v>0</v>
      </c>
      <c r="BO19" s="318" t="n">
        <v>0.0275</v>
      </c>
      <c r="BP19" s="318" t="n">
        <v>0</v>
      </c>
      <c r="BQ19" s="318" t="n">
        <v>0</v>
      </c>
      <c r="BR19" s="318" t="n">
        <v>0.45</v>
      </c>
      <c r="BS19" s="0" t="n">
        <v>0.025</v>
      </c>
      <c r="BT19" s="0" t="n">
        <v>0.04</v>
      </c>
      <c r="BU19" s="0" t="n">
        <v>0.02</v>
      </c>
      <c r="BV19" s="0" t="n">
        <v>0.04</v>
      </c>
    </row>
    <row r="20" customFormat="false" ht="12.75" hidden="false" customHeight="false" outlineLevel="0" collapsed="false">
      <c r="A20" s="320" t="e">
        <f aca="false">#REF!-B20</f>
        <v>#REF!</v>
      </c>
      <c r="B20" s="320" t="n">
        <v>3.715</v>
      </c>
      <c r="C20" s="327" t="n">
        <f aca="false">EOMONTH(C19,0)+1</f>
        <v>37712</v>
      </c>
      <c r="D20" s="0" t="n">
        <v>2.928</v>
      </c>
      <c r="E20" s="320" t="n">
        <v>0.503</v>
      </c>
      <c r="F20" s="318" t="n">
        <v>0.0261517624519518</v>
      </c>
      <c r="G20" s="318" t="n">
        <v>-0.125</v>
      </c>
      <c r="H20" s="318" t="n">
        <v>-0.145</v>
      </c>
      <c r="I20" s="330" t="n">
        <v>-0.01</v>
      </c>
      <c r="J20" s="330" t="n">
        <v>-0.1975</v>
      </c>
      <c r="K20" s="318" t="n">
        <v>0</v>
      </c>
      <c r="L20" s="318" t="n">
        <v>-0.07</v>
      </c>
      <c r="M20" s="318" t="n">
        <v>-0.105</v>
      </c>
      <c r="N20" s="318" t="n">
        <v>-0.115</v>
      </c>
      <c r="O20" s="318" t="n">
        <v>-0.115</v>
      </c>
      <c r="P20" s="318" t="n">
        <v>-0.125</v>
      </c>
      <c r="Q20" s="318" t="n">
        <v>-0.11</v>
      </c>
      <c r="R20" s="318" t="n">
        <v>-0.095</v>
      </c>
      <c r="S20" s="318" t="n">
        <v>0.14</v>
      </c>
      <c r="T20" s="318" t="n">
        <v>0.19</v>
      </c>
      <c r="U20" s="318" t="n">
        <v>0.125</v>
      </c>
      <c r="V20" s="318" t="n">
        <v>0.2</v>
      </c>
      <c r="W20" s="318" t="n">
        <v>0.195</v>
      </c>
      <c r="X20" s="318" t="n">
        <v>0.33</v>
      </c>
      <c r="Y20" s="318" t="n">
        <v>-0.0225</v>
      </c>
      <c r="Z20" s="318" t="n">
        <v>-0.0425</v>
      </c>
      <c r="AA20" s="318" t="n">
        <v>0.0025</v>
      </c>
      <c r="AB20" s="318" t="n">
        <v>-0.025</v>
      </c>
      <c r="AC20" s="318" t="n">
        <v>0.0025</v>
      </c>
      <c r="AD20" s="318" t="n">
        <v>-0.025</v>
      </c>
      <c r="AE20" s="318" t="n">
        <v>-0.075</v>
      </c>
      <c r="AF20" s="318" t="n">
        <v>-0.0675</v>
      </c>
      <c r="AG20" s="318" t="n">
        <v>-0.0925</v>
      </c>
      <c r="AH20" s="318" t="n">
        <v>-0.0175</v>
      </c>
      <c r="AI20" s="318" t="n">
        <v>-0.0725</v>
      </c>
      <c r="AJ20" s="318" t="n">
        <v>-0.125</v>
      </c>
      <c r="AK20" s="318" t="n">
        <v>-0.0175</v>
      </c>
      <c r="AL20" s="318" t="n">
        <v>0.0225</v>
      </c>
      <c r="AM20" s="318" t="n">
        <v>0.65</v>
      </c>
      <c r="AN20" s="318" t="n">
        <v>-0.0225</v>
      </c>
      <c r="AO20" s="318" t="n">
        <v>-0.355</v>
      </c>
      <c r="AP20" s="318" t="n">
        <v>-0.1475</v>
      </c>
      <c r="AQ20" s="318" t="n">
        <v>-0.22</v>
      </c>
      <c r="AR20" s="318" t="n">
        <v>-0.28</v>
      </c>
      <c r="AS20" s="318" t="n">
        <v>-0.31</v>
      </c>
      <c r="AT20" s="318" t="n">
        <v>-0.355</v>
      </c>
      <c r="AU20" s="318" t="n">
        <v>0.02</v>
      </c>
      <c r="AV20" s="318" t="n">
        <v>-0.355</v>
      </c>
      <c r="AW20" s="318" t="n">
        <v>-0.1925</v>
      </c>
      <c r="AX20" s="318" t="n">
        <v>-0.1275</v>
      </c>
      <c r="AY20" s="318" t="n">
        <v>-0.1325</v>
      </c>
      <c r="AZ20" s="318" t="n">
        <v>-0.075</v>
      </c>
      <c r="BA20" s="318" t="n">
        <v>-0.1175</v>
      </c>
      <c r="BB20" s="318" t="n">
        <v>-0.0225</v>
      </c>
      <c r="BC20" s="318" t="n">
        <v>-0.09</v>
      </c>
      <c r="BD20" s="318" t="n">
        <v>-0.0525</v>
      </c>
      <c r="BE20" s="318" t="n">
        <v>-0.075</v>
      </c>
      <c r="BF20" s="318" t="n">
        <v>0.045</v>
      </c>
      <c r="BG20" s="318" t="n">
        <v>0.22</v>
      </c>
      <c r="BH20" s="318" t="n">
        <v>0.19</v>
      </c>
      <c r="BI20" s="318" t="n">
        <v>0.2</v>
      </c>
      <c r="BJ20" s="318" t="n">
        <v>0.545</v>
      </c>
      <c r="BK20" s="318" t="n">
        <v>0</v>
      </c>
      <c r="BL20" s="318" t="n">
        <v>-0.02</v>
      </c>
      <c r="BM20" s="318" t="n">
        <v>0.005</v>
      </c>
      <c r="BN20" s="318" t="n">
        <v>0</v>
      </c>
      <c r="BO20" s="318" t="n">
        <v>0.0275</v>
      </c>
      <c r="BP20" s="318" t="n">
        <v>0</v>
      </c>
      <c r="BQ20" s="318" t="n">
        <v>0</v>
      </c>
      <c r="BR20" s="318" t="n">
        <v>0.1</v>
      </c>
      <c r="BS20" s="0" t="n">
        <v>0.025</v>
      </c>
      <c r="BT20" s="0" t="n">
        <v>0.04</v>
      </c>
      <c r="BU20" s="0" t="n">
        <v>0.02</v>
      </c>
      <c r="BV20" s="0" t="n">
        <v>0.04</v>
      </c>
    </row>
    <row r="21" customFormat="false" ht="12.75" hidden="false" customHeight="false" outlineLevel="0" collapsed="false">
      <c r="A21" s="320" t="e">
        <f aca="false">#REF!-B21</f>
        <v>#REF!</v>
      </c>
      <c r="B21" s="320" t="n">
        <v>3.735</v>
      </c>
      <c r="C21" s="327" t="n">
        <f aca="false">EOMONTH(C20,0)+1</f>
        <v>37742</v>
      </c>
      <c r="D21" s="0" t="n">
        <v>2.923</v>
      </c>
      <c r="E21" s="320" t="n">
        <v>0.425</v>
      </c>
      <c r="F21" s="318" t="n">
        <v>0.0270235470347737</v>
      </c>
      <c r="G21" s="318" t="n">
        <v>-0.13</v>
      </c>
      <c r="H21" s="318" t="n">
        <v>-0.15</v>
      </c>
      <c r="I21" s="330" t="n">
        <v>-0.09</v>
      </c>
      <c r="J21" s="330" t="n">
        <v>-0.1525</v>
      </c>
      <c r="K21" s="318" t="n">
        <v>-0.09</v>
      </c>
      <c r="L21" s="318" t="n">
        <v>-0.0675</v>
      </c>
      <c r="M21" s="318" t="n">
        <v>-0.1</v>
      </c>
      <c r="N21" s="318" t="n">
        <v>-0.12</v>
      </c>
      <c r="O21" s="318" t="n">
        <v>-0.12</v>
      </c>
      <c r="P21" s="318" t="n">
        <v>-0.13</v>
      </c>
      <c r="Q21" s="318" t="n">
        <v>-0.09875</v>
      </c>
      <c r="R21" s="318" t="n">
        <v>-0.09</v>
      </c>
      <c r="S21" s="318" t="n">
        <v>0.125</v>
      </c>
      <c r="T21" s="318" t="n">
        <v>0.155</v>
      </c>
      <c r="U21" s="318" t="n">
        <v>0.035</v>
      </c>
      <c r="V21" s="318" t="n">
        <v>0.4</v>
      </c>
      <c r="W21" s="318" t="n">
        <v>0.145</v>
      </c>
      <c r="X21" s="318" t="n">
        <v>0.195</v>
      </c>
      <c r="Y21" s="318" t="n">
        <v>-0.025</v>
      </c>
      <c r="Z21" s="318" t="n">
        <v>-0.0525</v>
      </c>
      <c r="AA21" s="318" t="n">
        <v>0.01</v>
      </c>
      <c r="AB21" s="318" t="n">
        <v>-0.0175</v>
      </c>
      <c r="AC21" s="318" t="n">
        <v>0.0025</v>
      </c>
      <c r="AD21" s="318" t="n">
        <v>-0.025</v>
      </c>
      <c r="AE21" s="318" t="n">
        <v>-0.0725</v>
      </c>
      <c r="AF21" s="318" t="n">
        <v>-0.065</v>
      </c>
      <c r="AG21" s="318" t="n">
        <v>-0.085</v>
      </c>
      <c r="AH21" s="318" t="n">
        <v>-0.0175</v>
      </c>
      <c r="AI21" s="318" t="n">
        <v>-0.0725</v>
      </c>
      <c r="AJ21" s="318" t="n">
        <v>-0.1075</v>
      </c>
      <c r="AK21" s="318" t="n">
        <v>-0.0175</v>
      </c>
      <c r="AL21" s="318" t="n">
        <v>0.0225</v>
      </c>
      <c r="AM21" s="318" t="n">
        <v>0.38</v>
      </c>
      <c r="AN21" s="318" t="n">
        <v>0.03</v>
      </c>
      <c r="AO21" s="318" t="n">
        <v>-0.525</v>
      </c>
      <c r="AP21" s="318" t="n">
        <v>-0.105</v>
      </c>
      <c r="AQ21" s="318" t="n">
        <v>-0.26</v>
      </c>
      <c r="AR21" s="318" t="n">
        <v>-0.24</v>
      </c>
      <c r="AS21" s="318" t="n">
        <v>-0.435</v>
      </c>
      <c r="AT21" s="318" t="n">
        <v>-0.525</v>
      </c>
      <c r="AU21" s="318" t="n">
        <v>0.14</v>
      </c>
      <c r="AV21" s="318" t="n">
        <v>-0.525</v>
      </c>
      <c r="AW21" s="318" t="n">
        <v>-0.22</v>
      </c>
      <c r="AX21" s="318" t="n">
        <v>-0.0825</v>
      </c>
      <c r="AY21" s="318" t="n">
        <v>-0.16</v>
      </c>
      <c r="AZ21" s="318" t="n">
        <v>-0.07</v>
      </c>
      <c r="BA21" s="318" t="n">
        <v>-0.14</v>
      </c>
      <c r="BB21" s="318" t="n">
        <v>-0.0225</v>
      </c>
      <c r="BC21" s="318" t="n">
        <v>-0.0725</v>
      </c>
      <c r="BD21" s="318" t="n">
        <v>0</v>
      </c>
      <c r="BE21" s="318" t="n">
        <v>-0.0725</v>
      </c>
      <c r="BF21" s="318" t="n">
        <v>0.08</v>
      </c>
      <c r="BG21" s="318" t="n">
        <v>0.135</v>
      </c>
      <c r="BH21" s="318" t="n">
        <v>0.155</v>
      </c>
      <c r="BI21" s="318" t="n">
        <v>0.125</v>
      </c>
      <c r="BJ21" s="318" t="n">
        <v>0.36</v>
      </c>
      <c r="BK21" s="318" t="n">
        <v>0</v>
      </c>
      <c r="BL21" s="318" t="n">
        <v>-0.015</v>
      </c>
      <c r="BM21" s="318" t="n">
        <v>0.005</v>
      </c>
      <c r="BN21" s="318" t="n">
        <v>-0.01</v>
      </c>
      <c r="BO21" s="318" t="n">
        <v>0.02</v>
      </c>
      <c r="BP21" s="318" t="n">
        <v>0.005</v>
      </c>
      <c r="BQ21" s="318" t="n">
        <v>0.0025</v>
      </c>
      <c r="BR21" s="318" t="n">
        <v>0.02</v>
      </c>
      <c r="BS21" s="0" t="n">
        <v>0.005</v>
      </c>
      <c r="BT21" s="0" t="n">
        <v>0.02</v>
      </c>
      <c r="BU21" s="0" t="n">
        <v>0.02</v>
      </c>
      <c r="BV21" s="0" t="n">
        <v>0.03</v>
      </c>
    </row>
    <row r="22" customFormat="false" ht="12.75" hidden="false" customHeight="false" outlineLevel="0" collapsed="false">
      <c r="A22" s="320" t="e">
        <f aca="false">#REF!-B22</f>
        <v>#REF!</v>
      </c>
      <c r="B22" s="320" t="n">
        <v>3.835</v>
      </c>
      <c r="C22" s="327" t="n">
        <f aca="false">EOMONTH(C21,0)+1</f>
        <v>37773</v>
      </c>
      <c r="D22" s="0" t="n">
        <v>2.963</v>
      </c>
      <c r="E22" s="320" t="n">
        <v>0.41</v>
      </c>
      <c r="F22" s="318" t="n">
        <v>0.0278505455310585</v>
      </c>
      <c r="G22" s="318" t="n">
        <v>-0.13</v>
      </c>
      <c r="H22" s="318" t="n">
        <v>-0.15</v>
      </c>
      <c r="I22" s="330" t="n">
        <v>-0.09</v>
      </c>
      <c r="J22" s="330" t="n">
        <v>-0.1525</v>
      </c>
      <c r="K22" s="318" t="n">
        <v>-0.09</v>
      </c>
      <c r="L22" s="318" t="n">
        <v>-0.0675</v>
      </c>
      <c r="M22" s="318" t="n">
        <v>-0.1</v>
      </c>
      <c r="N22" s="318" t="n">
        <v>-0.12</v>
      </c>
      <c r="O22" s="318" t="n">
        <v>-0.12</v>
      </c>
      <c r="P22" s="318" t="n">
        <v>-0.13</v>
      </c>
      <c r="Q22" s="318" t="n">
        <v>-0.09875</v>
      </c>
      <c r="R22" s="318" t="n">
        <v>-0.09</v>
      </c>
      <c r="S22" s="318" t="n">
        <v>0.125</v>
      </c>
      <c r="T22" s="318" t="n">
        <v>0.155</v>
      </c>
      <c r="U22" s="318" t="n">
        <v>0.035</v>
      </c>
      <c r="V22" s="318" t="n">
        <v>0.4</v>
      </c>
      <c r="W22" s="318" t="n">
        <v>0.125</v>
      </c>
      <c r="X22" s="318" t="n">
        <v>0.135</v>
      </c>
      <c r="Y22" s="318" t="n">
        <v>-0.025</v>
      </c>
      <c r="Z22" s="318" t="n">
        <v>-0.0525</v>
      </c>
      <c r="AA22" s="318" t="n">
        <v>0.01</v>
      </c>
      <c r="AB22" s="318" t="n">
        <v>-0.0175</v>
      </c>
      <c r="AC22" s="318" t="n">
        <v>0.0025</v>
      </c>
      <c r="AD22" s="318" t="n">
        <v>-0.025</v>
      </c>
      <c r="AE22" s="318" t="n">
        <v>-0.0725</v>
      </c>
      <c r="AF22" s="318" t="n">
        <v>-0.065</v>
      </c>
      <c r="AG22" s="318" t="n">
        <v>-0.085</v>
      </c>
      <c r="AH22" s="318" t="n">
        <v>-0.0175</v>
      </c>
      <c r="AI22" s="318" t="n">
        <v>-0.0725</v>
      </c>
      <c r="AJ22" s="318" t="n">
        <v>-0.1075</v>
      </c>
      <c r="AK22" s="318" t="n">
        <v>-0.0175</v>
      </c>
      <c r="AL22" s="318" t="n">
        <v>0.0225</v>
      </c>
      <c r="AM22" s="318" t="n">
        <v>0.33</v>
      </c>
      <c r="AN22" s="318" t="n">
        <v>0.03</v>
      </c>
      <c r="AO22" s="318" t="n">
        <v>-0.525</v>
      </c>
      <c r="AP22" s="318" t="n">
        <v>-0.105</v>
      </c>
      <c r="AQ22" s="318" t="n">
        <v>-0.26</v>
      </c>
      <c r="AR22" s="318" t="n">
        <v>-0.24</v>
      </c>
      <c r="AS22" s="318" t="n">
        <v>-0.435</v>
      </c>
      <c r="AT22" s="318" t="n">
        <v>-0.525</v>
      </c>
      <c r="AU22" s="318" t="n">
        <v>0.14</v>
      </c>
      <c r="AV22" s="318" t="n">
        <v>-0.525</v>
      </c>
      <c r="AW22" s="318" t="n">
        <v>-0.1975</v>
      </c>
      <c r="AX22" s="318" t="n">
        <v>-0.0825</v>
      </c>
      <c r="AY22" s="318" t="n">
        <v>-0.1375</v>
      </c>
      <c r="AZ22" s="318" t="n">
        <v>-0.07</v>
      </c>
      <c r="BA22" s="318" t="n">
        <v>-0.1325</v>
      </c>
      <c r="BB22" s="318" t="n">
        <v>-0.0225</v>
      </c>
      <c r="BC22" s="318" t="n">
        <v>-0.0725</v>
      </c>
      <c r="BD22" s="318" t="n">
        <v>0</v>
      </c>
      <c r="BE22" s="318" t="n">
        <v>-0.0725</v>
      </c>
      <c r="BF22" s="318" t="n">
        <v>0.08</v>
      </c>
      <c r="BG22" s="318" t="n">
        <v>0.135</v>
      </c>
      <c r="BH22" s="318" t="n">
        <v>0.155</v>
      </c>
      <c r="BI22" s="318" t="n">
        <v>0.125</v>
      </c>
      <c r="BJ22" s="318" t="n">
        <v>0.325</v>
      </c>
      <c r="BK22" s="318" t="n">
        <v>0</v>
      </c>
      <c r="BL22" s="318" t="n">
        <v>-0.015</v>
      </c>
      <c r="BM22" s="318" t="n">
        <v>0.005</v>
      </c>
      <c r="BN22" s="318" t="n">
        <v>-0.01</v>
      </c>
      <c r="BO22" s="318" t="n">
        <v>0.02</v>
      </c>
      <c r="BP22" s="318" t="n">
        <v>0.005</v>
      </c>
      <c r="BQ22" s="318" t="n">
        <v>0.0025</v>
      </c>
      <c r="BR22" s="318" t="n">
        <v>0.02</v>
      </c>
      <c r="BS22" s="0" t="n">
        <v>0.005</v>
      </c>
      <c r="BT22" s="0" t="n">
        <v>0.02</v>
      </c>
      <c r="BU22" s="0" t="n">
        <v>0.02</v>
      </c>
      <c r="BV22" s="0" t="n">
        <v>0.03</v>
      </c>
    </row>
    <row r="23" customFormat="false" ht="12.75" hidden="false" customHeight="false" outlineLevel="0" collapsed="false">
      <c r="A23" s="320" t="e">
        <f aca="false">#REF!-B23</f>
        <v>#REF!</v>
      </c>
      <c r="B23" s="320" t="n">
        <v>3.93</v>
      </c>
      <c r="C23" s="327" t="n">
        <f aca="false">EOMONTH(C22,0)+1</f>
        <v>37803</v>
      </c>
      <c r="D23" s="0" t="n">
        <v>3.003</v>
      </c>
      <c r="E23" s="320" t="n">
        <v>0.405</v>
      </c>
      <c r="F23" s="318" t="n">
        <v>0.0287051108864018</v>
      </c>
      <c r="G23" s="318" t="n">
        <v>-0.13</v>
      </c>
      <c r="H23" s="318" t="n">
        <v>-0.15</v>
      </c>
      <c r="I23" s="330" t="n">
        <v>-0.09</v>
      </c>
      <c r="J23" s="330" t="n">
        <v>-0.1525</v>
      </c>
      <c r="K23" s="318" t="n">
        <v>-0.09</v>
      </c>
      <c r="L23" s="318" t="n">
        <v>-0.0675</v>
      </c>
      <c r="M23" s="318" t="n">
        <v>-0.1</v>
      </c>
      <c r="N23" s="318" t="n">
        <v>-0.12</v>
      </c>
      <c r="O23" s="318" t="n">
        <v>-0.12</v>
      </c>
      <c r="P23" s="318" t="n">
        <v>-0.13</v>
      </c>
      <c r="Q23" s="318" t="n">
        <v>-0.09875</v>
      </c>
      <c r="R23" s="318" t="n">
        <v>-0.09</v>
      </c>
      <c r="S23" s="318" t="n">
        <v>0.125</v>
      </c>
      <c r="T23" s="318" t="n">
        <v>0.155</v>
      </c>
      <c r="U23" s="318" t="n">
        <v>0.035</v>
      </c>
      <c r="V23" s="318" t="n">
        <v>0.4</v>
      </c>
      <c r="W23" s="318" t="n">
        <v>0.145</v>
      </c>
      <c r="X23" s="318" t="n">
        <v>0.165</v>
      </c>
      <c r="Y23" s="318" t="n">
        <v>-0.025</v>
      </c>
      <c r="Z23" s="318" t="n">
        <v>-0.05</v>
      </c>
      <c r="AA23" s="318" t="n">
        <v>0.0125</v>
      </c>
      <c r="AB23" s="318" t="n">
        <v>-0.015</v>
      </c>
      <c r="AC23" s="318" t="n">
        <v>0.0025</v>
      </c>
      <c r="AD23" s="318" t="n">
        <v>-0.025</v>
      </c>
      <c r="AE23" s="318" t="n">
        <v>-0.0725</v>
      </c>
      <c r="AF23" s="318" t="n">
        <v>-0.065</v>
      </c>
      <c r="AG23" s="318" t="n">
        <v>-0.085</v>
      </c>
      <c r="AH23" s="318" t="n">
        <v>-0.0175</v>
      </c>
      <c r="AI23" s="318" t="n">
        <v>-0.0725</v>
      </c>
      <c r="AJ23" s="318" t="n">
        <v>-0.1075</v>
      </c>
      <c r="AK23" s="318" t="n">
        <v>-0.0175</v>
      </c>
      <c r="AL23" s="318" t="n">
        <v>0.0225</v>
      </c>
      <c r="AM23" s="318" t="n">
        <v>0.37</v>
      </c>
      <c r="AN23" s="318" t="n">
        <v>0.035</v>
      </c>
      <c r="AO23" s="318" t="n">
        <v>-0.525</v>
      </c>
      <c r="AP23" s="318" t="n">
        <v>-0.105</v>
      </c>
      <c r="AQ23" s="318" t="n">
        <v>-0.26</v>
      </c>
      <c r="AR23" s="318" t="n">
        <v>-0.24</v>
      </c>
      <c r="AS23" s="318" t="n">
        <v>-0.435</v>
      </c>
      <c r="AT23" s="318" t="n">
        <v>-0.525</v>
      </c>
      <c r="AU23" s="318" t="n">
        <v>0.14</v>
      </c>
      <c r="AV23" s="318" t="n">
        <v>-0.525</v>
      </c>
      <c r="AW23" s="318" t="n">
        <v>-0.145</v>
      </c>
      <c r="AX23" s="318" t="n">
        <v>-0.0825</v>
      </c>
      <c r="AY23" s="318" t="n">
        <v>-0.085</v>
      </c>
      <c r="AZ23" s="318" t="n">
        <v>-0.07</v>
      </c>
      <c r="BA23" s="318" t="n">
        <v>-0.09</v>
      </c>
      <c r="BB23" s="318" t="n">
        <v>-0.0225</v>
      </c>
      <c r="BC23" s="318" t="n">
        <v>-0.0725</v>
      </c>
      <c r="BD23" s="318" t="n">
        <v>0.005</v>
      </c>
      <c r="BE23" s="318" t="n">
        <v>-0.0725</v>
      </c>
      <c r="BF23" s="318" t="n">
        <v>0.08</v>
      </c>
      <c r="BG23" s="318" t="n">
        <v>0.135</v>
      </c>
      <c r="BH23" s="318" t="n">
        <v>0.155</v>
      </c>
      <c r="BI23" s="318" t="n">
        <v>0.125</v>
      </c>
      <c r="BJ23" s="318" t="n">
        <v>0.335</v>
      </c>
      <c r="BK23" s="318" t="n">
        <v>0</v>
      </c>
      <c r="BL23" s="318" t="n">
        <v>-0.015</v>
      </c>
      <c r="BM23" s="318" t="n">
        <v>0.005</v>
      </c>
      <c r="BN23" s="318" t="n">
        <v>-0.01</v>
      </c>
      <c r="BO23" s="318" t="n">
        <v>0.02</v>
      </c>
      <c r="BP23" s="318" t="n">
        <v>0.005</v>
      </c>
      <c r="BQ23" s="318" t="n">
        <v>0.0025</v>
      </c>
      <c r="BR23" s="318" t="n">
        <v>0.035</v>
      </c>
      <c r="BS23" s="0" t="n">
        <v>0.005</v>
      </c>
      <c r="BT23" s="0" t="n">
        <v>0.02</v>
      </c>
      <c r="BU23" s="0" t="n">
        <v>0.02</v>
      </c>
      <c r="BV23" s="0" t="n">
        <v>0.03</v>
      </c>
    </row>
    <row r="24" customFormat="false" ht="12.75" hidden="false" customHeight="false" outlineLevel="0" collapsed="false">
      <c r="A24" s="320" t="e">
        <f aca="false">#REF!-B24</f>
        <v>#REF!</v>
      </c>
      <c r="B24" s="320" t="n">
        <v>3.943</v>
      </c>
      <c r="C24" s="327" t="n">
        <f aca="false">EOMONTH(C23,0)+1</f>
        <v>37834</v>
      </c>
      <c r="D24" s="0" t="n">
        <v>3.045</v>
      </c>
      <c r="E24" s="320" t="n">
        <v>0.405</v>
      </c>
      <c r="F24" s="318" t="n">
        <v>0.0295204531777356</v>
      </c>
      <c r="G24" s="318" t="n">
        <v>-0.13</v>
      </c>
      <c r="H24" s="318" t="n">
        <v>-0.15</v>
      </c>
      <c r="I24" s="330" t="n">
        <v>-0.09</v>
      </c>
      <c r="J24" s="330" t="n">
        <v>-0.1525</v>
      </c>
      <c r="K24" s="318" t="n">
        <v>-0.09</v>
      </c>
      <c r="L24" s="318" t="n">
        <v>-0.0675</v>
      </c>
      <c r="M24" s="318" t="n">
        <v>-0.1</v>
      </c>
      <c r="N24" s="318" t="n">
        <v>-0.12</v>
      </c>
      <c r="O24" s="318" t="n">
        <v>-0.12</v>
      </c>
      <c r="P24" s="318" t="n">
        <v>-0.13</v>
      </c>
      <c r="Q24" s="318" t="n">
        <v>-0.09875</v>
      </c>
      <c r="R24" s="318" t="n">
        <v>-0.09</v>
      </c>
      <c r="S24" s="318" t="n">
        <v>0.125</v>
      </c>
      <c r="T24" s="318" t="n">
        <v>0.155</v>
      </c>
      <c r="U24" s="318" t="n">
        <v>0.035</v>
      </c>
      <c r="V24" s="318" t="n">
        <v>0.4</v>
      </c>
      <c r="W24" s="318" t="n">
        <v>0.15</v>
      </c>
      <c r="X24" s="318" t="n">
        <v>0.205</v>
      </c>
      <c r="Y24" s="318" t="n">
        <v>-0.025</v>
      </c>
      <c r="Z24" s="318" t="n">
        <v>-0.05</v>
      </c>
      <c r="AA24" s="318" t="n">
        <v>0.0125</v>
      </c>
      <c r="AB24" s="318" t="n">
        <v>-0.015</v>
      </c>
      <c r="AC24" s="318" t="n">
        <v>0.0025</v>
      </c>
      <c r="AD24" s="318" t="n">
        <v>-0.025</v>
      </c>
      <c r="AE24" s="318" t="n">
        <v>-0.0725</v>
      </c>
      <c r="AF24" s="318" t="n">
        <v>-0.065</v>
      </c>
      <c r="AG24" s="318" t="n">
        <v>-0.085</v>
      </c>
      <c r="AH24" s="318" t="n">
        <v>-0.0175</v>
      </c>
      <c r="AI24" s="318" t="n">
        <v>-0.0725</v>
      </c>
      <c r="AJ24" s="318" t="n">
        <v>-0.1075</v>
      </c>
      <c r="AK24" s="318" t="n">
        <v>-0.0175</v>
      </c>
      <c r="AL24" s="318" t="n">
        <v>0.0225</v>
      </c>
      <c r="AM24" s="318" t="n">
        <v>0.41</v>
      </c>
      <c r="AN24" s="318" t="n">
        <v>0.0375</v>
      </c>
      <c r="AO24" s="318" t="n">
        <v>-0.525</v>
      </c>
      <c r="AP24" s="318" t="n">
        <v>-0.105</v>
      </c>
      <c r="AQ24" s="318" t="n">
        <v>-0.26</v>
      </c>
      <c r="AR24" s="318" t="n">
        <v>-0.24</v>
      </c>
      <c r="AS24" s="318" t="n">
        <v>-0.435</v>
      </c>
      <c r="AT24" s="318" t="n">
        <v>-0.525</v>
      </c>
      <c r="AU24" s="318" t="n">
        <v>0.14</v>
      </c>
      <c r="AV24" s="318" t="n">
        <v>-0.525</v>
      </c>
      <c r="AW24" s="318" t="n">
        <v>-0.155</v>
      </c>
      <c r="AX24" s="318" t="n">
        <v>-0.0825</v>
      </c>
      <c r="AY24" s="318" t="n">
        <v>-0.095</v>
      </c>
      <c r="AZ24" s="318" t="n">
        <v>-0.07</v>
      </c>
      <c r="BA24" s="318" t="n">
        <v>-0.0875</v>
      </c>
      <c r="BB24" s="318" t="n">
        <v>-0.0225</v>
      </c>
      <c r="BC24" s="318" t="n">
        <v>-0.0725</v>
      </c>
      <c r="BD24" s="318" t="n">
        <v>0.0075</v>
      </c>
      <c r="BE24" s="318" t="n">
        <v>-0.0725</v>
      </c>
      <c r="BF24" s="318" t="n">
        <v>0.08</v>
      </c>
      <c r="BG24" s="318" t="n">
        <v>0.135</v>
      </c>
      <c r="BH24" s="318" t="n">
        <v>0.155</v>
      </c>
      <c r="BI24" s="318" t="n">
        <v>0.125</v>
      </c>
      <c r="BJ24" s="318" t="n">
        <v>0.35</v>
      </c>
      <c r="BK24" s="318" t="n">
        <v>0</v>
      </c>
      <c r="BL24" s="318" t="n">
        <v>-0.01</v>
      </c>
      <c r="BM24" s="318" t="n">
        <v>0.005</v>
      </c>
      <c r="BN24" s="318" t="n">
        <v>-0.01</v>
      </c>
      <c r="BO24" s="318" t="n">
        <v>0.02</v>
      </c>
      <c r="BP24" s="318" t="n">
        <v>0.005</v>
      </c>
      <c r="BQ24" s="318" t="n">
        <v>0.0025</v>
      </c>
      <c r="BR24" s="318" t="n">
        <v>0.035</v>
      </c>
      <c r="BS24" s="0" t="n">
        <v>0.005</v>
      </c>
      <c r="BT24" s="0" t="n">
        <v>0.02</v>
      </c>
      <c r="BU24" s="0" t="n">
        <v>0.02</v>
      </c>
      <c r="BV24" s="0" t="n">
        <v>0.03</v>
      </c>
    </row>
    <row r="25" customFormat="false" ht="12.75" hidden="false" customHeight="false" outlineLevel="0" collapsed="false">
      <c r="A25" s="320" t="e">
        <f aca="false">#REF!-B25</f>
        <v>#REF!</v>
      </c>
      <c r="B25" s="320" t="n">
        <v>3.806</v>
      </c>
      <c r="C25" s="327" t="n">
        <f aca="false">EOMONTH(C24,0)+1</f>
        <v>37865</v>
      </c>
      <c r="D25" s="0" t="n">
        <v>3.045</v>
      </c>
      <c r="E25" s="320" t="n">
        <v>0.405</v>
      </c>
      <c r="F25" s="318" t="n">
        <v>0.0303463207924364</v>
      </c>
      <c r="G25" s="318" t="n">
        <v>-0.13</v>
      </c>
      <c r="H25" s="318" t="n">
        <v>-0.15</v>
      </c>
      <c r="I25" s="330" t="n">
        <v>-0.09</v>
      </c>
      <c r="J25" s="330" t="n">
        <v>-0.1525</v>
      </c>
      <c r="K25" s="318" t="n">
        <v>-0.09</v>
      </c>
      <c r="L25" s="318" t="n">
        <v>-0.0675</v>
      </c>
      <c r="M25" s="318" t="n">
        <v>-0.1</v>
      </c>
      <c r="N25" s="318" t="n">
        <v>-0.12</v>
      </c>
      <c r="O25" s="318" t="n">
        <v>-0.12</v>
      </c>
      <c r="P25" s="318" t="n">
        <v>-0.13</v>
      </c>
      <c r="Q25" s="318" t="n">
        <v>-0.09875</v>
      </c>
      <c r="R25" s="318" t="n">
        <v>-0.09</v>
      </c>
      <c r="S25" s="318" t="n">
        <v>0.125</v>
      </c>
      <c r="T25" s="318" t="n">
        <v>0.155</v>
      </c>
      <c r="U25" s="318" t="n">
        <v>0.035</v>
      </c>
      <c r="V25" s="318" t="n">
        <v>0.4</v>
      </c>
      <c r="W25" s="318" t="n">
        <v>0.15</v>
      </c>
      <c r="X25" s="318" t="n">
        <v>0.205</v>
      </c>
      <c r="Y25" s="318" t="n">
        <v>-0.025</v>
      </c>
      <c r="Z25" s="318" t="n">
        <v>-0.05</v>
      </c>
      <c r="AA25" s="318" t="n">
        <v>0.0125</v>
      </c>
      <c r="AB25" s="318" t="n">
        <v>-0.015</v>
      </c>
      <c r="AC25" s="318" t="n">
        <v>0.0025</v>
      </c>
      <c r="AD25" s="318" t="n">
        <v>-0.025</v>
      </c>
      <c r="AE25" s="318" t="n">
        <v>-0.0725</v>
      </c>
      <c r="AF25" s="318" t="n">
        <v>-0.065</v>
      </c>
      <c r="AG25" s="318" t="n">
        <v>-0.085</v>
      </c>
      <c r="AH25" s="318" t="n">
        <v>-0.0175</v>
      </c>
      <c r="AI25" s="318" t="n">
        <v>-0.0725</v>
      </c>
      <c r="AJ25" s="318" t="n">
        <v>-0.1075</v>
      </c>
      <c r="AK25" s="318" t="n">
        <v>-0.0175</v>
      </c>
      <c r="AL25" s="318" t="n">
        <v>0.0225</v>
      </c>
      <c r="AM25" s="318" t="n">
        <v>0.41</v>
      </c>
      <c r="AN25" s="318" t="n">
        <v>0.04</v>
      </c>
      <c r="AO25" s="318" t="n">
        <v>-0.525</v>
      </c>
      <c r="AP25" s="318" t="n">
        <v>-0.105</v>
      </c>
      <c r="AQ25" s="318" t="n">
        <v>-0.26</v>
      </c>
      <c r="AR25" s="318" t="n">
        <v>-0.24</v>
      </c>
      <c r="AS25" s="318" t="n">
        <v>-0.435</v>
      </c>
      <c r="AT25" s="318" t="n">
        <v>-0.525</v>
      </c>
      <c r="AU25" s="318" t="n">
        <v>0.14</v>
      </c>
      <c r="AV25" s="318" t="n">
        <v>-0.525</v>
      </c>
      <c r="AW25" s="318" t="n">
        <v>-0.15</v>
      </c>
      <c r="AX25" s="318" t="n">
        <v>-0.0825</v>
      </c>
      <c r="AY25" s="318" t="n">
        <v>-0.09</v>
      </c>
      <c r="AZ25" s="318" t="n">
        <v>-0.07</v>
      </c>
      <c r="BA25" s="318" t="n">
        <v>-0.085</v>
      </c>
      <c r="BB25" s="318" t="n">
        <v>-0.0225</v>
      </c>
      <c r="BC25" s="318" t="n">
        <v>-0.0725</v>
      </c>
      <c r="BD25" s="318" t="n">
        <v>0.01</v>
      </c>
      <c r="BE25" s="318" t="n">
        <v>-0.0725</v>
      </c>
      <c r="BF25" s="318" t="n">
        <v>0.08</v>
      </c>
      <c r="BG25" s="318" t="n">
        <v>0.135</v>
      </c>
      <c r="BH25" s="318" t="n">
        <v>0.155</v>
      </c>
      <c r="BI25" s="318" t="n">
        <v>0.125</v>
      </c>
      <c r="BJ25" s="318" t="n">
        <v>0.35</v>
      </c>
      <c r="BK25" s="318" t="n">
        <v>0</v>
      </c>
      <c r="BL25" s="318" t="n">
        <v>-0.01</v>
      </c>
      <c r="BM25" s="318" t="n">
        <v>0.005</v>
      </c>
      <c r="BN25" s="318" t="n">
        <v>-0.01</v>
      </c>
      <c r="BO25" s="318" t="n">
        <v>0.02</v>
      </c>
      <c r="BP25" s="318" t="n">
        <v>0.005</v>
      </c>
      <c r="BQ25" s="318" t="n">
        <v>0.0025</v>
      </c>
      <c r="BR25" s="318" t="n">
        <v>0.01</v>
      </c>
      <c r="BS25" s="0" t="n">
        <v>0.005</v>
      </c>
      <c r="BT25" s="0" t="n">
        <v>0.02</v>
      </c>
      <c r="BU25" s="0" t="n">
        <v>0.02</v>
      </c>
      <c r="BV25" s="0" t="n">
        <v>0.03</v>
      </c>
    </row>
    <row r="26" customFormat="false" ht="12.75" hidden="false" customHeight="false" outlineLevel="0" collapsed="false">
      <c r="A26" s="320" t="e">
        <f aca="false">#REF!-B26</f>
        <v>#REF!</v>
      </c>
      <c r="B26" s="320" t="n">
        <v>3.636</v>
      </c>
      <c r="C26" s="327" t="n">
        <f aca="false">EOMONTH(C25,0)+1</f>
        <v>37895</v>
      </c>
      <c r="D26" s="0" t="n">
        <v>3.085</v>
      </c>
      <c r="E26" s="320" t="n">
        <v>0.4</v>
      </c>
      <c r="F26" s="318" t="n">
        <v>0.0311721886370702</v>
      </c>
      <c r="G26" s="318" t="n">
        <v>-0.13</v>
      </c>
      <c r="H26" s="318" t="n">
        <v>-0.15</v>
      </c>
      <c r="I26" s="330" t="n">
        <v>-0.09</v>
      </c>
      <c r="J26" s="330" t="n">
        <v>-0.1525</v>
      </c>
      <c r="K26" s="318" t="n">
        <v>-0.09</v>
      </c>
      <c r="L26" s="318" t="n">
        <v>-0.0675</v>
      </c>
      <c r="M26" s="318" t="n">
        <v>-0.1</v>
      </c>
      <c r="N26" s="318" t="n">
        <v>-0.12</v>
      </c>
      <c r="O26" s="318" t="n">
        <v>-0.12</v>
      </c>
      <c r="P26" s="318" t="n">
        <v>-0.13</v>
      </c>
      <c r="Q26" s="318" t="n">
        <v>-0.09875</v>
      </c>
      <c r="R26" s="318" t="n">
        <v>-0.09</v>
      </c>
      <c r="S26" s="318" t="n">
        <v>0.125</v>
      </c>
      <c r="T26" s="318" t="n">
        <v>0.155</v>
      </c>
      <c r="U26" s="318" t="n">
        <v>0.035</v>
      </c>
      <c r="V26" s="318" t="n">
        <v>0.4</v>
      </c>
      <c r="W26" s="318" t="n">
        <v>0.125</v>
      </c>
      <c r="X26" s="318" t="n">
        <v>0.145</v>
      </c>
      <c r="Y26" s="318" t="n">
        <v>-0.025</v>
      </c>
      <c r="Z26" s="318" t="n">
        <v>-0.055</v>
      </c>
      <c r="AA26" s="318" t="n">
        <v>0.0075</v>
      </c>
      <c r="AB26" s="318" t="n">
        <v>-0.02</v>
      </c>
      <c r="AC26" s="318" t="n">
        <v>0.0025</v>
      </c>
      <c r="AD26" s="318" t="n">
        <v>-0.025</v>
      </c>
      <c r="AE26" s="318" t="n">
        <v>-0.0725</v>
      </c>
      <c r="AF26" s="318" t="n">
        <v>-0.065</v>
      </c>
      <c r="AG26" s="318" t="n">
        <v>-0.085</v>
      </c>
      <c r="AH26" s="318" t="n">
        <v>-0.0175</v>
      </c>
      <c r="AI26" s="318" t="n">
        <v>-0.0725</v>
      </c>
      <c r="AJ26" s="318" t="n">
        <v>-0.1075</v>
      </c>
      <c r="AK26" s="318" t="n">
        <v>-0.0175</v>
      </c>
      <c r="AL26" s="318" t="n">
        <v>0.0225</v>
      </c>
      <c r="AM26" s="318" t="n">
        <v>0.36</v>
      </c>
      <c r="AN26" s="318" t="n">
        <v>0.0325</v>
      </c>
      <c r="AO26" s="318" t="n">
        <v>-0.525</v>
      </c>
      <c r="AP26" s="318" t="n">
        <v>-0.105</v>
      </c>
      <c r="AQ26" s="318" t="n">
        <v>-0.26</v>
      </c>
      <c r="AR26" s="318" t="n">
        <v>-0.24</v>
      </c>
      <c r="AS26" s="318" t="n">
        <v>-0.435</v>
      </c>
      <c r="AT26" s="318" t="n">
        <v>-0.525</v>
      </c>
      <c r="AU26" s="318" t="n">
        <v>0.14</v>
      </c>
      <c r="AV26" s="318" t="n">
        <v>-0.525</v>
      </c>
      <c r="AW26" s="318" t="n">
        <v>-0.16</v>
      </c>
      <c r="AX26" s="318" t="n">
        <v>-0.0825</v>
      </c>
      <c r="AY26" s="318" t="n">
        <v>-0.1</v>
      </c>
      <c r="AZ26" s="318" t="n">
        <v>-0.07</v>
      </c>
      <c r="BA26" s="318" t="n">
        <v>-0.09</v>
      </c>
      <c r="BB26" s="318" t="n">
        <v>-0.0225</v>
      </c>
      <c r="BC26" s="318" t="n">
        <v>-0.0725</v>
      </c>
      <c r="BD26" s="318" t="n">
        <v>0.0025</v>
      </c>
      <c r="BE26" s="318" t="n">
        <v>-0.0725</v>
      </c>
      <c r="BF26" s="318" t="n">
        <v>0.08</v>
      </c>
      <c r="BG26" s="318" t="n">
        <v>0.135</v>
      </c>
      <c r="BH26" s="318" t="n">
        <v>0.155</v>
      </c>
      <c r="BI26" s="318" t="n">
        <v>0.125</v>
      </c>
      <c r="BJ26" s="318" t="n">
        <v>0.315</v>
      </c>
      <c r="BK26" s="318" t="n">
        <v>0</v>
      </c>
      <c r="BL26" s="318" t="n">
        <v>-0.01</v>
      </c>
      <c r="BM26" s="318" t="n">
        <v>0.005</v>
      </c>
      <c r="BN26" s="318" t="n">
        <v>-0.01</v>
      </c>
      <c r="BO26" s="318" t="n">
        <v>0.02</v>
      </c>
      <c r="BP26" s="318" t="n">
        <v>0.005</v>
      </c>
      <c r="BQ26" s="318" t="n">
        <v>0.0025</v>
      </c>
      <c r="BR26" s="318" t="n">
        <v>0.01</v>
      </c>
      <c r="BS26" s="0" t="n">
        <v>0.005</v>
      </c>
      <c r="BT26" s="0" t="n">
        <v>0.02</v>
      </c>
      <c r="BU26" s="0" t="n">
        <v>0.02</v>
      </c>
      <c r="BV26" s="0" t="n">
        <v>0.03</v>
      </c>
    </row>
    <row r="27" customFormat="false" ht="12.75" hidden="false" customHeight="false" outlineLevel="0" collapsed="false">
      <c r="A27" s="320" t="e">
        <f aca="false">#REF!-B27</f>
        <v>#REF!</v>
      </c>
      <c r="B27" s="320" t="n">
        <v>3.48</v>
      </c>
      <c r="C27" s="327" t="n">
        <f aca="false">EOMONTH(C26,0)+1</f>
        <v>37926</v>
      </c>
      <c r="D27" s="0" t="n">
        <v>3.233</v>
      </c>
      <c r="E27" s="320" t="n">
        <v>0.4</v>
      </c>
      <c r="F27" s="318" t="n">
        <v>0.0319422401822411</v>
      </c>
      <c r="G27" s="318" t="n">
        <v>-0.13</v>
      </c>
      <c r="H27" s="318" t="n">
        <v>-0.15</v>
      </c>
      <c r="I27" s="330" t="n">
        <v>-0.09</v>
      </c>
      <c r="J27" s="330" t="n">
        <v>-0.1525</v>
      </c>
      <c r="K27" s="318" t="n">
        <v>-0.09</v>
      </c>
      <c r="L27" s="318" t="n">
        <v>-0.0675</v>
      </c>
      <c r="M27" s="318" t="n">
        <v>-0.1</v>
      </c>
      <c r="N27" s="318" t="n">
        <v>-0.12</v>
      </c>
      <c r="O27" s="318" t="n">
        <v>-0.12</v>
      </c>
      <c r="P27" s="318" t="n">
        <v>-0.13</v>
      </c>
      <c r="Q27" s="318" t="n">
        <v>-0.09875</v>
      </c>
      <c r="R27" s="318" t="n">
        <v>-0.09</v>
      </c>
      <c r="S27" s="318" t="n">
        <v>0.125</v>
      </c>
      <c r="T27" s="318" t="n">
        <v>0.155</v>
      </c>
      <c r="U27" s="318" t="n">
        <v>0.035</v>
      </c>
      <c r="V27" s="318" t="n">
        <v>0.4</v>
      </c>
      <c r="W27" s="318" t="n">
        <v>0.145</v>
      </c>
      <c r="X27" s="318" t="n">
        <v>0.175</v>
      </c>
      <c r="Y27" s="318" t="n">
        <v>-0.025</v>
      </c>
      <c r="Z27" s="318" t="n">
        <v>-0.055</v>
      </c>
      <c r="AA27" s="318" t="n">
        <v>0.0075</v>
      </c>
      <c r="AB27" s="318" t="n">
        <v>-0.02</v>
      </c>
      <c r="AC27" s="318" t="n">
        <v>0.0025</v>
      </c>
      <c r="AD27" s="318" t="n">
        <v>-0.025</v>
      </c>
      <c r="AE27" s="318" t="n">
        <v>-0.0725</v>
      </c>
      <c r="AF27" s="318" t="n">
        <v>-0.065</v>
      </c>
      <c r="AG27" s="318" t="n">
        <v>-0.085</v>
      </c>
      <c r="AH27" s="318" t="n">
        <v>-0.0175</v>
      </c>
      <c r="AI27" s="318" t="n">
        <v>-0.0725</v>
      </c>
      <c r="AJ27" s="318" t="n">
        <v>-0.1075</v>
      </c>
      <c r="AK27" s="318" t="n">
        <v>-0.0175</v>
      </c>
      <c r="AL27" s="318" t="n">
        <v>0.0225</v>
      </c>
      <c r="AM27" s="318" t="n">
        <v>0.4</v>
      </c>
      <c r="AN27" s="318" t="n">
        <v>0.0225</v>
      </c>
      <c r="AO27" s="318" t="n">
        <v>-0.525</v>
      </c>
      <c r="AP27" s="318" t="n">
        <v>-0.105</v>
      </c>
      <c r="AQ27" s="318" t="n">
        <v>-0.26</v>
      </c>
      <c r="AR27" s="318" t="n">
        <v>-0.24</v>
      </c>
      <c r="AS27" s="318" t="n">
        <v>-0.435</v>
      </c>
      <c r="AT27" s="318" t="n">
        <v>-0.525</v>
      </c>
      <c r="AU27" s="318" t="n">
        <v>0.14</v>
      </c>
      <c r="AV27" s="318" t="n">
        <v>-0.525</v>
      </c>
      <c r="AW27" s="318" t="n">
        <v>-0.1475</v>
      </c>
      <c r="AX27" s="318" t="n">
        <v>-0.0825</v>
      </c>
      <c r="AY27" s="318" t="n">
        <v>-0.0875</v>
      </c>
      <c r="AZ27" s="318" t="n">
        <v>-0.07</v>
      </c>
      <c r="BA27" s="318" t="n">
        <v>-0.0925</v>
      </c>
      <c r="BB27" s="318" t="n">
        <v>-0.0225</v>
      </c>
      <c r="BC27" s="318" t="n">
        <v>-0.0725</v>
      </c>
      <c r="BD27" s="318" t="n">
        <v>-0.0075</v>
      </c>
      <c r="BE27" s="318" t="n">
        <v>-0.0725</v>
      </c>
      <c r="BF27" s="318" t="n">
        <v>0.08</v>
      </c>
      <c r="BG27" s="318" t="n">
        <v>0.135</v>
      </c>
      <c r="BH27" s="318" t="n">
        <v>0.155</v>
      </c>
      <c r="BI27" s="318" t="n">
        <v>0.125</v>
      </c>
      <c r="BJ27" s="318" t="n">
        <v>0.36</v>
      </c>
      <c r="BK27" s="318" t="n">
        <v>0</v>
      </c>
      <c r="BL27" s="318" t="n">
        <v>-0.015</v>
      </c>
      <c r="BM27" s="318" t="n">
        <v>0.005</v>
      </c>
      <c r="BN27" s="318" t="n">
        <v>-0.01</v>
      </c>
      <c r="BO27" s="318" t="n">
        <v>0.02</v>
      </c>
      <c r="BP27" s="318" t="n">
        <v>0.005</v>
      </c>
      <c r="BQ27" s="318" t="n">
        <v>0.0025</v>
      </c>
      <c r="BR27" s="318" t="n">
        <v>0.01</v>
      </c>
      <c r="BS27" s="0" t="n">
        <v>0.005</v>
      </c>
      <c r="BT27" s="0" t="n">
        <v>0.02</v>
      </c>
      <c r="BU27" s="0" t="n">
        <v>0.02</v>
      </c>
      <c r="BV27" s="0" t="n">
        <v>0.03</v>
      </c>
    </row>
    <row r="28" customFormat="false" ht="12.75" hidden="false" customHeight="false" outlineLevel="0" collapsed="false">
      <c r="A28" s="320" t="e">
        <f aca="false">#REF!-B28</f>
        <v>#REF!</v>
      </c>
      <c r="B28" s="320" t="n">
        <v>3.41</v>
      </c>
      <c r="C28" s="327" t="n">
        <f aca="false">EOMONTH(C27,0)+1</f>
        <v>37956</v>
      </c>
      <c r="D28" s="0" t="n">
        <v>3.335</v>
      </c>
      <c r="E28" s="320" t="n">
        <v>0.398</v>
      </c>
      <c r="F28" s="318" t="n">
        <v>0.0327014546988971</v>
      </c>
      <c r="G28" s="318" t="n">
        <v>-0.13</v>
      </c>
      <c r="H28" s="318" t="n">
        <v>-0.15</v>
      </c>
      <c r="I28" s="330" t="n">
        <v>-0.01</v>
      </c>
      <c r="J28" s="330" t="n">
        <v>-0.1525</v>
      </c>
      <c r="K28" s="318" t="n">
        <v>0</v>
      </c>
      <c r="L28" s="318" t="n">
        <v>-0.0725</v>
      </c>
      <c r="M28" s="318" t="n">
        <v>-0.1</v>
      </c>
      <c r="N28" s="318" t="n">
        <v>-0.12</v>
      </c>
      <c r="O28" s="318" t="n">
        <v>-0.12</v>
      </c>
      <c r="P28" s="318" t="n">
        <v>-0.13</v>
      </c>
      <c r="Q28" s="318" t="n">
        <v>-0.11125</v>
      </c>
      <c r="R28" s="318" t="n">
        <v>-0.095</v>
      </c>
      <c r="S28" s="318" t="n">
        <v>0.145</v>
      </c>
      <c r="T28" s="318" t="n">
        <v>0.195</v>
      </c>
      <c r="U28" s="318" t="n">
        <v>0.125</v>
      </c>
      <c r="V28" s="318" t="n">
        <v>0.46</v>
      </c>
      <c r="W28" s="318" t="n">
        <v>0.195</v>
      </c>
      <c r="X28" s="318" t="n">
        <v>0.25</v>
      </c>
      <c r="Y28" s="318" t="n">
        <v>-0.0225</v>
      </c>
      <c r="Z28" s="318" t="n">
        <v>-0.04</v>
      </c>
      <c r="AA28" s="318" t="n">
        <v>0.0025</v>
      </c>
      <c r="AB28" s="318" t="n">
        <v>-0.0225</v>
      </c>
      <c r="AC28" s="318" t="n">
        <v>0.0025</v>
      </c>
      <c r="AD28" s="318" t="n">
        <v>-0.0225</v>
      </c>
      <c r="AE28" s="318" t="n">
        <v>-0.075</v>
      </c>
      <c r="AF28" s="318" t="n">
        <v>-0.0675</v>
      </c>
      <c r="AG28" s="318" t="n">
        <v>-0.09</v>
      </c>
      <c r="AH28" s="318" t="n">
        <v>-0.019</v>
      </c>
      <c r="AI28" s="318" t="n">
        <v>-0.0675</v>
      </c>
      <c r="AJ28" s="318" t="n">
        <v>-0.1275</v>
      </c>
      <c r="AK28" s="318" t="n">
        <v>-0.0125</v>
      </c>
      <c r="AL28" s="318" t="n">
        <v>0.0275</v>
      </c>
      <c r="AM28" s="318" t="n">
        <v>0.64</v>
      </c>
      <c r="AN28" s="318" t="n">
        <v>-0.025</v>
      </c>
      <c r="AO28" s="318" t="n">
        <v>-0.33</v>
      </c>
      <c r="AP28" s="318" t="n">
        <v>-0.1025</v>
      </c>
      <c r="AQ28" s="318" t="n">
        <v>-0.18</v>
      </c>
      <c r="AR28" s="318" t="n">
        <v>0.1</v>
      </c>
      <c r="AS28" s="318" t="n">
        <v>-0.25</v>
      </c>
      <c r="AT28" s="318" t="n">
        <v>-0.33</v>
      </c>
      <c r="AU28" s="318" t="n">
        <v>0.17</v>
      </c>
      <c r="AV28" s="318" t="n">
        <v>-0.33</v>
      </c>
      <c r="AW28" s="318" t="n">
        <v>-0.17</v>
      </c>
      <c r="AX28" s="318" t="n">
        <v>-0.0825</v>
      </c>
      <c r="AY28" s="318" t="n">
        <v>-0.11</v>
      </c>
      <c r="AZ28" s="318" t="n">
        <v>-0.075</v>
      </c>
      <c r="BA28" s="318" t="n">
        <v>-0.0875</v>
      </c>
      <c r="BB28" s="318" t="n">
        <v>-0.024</v>
      </c>
      <c r="BC28" s="318" t="n">
        <v>-0.0925</v>
      </c>
      <c r="BD28" s="318" t="n">
        <v>-0.055</v>
      </c>
      <c r="BE28" s="318" t="n">
        <v>-0.075</v>
      </c>
      <c r="BF28" s="318" t="n">
        <v>0.1</v>
      </c>
      <c r="BG28" s="318" t="n">
        <v>0.23</v>
      </c>
      <c r="BH28" s="318" t="n">
        <v>0.195</v>
      </c>
      <c r="BI28" s="318" t="n">
        <v>0.145</v>
      </c>
      <c r="BJ28" s="318" t="n">
        <v>0.46</v>
      </c>
      <c r="BK28" s="318" t="n">
        <v>0</v>
      </c>
      <c r="BL28" s="318" t="n">
        <v>-0.02</v>
      </c>
      <c r="BM28" s="318" t="n">
        <v>0.005</v>
      </c>
      <c r="BN28" s="318" t="n">
        <v>0</v>
      </c>
      <c r="BO28" s="318" t="n">
        <v>0.03</v>
      </c>
      <c r="BP28" s="318" t="n">
        <v>0.005</v>
      </c>
      <c r="BQ28" s="318" t="n">
        <v>0.005</v>
      </c>
      <c r="BR28" s="318" t="n">
        <v>0.055</v>
      </c>
      <c r="BS28" s="0" t="n">
        <v>0.02</v>
      </c>
      <c r="BT28" s="0" t="n">
        <v>0.03</v>
      </c>
      <c r="BU28" s="0" t="n">
        <v>0.03</v>
      </c>
      <c r="BV28" s="0" t="n">
        <v>0.04</v>
      </c>
    </row>
    <row r="29" customFormat="false" ht="12.75" hidden="false" customHeight="false" outlineLevel="0" collapsed="false">
      <c r="A29" s="320" t="e">
        <f aca="false">#REF!-B29</f>
        <v>#REF!</v>
      </c>
      <c r="B29" s="320" t="n">
        <v>3.375</v>
      </c>
      <c r="C29" s="327" t="n">
        <f aca="false">EOMONTH(C28,0)+1</f>
        <v>37987</v>
      </c>
      <c r="D29" s="0" t="n">
        <v>3.42</v>
      </c>
      <c r="E29" s="320" t="n">
        <v>0.398</v>
      </c>
      <c r="F29" s="318" t="n">
        <v>0.0334361786094948</v>
      </c>
      <c r="G29" s="318" t="n">
        <v>-0.1325</v>
      </c>
      <c r="H29" s="318" t="n">
        <v>-0.1525</v>
      </c>
      <c r="I29" s="330" t="n">
        <v>-0.005</v>
      </c>
      <c r="J29" s="330" t="n">
        <v>-0.1525</v>
      </c>
      <c r="K29" s="318" t="n">
        <v>0.005</v>
      </c>
      <c r="L29" s="318" t="n">
        <v>-0.075</v>
      </c>
      <c r="M29" s="318" t="n">
        <v>-0.1025</v>
      </c>
      <c r="N29" s="318" t="n">
        <v>-0.1225</v>
      </c>
      <c r="O29" s="318" t="n">
        <v>-0.1225</v>
      </c>
      <c r="P29" s="318" t="n">
        <v>-0.1325</v>
      </c>
      <c r="Q29" s="318" t="n">
        <v>-0.1125</v>
      </c>
      <c r="R29" s="318" t="n">
        <v>-0.095</v>
      </c>
      <c r="S29" s="318" t="n">
        <v>0.145</v>
      </c>
      <c r="T29" s="318" t="n">
        <v>0.195</v>
      </c>
      <c r="U29" s="318" t="n">
        <v>0.125</v>
      </c>
      <c r="V29" s="318" t="n">
        <v>0.47</v>
      </c>
      <c r="W29" s="318" t="n">
        <v>0.215</v>
      </c>
      <c r="X29" s="318" t="n">
        <v>0.33</v>
      </c>
      <c r="Y29" s="318" t="n">
        <v>-0.0225</v>
      </c>
      <c r="Z29" s="318" t="n">
        <v>-0.04</v>
      </c>
      <c r="AA29" s="318" t="n">
        <v>0.0025</v>
      </c>
      <c r="AB29" s="318" t="n">
        <v>-0.0225</v>
      </c>
      <c r="AC29" s="318" t="n">
        <v>0.0025</v>
      </c>
      <c r="AD29" s="318" t="n">
        <v>-0.0225</v>
      </c>
      <c r="AE29" s="318" t="n">
        <v>-0.075</v>
      </c>
      <c r="AF29" s="318" t="n">
        <v>-0.0675</v>
      </c>
      <c r="AG29" s="318" t="n">
        <v>-0.0875</v>
      </c>
      <c r="AH29" s="318" t="n">
        <v>-0.0165</v>
      </c>
      <c r="AI29" s="318" t="n">
        <v>-0.0675</v>
      </c>
      <c r="AJ29" s="318" t="n">
        <v>-0.13</v>
      </c>
      <c r="AK29" s="318" t="n">
        <v>-0.0125</v>
      </c>
      <c r="AL29" s="318" t="n">
        <v>0.0275</v>
      </c>
      <c r="AM29" s="318" t="n">
        <v>0.89</v>
      </c>
      <c r="AN29" s="318" t="n">
        <v>-0.0475</v>
      </c>
      <c r="AO29" s="318" t="n">
        <v>-0.33</v>
      </c>
      <c r="AP29" s="318" t="n">
        <v>-0.1025</v>
      </c>
      <c r="AQ29" s="318" t="n">
        <v>-0.18</v>
      </c>
      <c r="AR29" s="318" t="n">
        <v>0.44</v>
      </c>
      <c r="AS29" s="318" t="n">
        <v>-0.25</v>
      </c>
      <c r="AT29" s="318" t="n">
        <v>-0.33</v>
      </c>
      <c r="AU29" s="318" t="n">
        <v>0.17</v>
      </c>
      <c r="AV29" s="318" t="n">
        <v>-0.33</v>
      </c>
      <c r="AW29" s="318" t="n">
        <v>-0.1975</v>
      </c>
      <c r="AX29" s="318" t="n">
        <v>-0.0825</v>
      </c>
      <c r="AY29" s="318" t="n">
        <v>-0.1375</v>
      </c>
      <c r="AZ29" s="318" t="n">
        <v>-0.075</v>
      </c>
      <c r="BA29" s="318" t="n">
        <v>-0.115</v>
      </c>
      <c r="BB29" s="318" t="n">
        <v>-0.0215</v>
      </c>
      <c r="BC29" s="318" t="n">
        <v>-0.095</v>
      </c>
      <c r="BD29" s="318" t="n">
        <v>-0.0775</v>
      </c>
      <c r="BE29" s="318" t="n">
        <v>-0.075</v>
      </c>
      <c r="BF29" s="318" t="n">
        <v>0.1</v>
      </c>
      <c r="BG29" s="318" t="n">
        <v>0.23</v>
      </c>
      <c r="BH29" s="318" t="n">
        <v>0.195</v>
      </c>
      <c r="BI29" s="318" t="n">
        <v>0.145</v>
      </c>
      <c r="BJ29" s="318" t="n">
        <v>0.78</v>
      </c>
      <c r="BK29" s="318" t="n">
        <v>0</v>
      </c>
      <c r="BL29" s="318" t="n">
        <v>-0.025</v>
      </c>
      <c r="BM29" s="318" t="n">
        <v>0.005</v>
      </c>
      <c r="BN29" s="318" t="n">
        <v>0</v>
      </c>
      <c r="BO29" s="318" t="n">
        <v>0.03</v>
      </c>
      <c r="BP29" s="318" t="n">
        <v>0.005</v>
      </c>
      <c r="BQ29" s="318" t="n">
        <v>0.005</v>
      </c>
      <c r="BR29" s="318" t="n">
        <v>0.25</v>
      </c>
      <c r="BS29" s="0" t="n">
        <v>0.02</v>
      </c>
      <c r="BT29" s="0" t="n">
        <v>0.03</v>
      </c>
      <c r="BU29" s="0" t="n">
        <v>0.03</v>
      </c>
      <c r="BV29" s="0" t="n">
        <v>0.04</v>
      </c>
    </row>
    <row r="30" customFormat="false" ht="12.75" hidden="false" customHeight="false" outlineLevel="0" collapsed="false">
      <c r="A30" s="320" t="e">
        <f aca="false">#REF!-B30</f>
        <v>#REF!</v>
      </c>
      <c r="B30" s="320" t="n">
        <v>3.365</v>
      </c>
      <c r="C30" s="327" t="n">
        <f aca="false">EOMONTH(C29,0)+1</f>
        <v>38018</v>
      </c>
      <c r="D30" s="0" t="n">
        <v>3.301</v>
      </c>
      <c r="E30" s="320" t="n">
        <v>0.37</v>
      </c>
      <c r="F30" s="318" t="n">
        <v>0.0346389566727829</v>
      </c>
      <c r="G30" s="318" t="n">
        <v>-0.135</v>
      </c>
      <c r="H30" s="318" t="n">
        <v>-0.155</v>
      </c>
      <c r="I30" s="330" t="n">
        <v>0.015</v>
      </c>
      <c r="J30" s="330" t="n">
        <v>-0.14</v>
      </c>
      <c r="K30" s="318" t="n">
        <v>0.025</v>
      </c>
      <c r="L30" s="318" t="n">
        <v>-0.075</v>
      </c>
      <c r="M30" s="318" t="n">
        <v>-0.105</v>
      </c>
      <c r="N30" s="318" t="n">
        <v>-0.125</v>
      </c>
      <c r="O30" s="318" t="n">
        <v>-0.125</v>
      </c>
      <c r="P30" s="318" t="n">
        <v>-0.135</v>
      </c>
      <c r="Q30" s="318" t="n">
        <v>-0.1125</v>
      </c>
      <c r="R30" s="318" t="n">
        <v>-0.095</v>
      </c>
      <c r="S30" s="318" t="n">
        <v>0.145</v>
      </c>
      <c r="T30" s="318" t="n">
        <v>0.195</v>
      </c>
      <c r="U30" s="318" t="n">
        <v>0.125</v>
      </c>
      <c r="V30" s="318" t="n">
        <v>0.5</v>
      </c>
      <c r="W30" s="318" t="n">
        <v>0.235</v>
      </c>
      <c r="X30" s="318" t="n">
        <v>0.38</v>
      </c>
      <c r="Y30" s="318" t="n">
        <v>-0.025</v>
      </c>
      <c r="Z30" s="318" t="n">
        <v>-0.04</v>
      </c>
      <c r="AA30" s="318" t="n">
        <v>0.0025</v>
      </c>
      <c r="AB30" s="318" t="n">
        <v>-0.0225</v>
      </c>
      <c r="AC30" s="318" t="n">
        <v>0.0025</v>
      </c>
      <c r="AD30" s="318" t="n">
        <v>-0.0225</v>
      </c>
      <c r="AE30" s="318" t="n">
        <v>-0.075</v>
      </c>
      <c r="AF30" s="318" t="n">
        <v>-0.0675</v>
      </c>
      <c r="AG30" s="318" t="n">
        <v>-0.09</v>
      </c>
      <c r="AH30" s="318" t="n">
        <v>-0.0165</v>
      </c>
      <c r="AI30" s="318" t="n">
        <v>-0.0675</v>
      </c>
      <c r="AJ30" s="318" t="n">
        <v>-0.13</v>
      </c>
      <c r="AK30" s="318" t="n">
        <v>-0.0125</v>
      </c>
      <c r="AL30" s="318" t="n">
        <v>0.0275</v>
      </c>
      <c r="AM30" s="318" t="n">
        <v>1.52</v>
      </c>
      <c r="AN30" s="318" t="n">
        <v>-0.05</v>
      </c>
      <c r="AO30" s="318" t="n">
        <v>-0.33</v>
      </c>
      <c r="AP30" s="318" t="n">
        <v>-0.0875</v>
      </c>
      <c r="AQ30" s="318" t="n">
        <v>-0.18</v>
      </c>
      <c r="AR30" s="318" t="n">
        <v>0.47</v>
      </c>
      <c r="AS30" s="318" t="n">
        <v>-0.25</v>
      </c>
      <c r="AT30" s="318" t="n">
        <v>-0.33</v>
      </c>
      <c r="AU30" s="318" t="n">
        <v>0.17</v>
      </c>
      <c r="AV30" s="318" t="n">
        <v>-0.33</v>
      </c>
      <c r="AW30" s="318" t="n">
        <v>-0.2125</v>
      </c>
      <c r="AX30" s="318" t="n">
        <v>-0.07</v>
      </c>
      <c r="AY30" s="318" t="n">
        <v>-0.1525</v>
      </c>
      <c r="AZ30" s="318" t="n">
        <v>-0.075</v>
      </c>
      <c r="BA30" s="318" t="n">
        <v>-0.115</v>
      </c>
      <c r="BB30" s="318" t="n">
        <v>-0.0215</v>
      </c>
      <c r="BC30" s="318" t="n">
        <v>-0.095</v>
      </c>
      <c r="BD30" s="318" t="n">
        <v>-0.08</v>
      </c>
      <c r="BE30" s="318" t="n">
        <v>-0.075</v>
      </c>
      <c r="BF30" s="318" t="n">
        <v>0.1</v>
      </c>
      <c r="BG30" s="318" t="n">
        <v>0.23</v>
      </c>
      <c r="BH30" s="318" t="n">
        <v>0.195</v>
      </c>
      <c r="BI30" s="318" t="n">
        <v>0.145</v>
      </c>
      <c r="BJ30" s="318" t="n">
        <v>1.04</v>
      </c>
      <c r="BK30" s="318" t="n">
        <v>0</v>
      </c>
      <c r="BL30" s="318" t="n">
        <v>-0.025</v>
      </c>
      <c r="BM30" s="318" t="n">
        <v>0.005</v>
      </c>
      <c r="BN30" s="318" t="n">
        <v>0</v>
      </c>
      <c r="BO30" s="318" t="n">
        <v>0.03</v>
      </c>
      <c r="BP30" s="318" t="n">
        <v>0.005</v>
      </c>
      <c r="BQ30" s="318" t="n">
        <v>0.005</v>
      </c>
      <c r="BR30" s="318" t="n">
        <v>0.45</v>
      </c>
      <c r="BS30" s="0" t="n">
        <v>0.02</v>
      </c>
      <c r="BT30" s="0" t="n">
        <v>0.03</v>
      </c>
      <c r="BU30" s="0" t="n">
        <v>0.03</v>
      </c>
      <c r="BV30" s="0" t="n">
        <v>0.04</v>
      </c>
    </row>
    <row r="31" customFormat="false" ht="12.75" hidden="false" customHeight="false" outlineLevel="0" collapsed="false">
      <c r="A31" s="320" t="e">
        <f aca="false">#REF!-B31</f>
        <v>#REF!</v>
      </c>
      <c r="B31" s="320" t="n">
        <v>3.36</v>
      </c>
      <c r="C31" s="327" t="n">
        <f aca="false">EOMONTH(C30,0)+1</f>
        <v>38047</v>
      </c>
      <c r="D31" s="0" t="n">
        <v>3.25</v>
      </c>
      <c r="E31" s="320" t="n">
        <v>0.365</v>
      </c>
      <c r="F31" s="318" t="n">
        <v>0.0354685691421812</v>
      </c>
      <c r="G31" s="318" t="n">
        <v>-0.1275</v>
      </c>
      <c r="H31" s="318" t="n">
        <v>-0.1475</v>
      </c>
      <c r="I31" s="330" t="n">
        <v>0.01</v>
      </c>
      <c r="J31" s="330" t="n">
        <v>-0.14</v>
      </c>
      <c r="K31" s="318" t="n">
        <v>0.02</v>
      </c>
      <c r="L31" s="318" t="n">
        <v>-0.075</v>
      </c>
      <c r="M31" s="318" t="n">
        <v>-0.0975</v>
      </c>
      <c r="N31" s="318" t="n">
        <v>-0.1175</v>
      </c>
      <c r="O31" s="318" t="n">
        <v>-0.1175</v>
      </c>
      <c r="P31" s="318" t="n">
        <v>-0.1275</v>
      </c>
      <c r="Q31" s="318" t="n">
        <v>-0.1125</v>
      </c>
      <c r="R31" s="318" t="n">
        <v>-0.095</v>
      </c>
      <c r="S31" s="318" t="n">
        <v>0.145</v>
      </c>
      <c r="T31" s="318" t="n">
        <v>0.195</v>
      </c>
      <c r="U31" s="318" t="n">
        <v>0.125</v>
      </c>
      <c r="V31" s="318" t="n">
        <v>0.46</v>
      </c>
      <c r="W31" s="318" t="n">
        <v>0.235</v>
      </c>
      <c r="X31" s="318" t="n">
        <v>0.38</v>
      </c>
      <c r="Y31" s="318" t="n">
        <v>-0.025</v>
      </c>
      <c r="Z31" s="318" t="n">
        <v>-0.04</v>
      </c>
      <c r="AA31" s="318" t="n">
        <v>0.0025</v>
      </c>
      <c r="AB31" s="318" t="n">
        <v>-0.0225</v>
      </c>
      <c r="AC31" s="318" t="n">
        <v>0.0025</v>
      </c>
      <c r="AD31" s="318" t="n">
        <v>-0.0225</v>
      </c>
      <c r="AE31" s="318" t="n">
        <v>-0.075</v>
      </c>
      <c r="AF31" s="318" t="n">
        <v>-0.0675</v>
      </c>
      <c r="AG31" s="318" t="n">
        <v>-0.09</v>
      </c>
      <c r="AH31" s="318" t="n">
        <v>-0.0165</v>
      </c>
      <c r="AI31" s="318" t="n">
        <v>-0.0675</v>
      </c>
      <c r="AJ31" s="318" t="n">
        <v>-0.13</v>
      </c>
      <c r="AK31" s="318" t="n">
        <v>-0.0125</v>
      </c>
      <c r="AL31" s="318" t="n">
        <v>0.0275</v>
      </c>
      <c r="AM31" s="318" t="n">
        <v>1.52</v>
      </c>
      <c r="AN31" s="318" t="n">
        <v>-0.0325</v>
      </c>
      <c r="AO31" s="318" t="n">
        <v>-0.33</v>
      </c>
      <c r="AP31" s="318" t="n">
        <v>-0.0875</v>
      </c>
      <c r="AQ31" s="318" t="n">
        <v>-0.18</v>
      </c>
      <c r="AR31" s="318" t="n">
        <v>0.15</v>
      </c>
      <c r="AS31" s="318" t="n">
        <v>-0.25</v>
      </c>
      <c r="AT31" s="318" t="n">
        <v>-0.33</v>
      </c>
      <c r="AU31" s="318" t="n">
        <v>0.17</v>
      </c>
      <c r="AV31" s="318" t="n">
        <v>-0.33</v>
      </c>
      <c r="AW31" s="318" t="n">
        <v>-0.2025</v>
      </c>
      <c r="AX31" s="318" t="n">
        <v>-0.07</v>
      </c>
      <c r="AY31" s="318" t="n">
        <v>-0.1425</v>
      </c>
      <c r="AZ31" s="318" t="n">
        <v>-0.075</v>
      </c>
      <c r="BA31" s="318" t="n">
        <v>-0.115</v>
      </c>
      <c r="BB31" s="318" t="n">
        <v>-0.0215</v>
      </c>
      <c r="BC31" s="318" t="n">
        <v>-0.095</v>
      </c>
      <c r="BD31" s="318" t="n">
        <v>-0.0625</v>
      </c>
      <c r="BE31" s="318" t="n">
        <v>-0.075</v>
      </c>
      <c r="BF31" s="318" t="n">
        <v>0.1</v>
      </c>
      <c r="BG31" s="318" t="n">
        <v>0.23</v>
      </c>
      <c r="BH31" s="318" t="n">
        <v>0.195</v>
      </c>
      <c r="BI31" s="318" t="n">
        <v>0.145</v>
      </c>
      <c r="BJ31" s="318" t="n">
        <v>1.04</v>
      </c>
      <c r="BK31" s="318" t="n">
        <v>0</v>
      </c>
      <c r="BL31" s="318" t="n">
        <v>-0.025</v>
      </c>
      <c r="BM31" s="318" t="n">
        <v>0.005</v>
      </c>
      <c r="BN31" s="318" t="n">
        <v>0</v>
      </c>
      <c r="BO31" s="318" t="n">
        <v>0.03</v>
      </c>
      <c r="BP31" s="318" t="n">
        <v>0.005</v>
      </c>
      <c r="BQ31" s="318" t="n">
        <v>0.005</v>
      </c>
      <c r="BR31" s="318" t="n">
        <v>0.45</v>
      </c>
      <c r="BS31" s="0" t="n">
        <v>0.02</v>
      </c>
      <c r="BT31" s="0" t="n">
        <v>0.03</v>
      </c>
      <c r="BU31" s="0" t="n">
        <v>0.03</v>
      </c>
      <c r="BV31" s="0" t="n">
        <v>0.04</v>
      </c>
    </row>
    <row r="32" customFormat="false" ht="12.75" hidden="false" customHeight="false" outlineLevel="0" collapsed="false">
      <c r="A32" s="320" t="e">
        <f aca="false">#REF!-B32</f>
        <v>#REF!</v>
      </c>
      <c r="B32" s="320" t="n">
        <v>3.35</v>
      </c>
      <c r="C32" s="327" t="n">
        <f aca="false">EOMONTH(C31,0)+1</f>
        <v>38078</v>
      </c>
      <c r="D32" s="0" t="n">
        <v>3.031</v>
      </c>
      <c r="E32" s="320" t="n">
        <v>0.35</v>
      </c>
      <c r="F32" s="318" t="n">
        <v>0.0362446584359817</v>
      </c>
      <c r="G32" s="318" t="n">
        <v>-0.125</v>
      </c>
      <c r="H32" s="318" t="n">
        <v>-0.145</v>
      </c>
      <c r="I32" s="330" t="n">
        <v>-0.01</v>
      </c>
      <c r="J32" s="330" t="n">
        <v>-0.14</v>
      </c>
      <c r="K32" s="318" t="n">
        <v>0</v>
      </c>
      <c r="L32" s="318" t="n">
        <v>-0.075</v>
      </c>
      <c r="M32" s="318" t="n">
        <v>-0.095</v>
      </c>
      <c r="N32" s="318" t="n">
        <v>-0.115</v>
      </c>
      <c r="O32" s="318" t="n">
        <v>-0.115</v>
      </c>
      <c r="P32" s="318" t="n">
        <v>-0.125</v>
      </c>
      <c r="Q32" s="318" t="n">
        <v>-0.1125</v>
      </c>
      <c r="R32" s="318" t="n">
        <v>-0.095</v>
      </c>
      <c r="S32" s="318" t="n">
        <v>0.145</v>
      </c>
      <c r="T32" s="318" t="n">
        <v>0.195</v>
      </c>
      <c r="U32" s="318" t="n">
        <v>0.125</v>
      </c>
      <c r="V32" s="318" t="n">
        <v>0.34</v>
      </c>
      <c r="W32" s="318" t="n">
        <v>0.195</v>
      </c>
      <c r="X32" s="318" t="n">
        <v>0.33</v>
      </c>
      <c r="Y32" s="318" t="n">
        <v>-0.025</v>
      </c>
      <c r="Z32" s="318" t="n">
        <v>-0.04</v>
      </c>
      <c r="AA32" s="318" t="n">
        <v>0.0025</v>
      </c>
      <c r="AB32" s="318" t="n">
        <v>-0.0225</v>
      </c>
      <c r="AC32" s="318" t="n">
        <v>0.0025</v>
      </c>
      <c r="AD32" s="318" t="n">
        <v>-0.0225</v>
      </c>
      <c r="AE32" s="318" t="n">
        <v>-0.075</v>
      </c>
      <c r="AF32" s="318" t="n">
        <v>-0.0675</v>
      </c>
      <c r="AG32" s="318" t="n">
        <v>-0.09</v>
      </c>
      <c r="AH32" s="318" t="n">
        <v>-0.0165</v>
      </c>
      <c r="AI32" s="318" t="n">
        <v>-0.0675</v>
      </c>
      <c r="AJ32" s="318" t="n">
        <v>-0.13</v>
      </c>
      <c r="AK32" s="318" t="n">
        <v>-0.0125</v>
      </c>
      <c r="AL32" s="318" t="n">
        <v>0.0275</v>
      </c>
      <c r="AM32" s="318" t="n">
        <v>0.63</v>
      </c>
      <c r="AN32" s="318" t="n">
        <v>-0.02</v>
      </c>
      <c r="AO32" s="318" t="n">
        <v>-0.33</v>
      </c>
      <c r="AP32" s="318" t="n">
        <v>-0.0875</v>
      </c>
      <c r="AQ32" s="318" t="n">
        <v>-0.18</v>
      </c>
      <c r="AR32" s="318" t="n">
        <v>-0.16</v>
      </c>
      <c r="AS32" s="318" t="n">
        <v>-0.25</v>
      </c>
      <c r="AT32" s="318" t="n">
        <v>-0.33</v>
      </c>
      <c r="AU32" s="318" t="n">
        <v>0.17</v>
      </c>
      <c r="AV32" s="318" t="n">
        <v>-0.33</v>
      </c>
      <c r="AW32" s="318" t="n">
        <v>-0.1925</v>
      </c>
      <c r="AX32" s="318" t="n">
        <v>-0.07</v>
      </c>
      <c r="AY32" s="318" t="n">
        <v>-0.1325</v>
      </c>
      <c r="AZ32" s="318" t="n">
        <v>-0.075</v>
      </c>
      <c r="BA32" s="318" t="n">
        <v>-0.115</v>
      </c>
      <c r="BB32" s="318" t="n">
        <v>-0.0215</v>
      </c>
      <c r="BC32" s="318" t="n">
        <v>-0.095</v>
      </c>
      <c r="BD32" s="318" t="n">
        <v>-0.05</v>
      </c>
      <c r="BE32" s="318" t="n">
        <v>-0.075</v>
      </c>
      <c r="BF32" s="318" t="n">
        <v>0.1</v>
      </c>
      <c r="BG32" s="318" t="n">
        <v>0.23</v>
      </c>
      <c r="BH32" s="318" t="n">
        <v>0.195</v>
      </c>
      <c r="BI32" s="318" t="n">
        <v>0.145</v>
      </c>
      <c r="BJ32" s="318" t="n">
        <v>0.54</v>
      </c>
      <c r="BK32" s="318" t="n">
        <v>0</v>
      </c>
      <c r="BL32" s="318" t="n">
        <v>-0.02</v>
      </c>
      <c r="BM32" s="318" t="n">
        <v>0.005</v>
      </c>
      <c r="BN32" s="318" t="n">
        <v>0</v>
      </c>
      <c r="BO32" s="318" t="n">
        <v>0.03</v>
      </c>
      <c r="BP32" s="318" t="n">
        <v>0.005</v>
      </c>
      <c r="BQ32" s="318" t="n">
        <v>0.005</v>
      </c>
      <c r="BR32" s="318" t="n">
        <v>0.1</v>
      </c>
      <c r="BS32" s="0" t="n">
        <v>0.02</v>
      </c>
      <c r="BT32" s="0" t="n">
        <v>0.03</v>
      </c>
      <c r="BU32" s="0" t="n">
        <v>0.03</v>
      </c>
      <c r="BV32" s="0" t="n">
        <v>0.04</v>
      </c>
    </row>
    <row r="33" customFormat="false" ht="12.75" hidden="false" customHeight="false" outlineLevel="0" collapsed="false">
      <c r="A33" s="320" t="e">
        <f aca="false">#REF!-B33</f>
        <v>#REF!</v>
      </c>
      <c r="B33" s="320" t="n">
        <v>3.368</v>
      </c>
      <c r="C33" s="327" t="n">
        <f aca="false">EOMONTH(C32,0)+1</f>
        <v>38108</v>
      </c>
      <c r="D33" s="0" t="n">
        <v>3.034</v>
      </c>
      <c r="E33" s="320" t="n">
        <v>0.32</v>
      </c>
      <c r="F33" s="318" t="n">
        <v>0.0370210690335231</v>
      </c>
      <c r="G33" s="318" t="n">
        <v>-0.13</v>
      </c>
      <c r="H33" s="318" t="n">
        <v>-0.15</v>
      </c>
      <c r="I33" s="330" t="n">
        <v>-0.09</v>
      </c>
      <c r="J33" s="330" t="n">
        <v>-0.14</v>
      </c>
      <c r="K33" s="318" t="n">
        <v>-0.09</v>
      </c>
      <c r="L33" s="318" t="n">
        <v>-0.065</v>
      </c>
      <c r="M33" s="318" t="n">
        <v>-0.1</v>
      </c>
      <c r="N33" s="318" t="n">
        <v>-0.12</v>
      </c>
      <c r="O33" s="318" t="n">
        <v>-0.12</v>
      </c>
      <c r="P33" s="318" t="n">
        <v>-0.13</v>
      </c>
      <c r="Q33" s="318" t="n">
        <v>-0.095</v>
      </c>
      <c r="R33" s="318" t="n">
        <v>-0.085</v>
      </c>
      <c r="S33" s="318" t="n">
        <v>0.125</v>
      </c>
      <c r="T33" s="318" t="n">
        <v>0.155</v>
      </c>
      <c r="U33" s="318" t="n">
        <v>0.04</v>
      </c>
      <c r="V33" s="318" t="n">
        <v>0.5</v>
      </c>
      <c r="W33" s="318" t="n">
        <v>0.145</v>
      </c>
      <c r="X33" s="318" t="n">
        <v>0.195</v>
      </c>
      <c r="Y33" s="318" t="n">
        <v>-0.0275</v>
      </c>
      <c r="Z33" s="318" t="n">
        <v>-0.05</v>
      </c>
      <c r="AA33" s="318" t="n">
        <v>0.01</v>
      </c>
      <c r="AB33" s="318" t="n">
        <v>-0.015</v>
      </c>
      <c r="AC33" s="318" t="n">
        <v>0.0025</v>
      </c>
      <c r="AD33" s="318" t="n">
        <v>-0.0225</v>
      </c>
      <c r="AE33" s="318" t="n">
        <v>-0.0725</v>
      </c>
      <c r="AF33" s="318" t="n">
        <v>-0.065</v>
      </c>
      <c r="AG33" s="318" t="n">
        <v>-0.0875</v>
      </c>
      <c r="AH33" s="318" t="n">
        <v>-0.0165</v>
      </c>
      <c r="AI33" s="318" t="n">
        <v>-0.0725</v>
      </c>
      <c r="AJ33" s="318" t="n">
        <v>-0.105</v>
      </c>
      <c r="AK33" s="318" t="n">
        <v>-0.0175</v>
      </c>
      <c r="AL33" s="318" t="n">
        <v>0.0225</v>
      </c>
      <c r="AM33" s="318" t="n">
        <v>0.38</v>
      </c>
      <c r="AN33" s="318" t="n">
        <v>0.025</v>
      </c>
      <c r="AO33" s="318" t="n">
        <v>-0.51</v>
      </c>
      <c r="AP33" s="318" t="n">
        <v>-0.0875</v>
      </c>
      <c r="AQ33" s="318" t="n">
        <v>-0.22</v>
      </c>
      <c r="AR33" s="318" t="n">
        <v>-0.3</v>
      </c>
      <c r="AS33" s="318" t="n">
        <v>-0.42</v>
      </c>
      <c r="AT33" s="318" t="n">
        <v>-0.51</v>
      </c>
      <c r="AU33" s="318" t="n">
        <v>0.21</v>
      </c>
      <c r="AV33" s="318" t="n">
        <v>-0.51</v>
      </c>
      <c r="AW33" s="318" t="n">
        <v>-0.22</v>
      </c>
      <c r="AX33" s="318" t="n">
        <v>-0.07</v>
      </c>
      <c r="AY33" s="318" t="n">
        <v>-0.16</v>
      </c>
      <c r="AZ33" s="318" t="n">
        <v>-0.065</v>
      </c>
      <c r="BA33" s="318" t="n">
        <v>-0.1375</v>
      </c>
      <c r="BB33" s="318" t="n">
        <v>-0.0215</v>
      </c>
      <c r="BC33" s="318" t="n">
        <v>-0.07</v>
      </c>
      <c r="BD33" s="318" t="n">
        <v>-0.005</v>
      </c>
      <c r="BE33" s="318" t="n">
        <v>-0.0725</v>
      </c>
      <c r="BF33" s="318" t="n">
        <v>0.075</v>
      </c>
      <c r="BG33" s="318" t="n">
        <v>0.145</v>
      </c>
      <c r="BH33" s="318" t="n">
        <v>0.155</v>
      </c>
      <c r="BI33" s="318" t="n">
        <v>0.125</v>
      </c>
      <c r="BJ33" s="318" t="n">
        <v>0.36</v>
      </c>
      <c r="BK33" s="318" t="n">
        <v>0</v>
      </c>
      <c r="BL33" s="318" t="n">
        <v>-0.015</v>
      </c>
      <c r="BM33" s="318" t="n">
        <v>0.005</v>
      </c>
      <c r="BN33" s="318" t="n">
        <v>-0.01</v>
      </c>
      <c r="BO33" s="318" t="n">
        <v>0.02</v>
      </c>
      <c r="BP33" s="318" t="n">
        <v>0.005</v>
      </c>
      <c r="BQ33" s="318" t="n">
        <v>0.0025</v>
      </c>
      <c r="BR33" s="318" t="n">
        <v>0.02</v>
      </c>
      <c r="BS33" s="0" t="n">
        <v>0.005</v>
      </c>
      <c r="BT33" s="0" t="n">
        <v>0.03</v>
      </c>
      <c r="BU33" s="0" t="n">
        <v>0.03</v>
      </c>
      <c r="BV33" s="0" t="n">
        <v>0.03</v>
      </c>
    </row>
    <row r="34" customFormat="false" ht="12.75" hidden="false" customHeight="false" outlineLevel="0" collapsed="false">
      <c r="A34" s="320" t="e">
        <f aca="false">#REF!-B34</f>
        <v>#REF!</v>
      </c>
      <c r="B34" s="320" t="n">
        <v>3.48</v>
      </c>
      <c r="C34" s="327" t="n">
        <f aca="false">EOMONTH(C33,0)+1</f>
        <v>38139</v>
      </c>
      <c r="D34" s="0" t="n">
        <v>3.074</v>
      </c>
      <c r="E34" s="320" t="n">
        <v>0.315</v>
      </c>
      <c r="F34" s="318" t="n">
        <v>0.037717515784331</v>
      </c>
      <c r="G34" s="318" t="n">
        <v>-0.13</v>
      </c>
      <c r="H34" s="318" t="n">
        <v>-0.15</v>
      </c>
      <c r="I34" s="330" t="n">
        <v>-0.09</v>
      </c>
      <c r="J34" s="330" t="n">
        <v>-0.14</v>
      </c>
      <c r="K34" s="318" t="n">
        <v>-0.09</v>
      </c>
      <c r="L34" s="318" t="n">
        <v>-0.065</v>
      </c>
      <c r="M34" s="318" t="n">
        <v>-0.1</v>
      </c>
      <c r="N34" s="318" t="n">
        <v>-0.12</v>
      </c>
      <c r="O34" s="318" t="n">
        <v>-0.12</v>
      </c>
      <c r="P34" s="318" t="n">
        <v>-0.13</v>
      </c>
      <c r="Q34" s="318" t="n">
        <v>-0.095</v>
      </c>
      <c r="R34" s="318" t="n">
        <v>-0.085</v>
      </c>
      <c r="S34" s="318" t="n">
        <v>0.125</v>
      </c>
      <c r="T34" s="318" t="n">
        <v>0.155</v>
      </c>
      <c r="U34" s="318" t="n">
        <v>0.04</v>
      </c>
      <c r="V34" s="318" t="n">
        <v>0.5</v>
      </c>
      <c r="W34" s="318" t="n">
        <v>0.125</v>
      </c>
      <c r="X34" s="318" t="n">
        <v>0.135</v>
      </c>
      <c r="Y34" s="318" t="n">
        <v>-0.0275</v>
      </c>
      <c r="Z34" s="318" t="n">
        <v>-0.05</v>
      </c>
      <c r="AA34" s="318" t="n">
        <v>0.01</v>
      </c>
      <c r="AB34" s="318" t="n">
        <v>-0.015</v>
      </c>
      <c r="AC34" s="318" t="n">
        <v>0.0025</v>
      </c>
      <c r="AD34" s="318" t="n">
        <v>-0.0225</v>
      </c>
      <c r="AE34" s="318" t="n">
        <v>-0.0725</v>
      </c>
      <c r="AF34" s="318" t="n">
        <v>-0.065</v>
      </c>
      <c r="AG34" s="318" t="n">
        <v>-0.0875</v>
      </c>
      <c r="AH34" s="318" t="n">
        <v>-0.0165</v>
      </c>
      <c r="AI34" s="318" t="n">
        <v>-0.0725</v>
      </c>
      <c r="AJ34" s="318" t="n">
        <v>-0.105</v>
      </c>
      <c r="AK34" s="318" t="n">
        <v>-0.0175</v>
      </c>
      <c r="AL34" s="318" t="n">
        <v>0.0225</v>
      </c>
      <c r="AM34" s="318" t="n">
        <v>0.33</v>
      </c>
      <c r="AN34" s="318" t="n">
        <v>0.025</v>
      </c>
      <c r="AO34" s="318" t="n">
        <v>-0.51</v>
      </c>
      <c r="AP34" s="318" t="n">
        <v>-0.0875</v>
      </c>
      <c r="AQ34" s="318" t="n">
        <v>-0.22</v>
      </c>
      <c r="AR34" s="318" t="n">
        <v>-0.3</v>
      </c>
      <c r="AS34" s="318" t="n">
        <v>-0.42</v>
      </c>
      <c r="AT34" s="318" t="n">
        <v>-0.51</v>
      </c>
      <c r="AU34" s="318" t="n">
        <v>0.21</v>
      </c>
      <c r="AV34" s="318" t="n">
        <v>-0.51</v>
      </c>
      <c r="AW34" s="318" t="n">
        <v>-0.1975</v>
      </c>
      <c r="AX34" s="318" t="n">
        <v>-0.07</v>
      </c>
      <c r="AY34" s="318" t="n">
        <v>-0.1375</v>
      </c>
      <c r="AZ34" s="318" t="n">
        <v>-0.065</v>
      </c>
      <c r="BA34" s="318" t="n">
        <v>-0.13</v>
      </c>
      <c r="BB34" s="318" t="n">
        <v>-0.0215</v>
      </c>
      <c r="BC34" s="318" t="n">
        <v>-0.07</v>
      </c>
      <c r="BD34" s="318" t="n">
        <v>-0.005</v>
      </c>
      <c r="BE34" s="318" t="n">
        <v>-0.0725</v>
      </c>
      <c r="BF34" s="318" t="n">
        <v>0.075</v>
      </c>
      <c r="BG34" s="318" t="n">
        <v>0.145</v>
      </c>
      <c r="BH34" s="318" t="n">
        <v>0.155</v>
      </c>
      <c r="BI34" s="318" t="n">
        <v>0.125</v>
      </c>
      <c r="BJ34" s="318" t="n">
        <v>0.325</v>
      </c>
      <c r="BK34" s="318" t="n">
        <v>0</v>
      </c>
      <c r="BL34" s="318" t="n">
        <v>-0.015</v>
      </c>
      <c r="BM34" s="318" t="n">
        <v>0.005</v>
      </c>
      <c r="BN34" s="318" t="n">
        <v>-0.01</v>
      </c>
      <c r="BO34" s="318" t="n">
        <v>0.02</v>
      </c>
      <c r="BP34" s="318" t="n">
        <v>0.005</v>
      </c>
      <c r="BQ34" s="318" t="n">
        <v>0.0025</v>
      </c>
      <c r="BR34" s="318" t="n">
        <v>0.02</v>
      </c>
      <c r="BS34" s="0" t="n">
        <v>0.005</v>
      </c>
      <c r="BT34" s="0" t="n">
        <v>0.03</v>
      </c>
      <c r="BU34" s="0" t="n">
        <v>0.03</v>
      </c>
      <c r="BV34" s="0" t="n">
        <v>0.03</v>
      </c>
    </row>
    <row r="35" customFormat="false" ht="12.75" hidden="false" customHeight="false" outlineLevel="0" collapsed="false">
      <c r="A35" s="320" t="e">
        <f aca="false">#REF!-B35</f>
        <v>#REF!</v>
      </c>
      <c r="B35" s="320" t="n">
        <v>3.589</v>
      </c>
      <c r="C35" s="327" t="n">
        <f aca="false">EOMONTH(C34,0)+1</f>
        <v>38169</v>
      </c>
      <c r="D35" s="0" t="n">
        <v>3.114</v>
      </c>
      <c r="E35" s="320" t="n">
        <v>0.315</v>
      </c>
      <c r="F35" s="318" t="n">
        <v>0.038437177597991</v>
      </c>
      <c r="G35" s="318" t="n">
        <v>-0.13</v>
      </c>
      <c r="H35" s="318" t="n">
        <v>-0.15</v>
      </c>
      <c r="I35" s="330" t="n">
        <v>-0.09</v>
      </c>
      <c r="J35" s="330" t="n">
        <v>-0.14</v>
      </c>
      <c r="K35" s="318" t="n">
        <v>-0.09</v>
      </c>
      <c r="L35" s="318" t="n">
        <v>-0.065</v>
      </c>
      <c r="M35" s="318" t="n">
        <v>-0.1</v>
      </c>
      <c r="N35" s="318" t="n">
        <v>-0.12</v>
      </c>
      <c r="O35" s="318" t="n">
        <v>-0.12</v>
      </c>
      <c r="P35" s="318" t="n">
        <v>-0.13</v>
      </c>
      <c r="Q35" s="318" t="n">
        <v>-0.095</v>
      </c>
      <c r="R35" s="318" t="n">
        <v>-0.085</v>
      </c>
      <c r="S35" s="318" t="n">
        <v>0.125</v>
      </c>
      <c r="T35" s="318" t="n">
        <v>0.155</v>
      </c>
      <c r="U35" s="318" t="n">
        <v>0.04</v>
      </c>
      <c r="V35" s="318" t="n">
        <v>0.5</v>
      </c>
      <c r="W35" s="318" t="n">
        <v>0.145</v>
      </c>
      <c r="X35" s="318" t="n">
        <v>0.165</v>
      </c>
      <c r="Y35" s="318" t="n">
        <v>-0.0275</v>
      </c>
      <c r="Z35" s="318" t="n">
        <v>-0.0475</v>
      </c>
      <c r="AA35" s="318" t="n">
        <v>0.0125</v>
      </c>
      <c r="AB35" s="318" t="n">
        <v>-0.0125</v>
      </c>
      <c r="AC35" s="318" t="n">
        <v>0.0025</v>
      </c>
      <c r="AD35" s="318" t="n">
        <v>-0.0225</v>
      </c>
      <c r="AE35" s="318" t="n">
        <v>-0.0725</v>
      </c>
      <c r="AF35" s="318" t="n">
        <v>-0.065</v>
      </c>
      <c r="AG35" s="318" t="n">
        <v>-0.0875</v>
      </c>
      <c r="AH35" s="318" t="n">
        <v>-0.0165</v>
      </c>
      <c r="AI35" s="318" t="n">
        <v>-0.0725</v>
      </c>
      <c r="AJ35" s="318" t="n">
        <v>-0.105</v>
      </c>
      <c r="AK35" s="318" t="n">
        <v>-0.0175</v>
      </c>
      <c r="AL35" s="318" t="n">
        <v>0.0225</v>
      </c>
      <c r="AM35" s="318" t="n">
        <v>0.37</v>
      </c>
      <c r="AN35" s="318" t="n">
        <v>0.03</v>
      </c>
      <c r="AO35" s="318" t="n">
        <v>-0.51</v>
      </c>
      <c r="AP35" s="318" t="n">
        <v>-0.0875</v>
      </c>
      <c r="AQ35" s="318" t="n">
        <v>-0.22</v>
      </c>
      <c r="AR35" s="318" t="n">
        <v>-0.3</v>
      </c>
      <c r="AS35" s="318" t="n">
        <v>-0.42</v>
      </c>
      <c r="AT35" s="318" t="n">
        <v>-0.51</v>
      </c>
      <c r="AU35" s="318" t="n">
        <v>0.21</v>
      </c>
      <c r="AV35" s="318" t="n">
        <v>-0.51</v>
      </c>
      <c r="AW35" s="318" t="n">
        <v>-0.145</v>
      </c>
      <c r="AX35" s="318" t="n">
        <v>-0.07</v>
      </c>
      <c r="AY35" s="318" t="n">
        <v>-0.085</v>
      </c>
      <c r="AZ35" s="318" t="n">
        <v>-0.065</v>
      </c>
      <c r="BA35" s="318" t="n">
        <v>-0.0875</v>
      </c>
      <c r="BB35" s="318" t="n">
        <v>-0.0215</v>
      </c>
      <c r="BC35" s="318" t="n">
        <v>-0.07</v>
      </c>
      <c r="BD35" s="318" t="n">
        <v>0</v>
      </c>
      <c r="BE35" s="318" t="n">
        <v>-0.0725</v>
      </c>
      <c r="BF35" s="318" t="n">
        <v>0.075</v>
      </c>
      <c r="BG35" s="318" t="n">
        <v>0.145</v>
      </c>
      <c r="BH35" s="318" t="n">
        <v>0.155</v>
      </c>
      <c r="BI35" s="318" t="n">
        <v>0.125</v>
      </c>
      <c r="BJ35" s="318" t="n">
        <v>0.335</v>
      </c>
      <c r="BK35" s="318" t="n">
        <v>0</v>
      </c>
      <c r="BL35" s="318" t="n">
        <v>-0.015</v>
      </c>
      <c r="BM35" s="318" t="n">
        <v>0.005</v>
      </c>
      <c r="BN35" s="318" t="n">
        <v>-0.01</v>
      </c>
      <c r="BO35" s="318" t="n">
        <v>0.02</v>
      </c>
      <c r="BP35" s="318" t="n">
        <v>0.005</v>
      </c>
      <c r="BQ35" s="318" t="n">
        <v>0.0025</v>
      </c>
      <c r="BR35" s="318" t="n">
        <v>0.035</v>
      </c>
      <c r="BS35" s="0" t="n">
        <v>0.005</v>
      </c>
      <c r="BT35" s="0" t="n">
        <v>0.03</v>
      </c>
      <c r="BU35" s="0" t="n">
        <v>0.03</v>
      </c>
      <c r="BV35" s="0" t="n">
        <v>0.03</v>
      </c>
    </row>
    <row r="36" customFormat="false" ht="12.75" hidden="false" customHeight="false" outlineLevel="0" collapsed="false">
      <c r="A36" s="320" t="e">
        <f aca="false">#REF!-B36</f>
        <v>#REF!</v>
      </c>
      <c r="B36" s="320" t="n">
        <v>3.608</v>
      </c>
      <c r="C36" s="327" t="n">
        <f aca="false">EOMONTH(C35,0)+1</f>
        <v>38200</v>
      </c>
      <c r="D36" s="0" t="n">
        <v>3.164</v>
      </c>
      <c r="E36" s="320" t="n">
        <v>0.315</v>
      </c>
      <c r="F36" s="318" t="n">
        <v>0.0390982280263858</v>
      </c>
      <c r="G36" s="318" t="n">
        <v>-0.13</v>
      </c>
      <c r="H36" s="318" t="n">
        <v>-0.15</v>
      </c>
      <c r="I36" s="330" t="n">
        <v>-0.09</v>
      </c>
      <c r="J36" s="330" t="n">
        <v>-0.14</v>
      </c>
      <c r="K36" s="318" t="n">
        <v>-0.09</v>
      </c>
      <c r="L36" s="318" t="n">
        <v>-0.065</v>
      </c>
      <c r="M36" s="318" t="n">
        <v>-0.1</v>
      </c>
      <c r="N36" s="318" t="n">
        <v>-0.12</v>
      </c>
      <c r="O36" s="318" t="n">
        <v>-0.12</v>
      </c>
      <c r="P36" s="318" t="n">
        <v>-0.13</v>
      </c>
      <c r="Q36" s="318" t="n">
        <v>-0.095</v>
      </c>
      <c r="R36" s="318" t="n">
        <v>-0.085</v>
      </c>
      <c r="S36" s="318" t="n">
        <v>0.125</v>
      </c>
      <c r="T36" s="318" t="n">
        <v>0.155</v>
      </c>
      <c r="U36" s="318" t="n">
        <v>0.04</v>
      </c>
      <c r="V36" s="318" t="n">
        <v>0.5</v>
      </c>
      <c r="W36" s="318" t="n">
        <v>0.15</v>
      </c>
      <c r="X36" s="318" t="n">
        <v>0.205</v>
      </c>
      <c r="Y36" s="318" t="n">
        <v>-0.0275</v>
      </c>
      <c r="Z36" s="318" t="n">
        <v>-0.0475</v>
      </c>
      <c r="AA36" s="318" t="n">
        <v>0.0125</v>
      </c>
      <c r="AB36" s="318" t="n">
        <v>-0.0125</v>
      </c>
      <c r="AC36" s="318" t="n">
        <v>0.0025</v>
      </c>
      <c r="AD36" s="318" t="n">
        <v>-0.0225</v>
      </c>
      <c r="AE36" s="318" t="n">
        <v>-0.0725</v>
      </c>
      <c r="AF36" s="318" t="n">
        <v>-0.065</v>
      </c>
      <c r="AG36" s="318" t="n">
        <v>-0.0875</v>
      </c>
      <c r="AH36" s="318" t="n">
        <v>-0.0165</v>
      </c>
      <c r="AI36" s="318" t="n">
        <v>-0.0725</v>
      </c>
      <c r="AJ36" s="318" t="n">
        <v>-0.105</v>
      </c>
      <c r="AK36" s="318" t="n">
        <v>-0.0175</v>
      </c>
      <c r="AL36" s="318" t="n">
        <v>0.0225</v>
      </c>
      <c r="AM36" s="318" t="n">
        <v>0.41</v>
      </c>
      <c r="AN36" s="318" t="n">
        <v>0.0325</v>
      </c>
      <c r="AO36" s="318" t="n">
        <v>-0.51</v>
      </c>
      <c r="AP36" s="318" t="n">
        <v>-0.0875</v>
      </c>
      <c r="AQ36" s="318" t="n">
        <v>-0.22</v>
      </c>
      <c r="AR36" s="318" t="n">
        <v>-0.3</v>
      </c>
      <c r="AS36" s="318" t="n">
        <v>-0.42</v>
      </c>
      <c r="AT36" s="318" t="n">
        <v>-0.51</v>
      </c>
      <c r="AU36" s="318" t="n">
        <v>0.21</v>
      </c>
      <c r="AV36" s="318" t="n">
        <v>-0.51</v>
      </c>
      <c r="AW36" s="318" t="n">
        <v>-0.155</v>
      </c>
      <c r="AX36" s="318" t="n">
        <v>-0.07</v>
      </c>
      <c r="AY36" s="318" t="n">
        <v>-0.095</v>
      </c>
      <c r="AZ36" s="318" t="n">
        <v>-0.065</v>
      </c>
      <c r="BA36" s="318" t="n">
        <v>-0.085</v>
      </c>
      <c r="BB36" s="318" t="n">
        <v>-0.0215</v>
      </c>
      <c r="BC36" s="318" t="n">
        <v>-0.07</v>
      </c>
      <c r="BD36" s="318" t="n">
        <v>0.0025</v>
      </c>
      <c r="BE36" s="318" t="n">
        <v>-0.0725</v>
      </c>
      <c r="BF36" s="318" t="n">
        <v>0.075</v>
      </c>
      <c r="BG36" s="318" t="n">
        <v>0.145</v>
      </c>
      <c r="BH36" s="318" t="n">
        <v>0.155</v>
      </c>
      <c r="BI36" s="318" t="n">
        <v>0.125</v>
      </c>
      <c r="BJ36" s="318" t="n">
        <v>0.35</v>
      </c>
      <c r="BK36" s="318" t="n">
        <v>0</v>
      </c>
      <c r="BL36" s="318" t="n">
        <v>-0.01</v>
      </c>
      <c r="BM36" s="318" t="n">
        <v>0.005</v>
      </c>
      <c r="BN36" s="318" t="n">
        <v>-0.01</v>
      </c>
      <c r="BO36" s="318" t="n">
        <v>0.02</v>
      </c>
      <c r="BP36" s="318" t="n">
        <v>0.005</v>
      </c>
      <c r="BQ36" s="318" t="n">
        <v>0.0025</v>
      </c>
      <c r="BR36" s="318" t="n">
        <v>0.035</v>
      </c>
      <c r="BS36" s="0" t="n">
        <v>0.005</v>
      </c>
      <c r="BT36" s="0" t="n">
        <v>0.03</v>
      </c>
      <c r="BU36" s="0" t="n">
        <v>0.03</v>
      </c>
      <c r="BV36" s="0" t="n">
        <v>0.03</v>
      </c>
    </row>
    <row r="37" customFormat="false" ht="12.75" hidden="false" customHeight="false" outlineLevel="0" collapsed="false">
      <c r="A37" s="320" t="e">
        <f aca="false">#REF!-B37</f>
        <v>#REF!</v>
      </c>
      <c r="B37" s="320" t="n">
        <v>3.478</v>
      </c>
      <c r="C37" s="327" t="n">
        <f aca="false">EOMONTH(C36,0)+1</f>
        <v>38231</v>
      </c>
      <c r="D37" s="0" t="n">
        <v>3.149</v>
      </c>
      <c r="E37" s="320" t="n">
        <v>0.315</v>
      </c>
      <c r="F37" s="318" t="n">
        <v>0.0397424893326637</v>
      </c>
      <c r="G37" s="318" t="n">
        <v>-0.13</v>
      </c>
      <c r="H37" s="318" t="n">
        <v>-0.15</v>
      </c>
      <c r="I37" s="330" t="n">
        <v>-0.09</v>
      </c>
      <c r="J37" s="330" t="n">
        <v>-0.14</v>
      </c>
      <c r="K37" s="318" t="n">
        <v>-0.09</v>
      </c>
      <c r="L37" s="318" t="n">
        <v>-0.065</v>
      </c>
      <c r="M37" s="318" t="n">
        <v>-0.1</v>
      </c>
      <c r="N37" s="318" t="n">
        <v>-0.12</v>
      </c>
      <c r="O37" s="318" t="n">
        <v>-0.12</v>
      </c>
      <c r="P37" s="318" t="n">
        <v>-0.13</v>
      </c>
      <c r="Q37" s="318" t="n">
        <v>-0.095</v>
      </c>
      <c r="R37" s="318" t="n">
        <v>-0.085</v>
      </c>
      <c r="S37" s="318" t="n">
        <v>0.125</v>
      </c>
      <c r="T37" s="318" t="n">
        <v>0.155</v>
      </c>
      <c r="U37" s="318" t="n">
        <v>0.04</v>
      </c>
      <c r="V37" s="318" t="n">
        <v>0.5</v>
      </c>
      <c r="W37" s="318" t="n">
        <v>0.15</v>
      </c>
      <c r="X37" s="318" t="n">
        <v>0.205</v>
      </c>
      <c r="Y37" s="318" t="n">
        <v>-0.0275</v>
      </c>
      <c r="Z37" s="318" t="n">
        <v>-0.0475</v>
      </c>
      <c r="AA37" s="318" t="n">
        <v>0.0125</v>
      </c>
      <c r="AB37" s="318" t="n">
        <v>-0.0125</v>
      </c>
      <c r="AC37" s="318" t="n">
        <v>0.0025</v>
      </c>
      <c r="AD37" s="318" t="n">
        <v>-0.0225</v>
      </c>
      <c r="AE37" s="318" t="n">
        <v>-0.0725</v>
      </c>
      <c r="AF37" s="318" t="n">
        <v>-0.065</v>
      </c>
      <c r="AG37" s="318" t="n">
        <v>-0.0875</v>
      </c>
      <c r="AH37" s="318" t="n">
        <v>-0.0165</v>
      </c>
      <c r="AI37" s="318" t="n">
        <v>-0.0725</v>
      </c>
      <c r="AJ37" s="318" t="n">
        <v>-0.105</v>
      </c>
      <c r="AK37" s="318" t="n">
        <v>-0.0175</v>
      </c>
      <c r="AL37" s="318" t="n">
        <v>0.0225</v>
      </c>
      <c r="AM37" s="318" t="n">
        <v>0.41</v>
      </c>
      <c r="AN37" s="318" t="n">
        <v>0.035</v>
      </c>
      <c r="AO37" s="318" t="n">
        <v>-0.51</v>
      </c>
      <c r="AP37" s="318" t="n">
        <v>-0.0875</v>
      </c>
      <c r="AQ37" s="318" t="n">
        <v>-0.22</v>
      </c>
      <c r="AR37" s="318" t="n">
        <v>-0.3</v>
      </c>
      <c r="AS37" s="318" t="n">
        <v>-0.42</v>
      </c>
      <c r="AT37" s="318" t="n">
        <v>-0.51</v>
      </c>
      <c r="AU37" s="318" t="n">
        <v>0.21</v>
      </c>
      <c r="AV37" s="318" t="n">
        <v>-0.51</v>
      </c>
      <c r="AW37" s="318" t="n">
        <v>-0.15</v>
      </c>
      <c r="AX37" s="318" t="n">
        <v>-0.07</v>
      </c>
      <c r="AY37" s="318" t="n">
        <v>-0.09</v>
      </c>
      <c r="AZ37" s="318" t="n">
        <v>-0.065</v>
      </c>
      <c r="BA37" s="318" t="n">
        <v>-0.0825</v>
      </c>
      <c r="BB37" s="318" t="n">
        <v>-0.0215</v>
      </c>
      <c r="BC37" s="318" t="n">
        <v>-0.07</v>
      </c>
      <c r="BD37" s="318" t="n">
        <v>0.005</v>
      </c>
      <c r="BE37" s="318" t="n">
        <v>-0.0725</v>
      </c>
      <c r="BF37" s="318" t="n">
        <v>0.075</v>
      </c>
      <c r="BG37" s="318" t="n">
        <v>0.145</v>
      </c>
      <c r="BH37" s="318" t="n">
        <v>0.155</v>
      </c>
      <c r="BI37" s="318" t="n">
        <v>0.125</v>
      </c>
      <c r="BJ37" s="318" t="n">
        <v>0.35</v>
      </c>
      <c r="BK37" s="318" t="n">
        <v>0</v>
      </c>
      <c r="BL37" s="318" t="n">
        <v>-0.01</v>
      </c>
      <c r="BM37" s="318" t="n">
        <v>0.005</v>
      </c>
      <c r="BN37" s="318" t="n">
        <v>-0.01</v>
      </c>
      <c r="BO37" s="318" t="n">
        <v>0.02</v>
      </c>
      <c r="BP37" s="318" t="n">
        <v>0.005</v>
      </c>
      <c r="BQ37" s="318" t="n">
        <v>0.0025</v>
      </c>
      <c r="BR37" s="318" t="n">
        <v>0.01</v>
      </c>
      <c r="BS37" s="0" t="n">
        <v>0.005</v>
      </c>
      <c r="BT37" s="0" t="n">
        <v>0.03</v>
      </c>
      <c r="BU37" s="0" t="n">
        <v>0.03</v>
      </c>
      <c r="BV37" s="0" t="n">
        <v>0.03</v>
      </c>
    </row>
    <row r="38" customFormat="false" ht="12.75" hidden="false" customHeight="false" outlineLevel="0" collapsed="false">
      <c r="A38" s="320" t="e">
        <f aca="false">#REF!-B38</f>
        <v>#REF!</v>
      </c>
      <c r="B38" s="320" t="n">
        <v>3.323</v>
      </c>
      <c r="C38" s="327" t="n">
        <f aca="false">EOMONTH(C37,0)+1</f>
        <v>38261</v>
      </c>
      <c r="D38" s="0" t="n">
        <v>3.164</v>
      </c>
      <c r="E38" s="320" t="n">
        <v>0.315</v>
      </c>
      <c r="F38" s="318" t="n">
        <v>0.0403867507782238</v>
      </c>
      <c r="G38" s="318" t="n">
        <v>-0.13</v>
      </c>
      <c r="H38" s="318" t="n">
        <v>-0.15</v>
      </c>
      <c r="I38" s="330" t="n">
        <v>-0.09</v>
      </c>
      <c r="J38" s="330" t="n">
        <v>-0.14</v>
      </c>
      <c r="K38" s="318" t="n">
        <v>-0.09</v>
      </c>
      <c r="L38" s="318" t="n">
        <v>-0.065</v>
      </c>
      <c r="M38" s="318" t="n">
        <v>-0.1</v>
      </c>
      <c r="N38" s="318" t="n">
        <v>-0.12</v>
      </c>
      <c r="O38" s="318" t="n">
        <v>-0.12</v>
      </c>
      <c r="P38" s="318" t="n">
        <v>-0.13</v>
      </c>
      <c r="Q38" s="318" t="n">
        <v>-0.095</v>
      </c>
      <c r="R38" s="318" t="n">
        <v>-0.085</v>
      </c>
      <c r="S38" s="318" t="n">
        <v>0.125</v>
      </c>
      <c r="T38" s="318" t="n">
        <v>0.155</v>
      </c>
      <c r="U38" s="318" t="n">
        <v>0.04</v>
      </c>
      <c r="V38" s="318" t="n">
        <v>0.5</v>
      </c>
      <c r="W38" s="318" t="n">
        <v>0.125</v>
      </c>
      <c r="X38" s="318" t="n">
        <v>0.145</v>
      </c>
      <c r="Y38" s="318" t="n">
        <v>-0.0275</v>
      </c>
      <c r="Z38" s="318" t="n">
        <v>-0.0525</v>
      </c>
      <c r="AA38" s="318" t="n">
        <v>0.0075</v>
      </c>
      <c r="AB38" s="318" t="n">
        <v>-0.0175</v>
      </c>
      <c r="AC38" s="318" t="n">
        <v>0.0025</v>
      </c>
      <c r="AD38" s="318" t="n">
        <v>-0.0225</v>
      </c>
      <c r="AE38" s="318" t="n">
        <v>-0.0725</v>
      </c>
      <c r="AF38" s="318" t="n">
        <v>-0.065</v>
      </c>
      <c r="AG38" s="318" t="n">
        <v>-0.0875</v>
      </c>
      <c r="AH38" s="318" t="n">
        <v>-0.0165</v>
      </c>
      <c r="AI38" s="318" t="n">
        <v>-0.0725</v>
      </c>
      <c r="AJ38" s="318" t="n">
        <v>-0.105</v>
      </c>
      <c r="AK38" s="318" t="n">
        <v>-0.0175</v>
      </c>
      <c r="AL38" s="318" t="n">
        <v>0.0225</v>
      </c>
      <c r="AM38" s="318" t="n">
        <v>0.36</v>
      </c>
      <c r="AN38" s="318" t="n">
        <v>0.0275</v>
      </c>
      <c r="AO38" s="318" t="n">
        <v>-0.51</v>
      </c>
      <c r="AP38" s="318" t="n">
        <v>-0.0875</v>
      </c>
      <c r="AQ38" s="318" t="n">
        <v>-0.22</v>
      </c>
      <c r="AR38" s="318" t="n">
        <v>-0.3</v>
      </c>
      <c r="AS38" s="318" t="n">
        <v>-0.42</v>
      </c>
      <c r="AT38" s="318" t="n">
        <v>-0.51</v>
      </c>
      <c r="AU38" s="318" t="n">
        <v>0.21</v>
      </c>
      <c r="AV38" s="318" t="n">
        <v>-0.51</v>
      </c>
      <c r="AW38" s="318" t="n">
        <v>-0.16</v>
      </c>
      <c r="AX38" s="318" t="n">
        <v>-0.07</v>
      </c>
      <c r="AY38" s="318" t="n">
        <v>-0.1</v>
      </c>
      <c r="AZ38" s="318" t="n">
        <v>-0.065</v>
      </c>
      <c r="BA38" s="318" t="n">
        <v>-0.0875</v>
      </c>
      <c r="BB38" s="318" t="n">
        <v>-0.0215</v>
      </c>
      <c r="BC38" s="318" t="n">
        <v>-0.07</v>
      </c>
      <c r="BD38" s="318" t="n">
        <v>-0.0025</v>
      </c>
      <c r="BE38" s="318" t="n">
        <v>-0.0725</v>
      </c>
      <c r="BF38" s="318" t="n">
        <v>0.075</v>
      </c>
      <c r="BG38" s="318" t="n">
        <v>0.145</v>
      </c>
      <c r="BH38" s="318" t="n">
        <v>0.155</v>
      </c>
      <c r="BI38" s="318" t="n">
        <v>0.125</v>
      </c>
      <c r="BJ38" s="318" t="n">
        <v>0.315</v>
      </c>
      <c r="BK38" s="318" t="n">
        <v>0</v>
      </c>
      <c r="BL38" s="318" t="n">
        <v>-0.01</v>
      </c>
      <c r="BM38" s="318" t="n">
        <v>0.005</v>
      </c>
      <c r="BN38" s="318" t="n">
        <v>-0.01</v>
      </c>
      <c r="BO38" s="318" t="n">
        <v>0.02</v>
      </c>
      <c r="BP38" s="318" t="n">
        <v>0.005</v>
      </c>
      <c r="BQ38" s="318" t="n">
        <v>0.0025</v>
      </c>
      <c r="BR38" s="318" t="n">
        <v>0.01</v>
      </c>
      <c r="BS38" s="0" t="n">
        <v>0.005</v>
      </c>
      <c r="BT38" s="0" t="n">
        <v>0.03</v>
      </c>
      <c r="BU38" s="0" t="n">
        <v>0.03</v>
      </c>
      <c r="BV38" s="0" t="n">
        <v>0.03</v>
      </c>
    </row>
    <row r="39" customFormat="false" ht="12.75" hidden="false" customHeight="false" outlineLevel="0" collapsed="false">
      <c r="A39" s="320" t="e">
        <f aca="false">#REF!-B39</f>
        <v>#REF!</v>
      </c>
      <c r="B39" s="320" t="n">
        <v>3.168</v>
      </c>
      <c r="C39" s="327" t="n">
        <f aca="false">EOMONTH(C38,0)+1</f>
        <v>38292</v>
      </c>
      <c r="D39" s="0" t="n">
        <v>3.309</v>
      </c>
      <c r="E39" s="320" t="n">
        <v>0.315</v>
      </c>
      <c r="F39" s="318" t="n">
        <v>0.0409754465349472</v>
      </c>
      <c r="G39" s="318" t="n">
        <v>-0.13</v>
      </c>
      <c r="H39" s="318" t="n">
        <v>-0.15</v>
      </c>
      <c r="I39" s="330" t="n">
        <v>-0.09</v>
      </c>
      <c r="J39" s="330" t="n">
        <v>-0.14</v>
      </c>
      <c r="K39" s="318" t="n">
        <v>-0.09</v>
      </c>
      <c r="L39" s="318" t="n">
        <v>-0.065</v>
      </c>
      <c r="M39" s="318" t="n">
        <v>-0.1</v>
      </c>
      <c r="N39" s="318" t="n">
        <v>-0.12</v>
      </c>
      <c r="O39" s="318" t="n">
        <v>-0.12</v>
      </c>
      <c r="P39" s="318" t="n">
        <v>-0.13</v>
      </c>
      <c r="Q39" s="318" t="n">
        <v>-0.095</v>
      </c>
      <c r="R39" s="318" t="n">
        <v>-0.085</v>
      </c>
      <c r="S39" s="318" t="n">
        <v>0.125</v>
      </c>
      <c r="T39" s="318" t="n">
        <v>0.155</v>
      </c>
      <c r="U39" s="318" t="n">
        <v>0.04</v>
      </c>
      <c r="V39" s="318" t="n">
        <v>0.5</v>
      </c>
      <c r="W39" s="318" t="n">
        <v>0.145</v>
      </c>
      <c r="X39" s="318" t="n">
        <v>0.175</v>
      </c>
      <c r="Y39" s="318" t="n">
        <v>-0.0275</v>
      </c>
      <c r="Z39" s="318" t="n">
        <v>-0.0525</v>
      </c>
      <c r="AA39" s="318" t="n">
        <v>0.0075</v>
      </c>
      <c r="AB39" s="318" t="n">
        <v>-0.0175</v>
      </c>
      <c r="AC39" s="318" t="n">
        <v>0.0025</v>
      </c>
      <c r="AD39" s="318" t="n">
        <v>-0.0225</v>
      </c>
      <c r="AE39" s="318" t="n">
        <v>-0.0725</v>
      </c>
      <c r="AF39" s="318" t="n">
        <v>-0.065</v>
      </c>
      <c r="AG39" s="318" t="n">
        <v>-0.0875</v>
      </c>
      <c r="AH39" s="318" t="n">
        <v>-0.0165</v>
      </c>
      <c r="AI39" s="318" t="n">
        <v>-0.0725</v>
      </c>
      <c r="AJ39" s="318" t="n">
        <v>-0.105</v>
      </c>
      <c r="AK39" s="318" t="n">
        <v>-0.0175</v>
      </c>
      <c r="AL39" s="318" t="n">
        <v>0.0225</v>
      </c>
      <c r="AM39" s="318" t="n">
        <v>0.4</v>
      </c>
      <c r="AN39" s="318" t="n">
        <v>0.0175</v>
      </c>
      <c r="AO39" s="318" t="n">
        <v>-0.51</v>
      </c>
      <c r="AP39" s="318" t="n">
        <v>-0.0875</v>
      </c>
      <c r="AQ39" s="318" t="n">
        <v>-0.22</v>
      </c>
      <c r="AR39" s="318" t="n">
        <v>-0.3</v>
      </c>
      <c r="AS39" s="318" t="n">
        <v>-0.42</v>
      </c>
      <c r="AT39" s="318" t="n">
        <v>-0.51</v>
      </c>
      <c r="AU39" s="318" t="n">
        <v>0.21</v>
      </c>
      <c r="AV39" s="318" t="n">
        <v>-0.51</v>
      </c>
      <c r="AW39" s="318" t="n">
        <v>-0.1475</v>
      </c>
      <c r="AX39" s="318" t="n">
        <v>-0.07</v>
      </c>
      <c r="AY39" s="318" t="n">
        <v>-0.0875</v>
      </c>
      <c r="AZ39" s="318" t="n">
        <v>-0.065</v>
      </c>
      <c r="BA39" s="318" t="n">
        <v>-0.09</v>
      </c>
      <c r="BB39" s="318" t="n">
        <v>-0.0215</v>
      </c>
      <c r="BC39" s="318" t="n">
        <v>-0.07</v>
      </c>
      <c r="BD39" s="318" t="n">
        <v>-0.0125</v>
      </c>
      <c r="BE39" s="318" t="n">
        <v>-0.0725</v>
      </c>
      <c r="BF39" s="318" t="n">
        <v>0.075</v>
      </c>
      <c r="BG39" s="318" t="n">
        <v>0.145</v>
      </c>
      <c r="BH39" s="318" t="n">
        <v>0.155</v>
      </c>
      <c r="BI39" s="318" t="n">
        <v>0.125</v>
      </c>
      <c r="BJ39" s="318" t="n">
        <v>0.36</v>
      </c>
      <c r="BK39" s="318" t="n">
        <v>0</v>
      </c>
      <c r="BL39" s="318" t="n">
        <v>-0.015</v>
      </c>
      <c r="BM39" s="318" t="n">
        <v>0.005</v>
      </c>
      <c r="BN39" s="318" t="n">
        <v>-0.01</v>
      </c>
      <c r="BO39" s="318" t="n">
        <v>0.02</v>
      </c>
      <c r="BP39" s="318" t="n">
        <v>0.005</v>
      </c>
      <c r="BQ39" s="318" t="n">
        <v>0.0025</v>
      </c>
      <c r="BR39" s="318" t="n">
        <v>0.01</v>
      </c>
      <c r="BS39" s="0" t="n">
        <v>0.005</v>
      </c>
      <c r="BT39" s="0" t="n">
        <v>0.03</v>
      </c>
      <c r="BU39" s="0" t="n">
        <v>0.03</v>
      </c>
      <c r="BV39" s="0" t="n">
        <v>0.03</v>
      </c>
    </row>
    <row r="40" customFormat="false" ht="12.75" hidden="false" customHeight="false" outlineLevel="0" collapsed="false">
      <c r="A40" s="320" t="e">
        <f aca="false">#REF!-B40</f>
        <v>#REF!</v>
      </c>
      <c r="B40" s="320" t="n">
        <v>3.14</v>
      </c>
      <c r="C40" s="327" t="n">
        <f aca="false">EOMONTH(C39,0)+1</f>
        <v>38322</v>
      </c>
      <c r="D40" s="0" t="n">
        <v>3.444</v>
      </c>
      <c r="E40" s="320" t="n">
        <v>0.315</v>
      </c>
      <c r="F40" s="318" t="n">
        <v>0.0415503422333172</v>
      </c>
      <c r="G40" s="318" t="n">
        <v>-0.13</v>
      </c>
      <c r="H40" s="318" t="n">
        <v>-0.15</v>
      </c>
      <c r="I40" s="330" t="n">
        <v>-0.01</v>
      </c>
      <c r="J40" s="330" t="n">
        <v>-0.1375</v>
      </c>
      <c r="K40" s="318" t="n">
        <v>0</v>
      </c>
      <c r="L40" s="318" t="n">
        <v>-0.0525</v>
      </c>
      <c r="M40" s="318" t="n">
        <v>-0.1</v>
      </c>
      <c r="N40" s="318" t="n">
        <v>-0.12</v>
      </c>
      <c r="O40" s="318" t="n">
        <v>-0.12</v>
      </c>
      <c r="P40" s="318" t="n">
        <v>-0.13</v>
      </c>
      <c r="Q40" s="318" t="n">
        <v>-0.085</v>
      </c>
      <c r="R40" s="318" t="n">
        <v>-0.0625</v>
      </c>
      <c r="S40" s="318" t="n">
        <v>0.145</v>
      </c>
      <c r="T40" s="318" t="n">
        <v>0.195</v>
      </c>
      <c r="U40" s="318" t="n">
        <v>0.125</v>
      </c>
      <c r="V40" s="318" t="n">
        <v>0.5</v>
      </c>
      <c r="W40" s="318" t="n">
        <v>0.195</v>
      </c>
      <c r="X40" s="318" t="n">
        <v>0.21</v>
      </c>
      <c r="Y40" s="318" t="n">
        <v>-0.025</v>
      </c>
      <c r="Z40" s="318" t="n">
        <v>-0.0375</v>
      </c>
      <c r="AA40" s="318" t="n">
        <v>0.0035</v>
      </c>
      <c r="AB40" s="318" t="n">
        <v>-0.019</v>
      </c>
      <c r="AC40" s="318" t="n">
        <v>0.0025</v>
      </c>
      <c r="AD40" s="318" t="n">
        <v>-0.0225</v>
      </c>
      <c r="AE40" s="318" t="n">
        <v>-0.075</v>
      </c>
      <c r="AF40" s="318" t="n">
        <v>-0.0675</v>
      </c>
      <c r="AG40" s="318" t="n">
        <v>-0.09</v>
      </c>
      <c r="AH40" s="318" t="n">
        <v>-0.018</v>
      </c>
      <c r="AI40" s="318" t="n">
        <v>-0.0675</v>
      </c>
      <c r="AJ40" s="318" t="n">
        <v>-0.1075</v>
      </c>
      <c r="AK40" s="318" t="n">
        <v>-0.0125</v>
      </c>
      <c r="AL40" s="318" t="n">
        <v>0.0275</v>
      </c>
      <c r="AM40" s="318" t="n">
        <v>0.645</v>
      </c>
      <c r="AN40" s="318" t="n">
        <v>-0.025</v>
      </c>
      <c r="AO40" s="318" t="n">
        <v>-0.35</v>
      </c>
      <c r="AP40" s="318" t="n">
        <v>-0.085</v>
      </c>
      <c r="AQ40" s="318" t="n">
        <v>-0.135</v>
      </c>
      <c r="AR40" s="318" t="n">
        <v>0.248</v>
      </c>
      <c r="AS40" s="318" t="n">
        <v>-0.27</v>
      </c>
      <c r="AT40" s="318" t="n">
        <v>-0.35</v>
      </c>
      <c r="AU40" s="318" t="n">
        <v>0.2</v>
      </c>
      <c r="AV40" s="318" t="n">
        <v>-0.35</v>
      </c>
      <c r="AW40" s="318" t="n">
        <v>-0.155</v>
      </c>
      <c r="AX40" s="318" t="n">
        <v>-0.0675</v>
      </c>
      <c r="AY40" s="318" t="n">
        <v>-0.095</v>
      </c>
      <c r="AZ40" s="318" t="n">
        <v>-0.0525</v>
      </c>
      <c r="BA40" s="318" t="n">
        <v>-0.085</v>
      </c>
      <c r="BB40" s="318" t="n">
        <v>-0.023</v>
      </c>
      <c r="BC40" s="318" t="n">
        <v>-0.0725</v>
      </c>
      <c r="BD40" s="318" t="n">
        <v>-0.055</v>
      </c>
      <c r="BE40" s="318" t="n">
        <v>-0.075</v>
      </c>
      <c r="BF40" s="318" t="n">
        <v>0.15</v>
      </c>
      <c r="BG40" s="318" t="n">
        <v>0.23</v>
      </c>
      <c r="BH40" s="318" t="n">
        <v>0.195</v>
      </c>
      <c r="BI40" s="318" t="n">
        <v>0.145</v>
      </c>
      <c r="BJ40" s="318" t="n">
        <v>0.46</v>
      </c>
      <c r="BK40" s="318" t="n">
        <v>0</v>
      </c>
      <c r="BL40" s="318" t="n">
        <v>-0.02</v>
      </c>
      <c r="BM40" s="318" t="n">
        <v>0.005</v>
      </c>
      <c r="BN40" s="318" t="n">
        <v>0</v>
      </c>
      <c r="BO40" s="318" t="n">
        <v>0.035</v>
      </c>
      <c r="BP40" s="318" t="n">
        <v>0.005</v>
      </c>
      <c r="BQ40" s="318" t="n">
        <v>0.005</v>
      </c>
      <c r="BR40" s="318" t="n">
        <v>0.055</v>
      </c>
      <c r="BS40" s="0" t="n">
        <v>0.02</v>
      </c>
      <c r="BT40" s="0" t="n">
        <v>0.03</v>
      </c>
      <c r="BU40" s="0" t="n">
        <v>0.03</v>
      </c>
      <c r="BV40" s="0" t="n">
        <v>0.04</v>
      </c>
    </row>
    <row r="41" customFormat="false" ht="12.75" hidden="false" customHeight="false" outlineLevel="0" collapsed="false">
      <c r="A41" s="320" t="e">
        <f aca="false">#REF!-B41</f>
        <v>#REF!</v>
      </c>
      <c r="B41" s="320" t="n">
        <v>3.12</v>
      </c>
      <c r="C41" s="327" t="n">
        <f aca="false">EOMONTH(C40,0)+1</f>
        <v>38353</v>
      </c>
      <c r="D41" s="0" t="n">
        <v>3.499</v>
      </c>
      <c r="E41" s="320" t="n">
        <v>0.315</v>
      </c>
      <c r="F41" s="318" t="n">
        <v>0.0421066930146625</v>
      </c>
      <c r="G41" s="318" t="n">
        <v>-0.1325</v>
      </c>
      <c r="H41" s="318" t="n">
        <v>-0.1525</v>
      </c>
      <c r="I41" s="330" t="n">
        <v>-0.005</v>
      </c>
      <c r="J41" s="330" t="n">
        <v>-0.1375</v>
      </c>
      <c r="K41" s="318" t="n">
        <v>0.005</v>
      </c>
      <c r="L41" s="318" t="n">
        <v>-0.0525</v>
      </c>
      <c r="M41" s="318" t="n">
        <v>-0.1025</v>
      </c>
      <c r="N41" s="318" t="n">
        <v>-0.1225</v>
      </c>
      <c r="O41" s="318" t="n">
        <v>-0.1225</v>
      </c>
      <c r="P41" s="318" t="n">
        <v>-0.1325</v>
      </c>
      <c r="Q41" s="318" t="n">
        <v>-0.085</v>
      </c>
      <c r="R41" s="318" t="n">
        <v>-0.0625</v>
      </c>
      <c r="S41" s="318" t="n">
        <v>0.145</v>
      </c>
      <c r="T41" s="318" t="n">
        <v>0.195</v>
      </c>
      <c r="U41" s="318" t="n">
        <v>0.125</v>
      </c>
      <c r="V41" s="318" t="n">
        <v>0.5</v>
      </c>
      <c r="W41" s="318" t="n">
        <v>0.215</v>
      </c>
      <c r="X41" s="318" t="n">
        <v>0.29</v>
      </c>
      <c r="Y41" s="318" t="n">
        <v>-0.025</v>
      </c>
      <c r="Z41" s="318" t="n">
        <v>-0.0375</v>
      </c>
      <c r="AA41" s="318" t="n">
        <v>0.0035</v>
      </c>
      <c r="AB41" s="318" t="n">
        <v>-0.019</v>
      </c>
      <c r="AC41" s="318" t="n">
        <v>0.0025</v>
      </c>
      <c r="AD41" s="318" t="n">
        <v>-0.0225</v>
      </c>
      <c r="AE41" s="318" t="n">
        <v>-0.075</v>
      </c>
      <c r="AF41" s="318" t="n">
        <v>-0.0675</v>
      </c>
      <c r="AG41" s="318" t="n">
        <v>-0.09</v>
      </c>
      <c r="AH41" s="318" t="n">
        <v>-0.0155</v>
      </c>
      <c r="AI41" s="318" t="n">
        <v>-0.0675</v>
      </c>
      <c r="AJ41" s="318" t="n">
        <v>-0.1075</v>
      </c>
      <c r="AK41" s="318" t="n">
        <v>-0.0125</v>
      </c>
      <c r="AL41" s="318" t="n">
        <v>0.0275</v>
      </c>
      <c r="AM41" s="318" t="n">
        <v>0.9</v>
      </c>
      <c r="AN41" s="318" t="n">
        <v>-0.0475</v>
      </c>
      <c r="AO41" s="318" t="n">
        <v>-0.35</v>
      </c>
      <c r="AP41" s="318" t="n">
        <v>-0.085</v>
      </c>
      <c r="AQ41" s="318" t="n">
        <v>-0.135</v>
      </c>
      <c r="AR41" s="318" t="n">
        <v>0.308</v>
      </c>
      <c r="AS41" s="318" t="n">
        <v>-0.27</v>
      </c>
      <c r="AT41" s="318" t="n">
        <v>-0.35</v>
      </c>
      <c r="AU41" s="318" t="n">
        <v>0.2</v>
      </c>
      <c r="AV41" s="318" t="n">
        <v>-0.35</v>
      </c>
      <c r="AW41" s="318" t="n">
        <v>-0.1825</v>
      </c>
      <c r="AX41" s="318" t="n">
        <v>-0.0675</v>
      </c>
      <c r="AY41" s="318" t="n">
        <v>-0.1225</v>
      </c>
      <c r="AZ41" s="318" t="n">
        <v>-0.0525</v>
      </c>
      <c r="BA41" s="318" t="n">
        <v>-0.1125</v>
      </c>
      <c r="BB41" s="318" t="n">
        <v>-0.0205</v>
      </c>
      <c r="BC41" s="318" t="n">
        <v>-0.0725</v>
      </c>
      <c r="BD41" s="318" t="n">
        <v>-0.0775</v>
      </c>
      <c r="BE41" s="318" t="n">
        <v>-0.075</v>
      </c>
      <c r="BF41" s="318" t="n">
        <v>0.15</v>
      </c>
      <c r="BG41" s="318" t="n">
        <v>0.23</v>
      </c>
      <c r="BH41" s="318" t="n">
        <v>0.195</v>
      </c>
      <c r="BI41" s="318" t="n">
        <v>0.145</v>
      </c>
      <c r="BJ41" s="318" t="n">
        <v>0.77</v>
      </c>
      <c r="BK41" s="318" t="n">
        <v>0</v>
      </c>
      <c r="BL41" s="318" t="n">
        <v>-0.025</v>
      </c>
      <c r="BM41" s="318" t="n">
        <v>0.005</v>
      </c>
      <c r="BN41" s="318" t="n">
        <v>0</v>
      </c>
      <c r="BO41" s="318" t="n">
        <v>0.035</v>
      </c>
      <c r="BP41" s="318" t="n">
        <v>0.005</v>
      </c>
      <c r="BQ41" s="318" t="n">
        <v>0.005</v>
      </c>
      <c r="BR41" s="318" t="n">
        <v>0.25</v>
      </c>
      <c r="BS41" s="0" t="n">
        <v>0.02</v>
      </c>
      <c r="BT41" s="0" t="n">
        <v>0.03</v>
      </c>
      <c r="BU41" s="0" t="n">
        <v>0.03</v>
      </c>
      <c r="BV41" s="0" t="n">
        <v>0.04</v>
      </c>
    </row>
    <row r="42" customFormat="false" ht="12.75" hidden="false" customHeight="false" outlineLevel="0" collapsed="false">
      <c r="A42" s="320" t="e">
        <f aca="false">#REF!-B42</f>
        <v>#REF!</v>
      </c>
      <c r="B42" s="320" t="n">
        <v>3.185</v>
      </c>
      <c r="C42" s="327" t="n">
        <f aca="false">EOMONTH(C41,0)+1</f>
        <v>38384</v>
      </c>
      <c r="D42" s="0" t="n">
        <f aca="false">D30+0.05</f>
        <v>3.351</v>
      </c>
      <c r="E42" s="320" t="n">
        <v>0.315</v>
      </c>
      <c r="F42" s="318" t="n">
        <v>0.0426576899474638</v>
      </c>
      <c r="G42" s="318" t="n">
        <v>-0.135</v>
      </c>
      <c r="H42" s="318" t="n">
        <v>-0.155</v>
      </c>
      <c r="I42" s="330" t="n">
        <v>0.015</v>
      </c>
      <c r="J42" s="330" t="n">
        <v>-0.1375</v>
      </c>
      <c r="K42" s="318" t="n">
        <v>0.025</v>
      </c>
      <c r="L42" s="318" t="n">
        <v>-0.0525</v>
      </c>
      <c r="M42" s="318" t="n">
        <v>-0.105</v>
      </c>
      <c r="N42" s="318" t="n">
        <v>-0.125</v>
      </c>
      <c r="O42" s="318" t="n">
        <v>-0.125</v>
      </c>
      <c r="P42" s="318" t="n">
        <v>-0.135</v>
      </c>
      <c r="Q42" s="318" t="n">
        <v>-0.085</v>
      </c>
      <c r="R42" s="318" t="n">
        <v>-0.0625</v>
      </c>
      <c r="S42" s="318" t="n">
        <v>0.145</v>
      </c>
      <c r="T42" s="318" t="n">
        <v>0.195</v>
      </c>
      <c r="U42" s="318" t="n">
        <v>0.125</v>
      </c>
      <c r="V42" s="318" t="n">
        <v>0.5</v>
      </c>
      <c r="W42" s="318" t="n">
        <v>0.235</v>
      </c>
      <c r="X42" s="318" t="n">
        <v>0.34</v>
      </c>
      <c r="Y42" s="318" t="n">
        <v>-0.025</v>
      </c>
      <c r="Z42" s="318" t="n">
        <v>-0.0375</v>
      </c>
      <c r="AA42" s="318" t="n">
        <v>0.0035</v>
      </c>
      <c r="AB42" s="318" t="n">
        <v>-0.019</v>
      </c>
      <c r="AC42" s="318" t="n">
        <v>0.0025</v>
      </c>
      <c r="AD42" s="318" t="n">
        <v>-0.0225</v>
      </c>
      <c r="AE42" s="318" t="n">
        <v>-0.075</v>
      </c>
      <c r="AF42" s="318" t="n">
        <v>-0.0675</v>
      </c>
      <c r="AG42" s="318" t="n">
        <v>-0.09</v>
      </c>
      <c r="AH42" s="318" t="n">
        <v>-0.0155</v>
      </c>
      <c r="AI42" s="318" t="n">
        <v>-0.0675</v>
      </c>
      <c r="AJ42" s="318" t="n">
        <v>-0.1075</v>
      </c>
      <c r="AK42" s="318" t="n">
        <v>-0.0125</v>
      </c>
      <c r="AL42" s="318" t="n">
        <v>0.0275</v>
      </c>
      <c r="AM42" s="318" t="n">
        <v>1.535</v>
      </c>
      <c r="AN42" s="318" t="n">
        <v>-0.05</v>
      </c>
      <c r="AO42" s="318" t="n">
        <v>-0.35</v>
      </c>
      <c r="AP42" s="318" t="n">
        <v>-0.085</v>
      </c>
      <c r="AQ42" s="318" t="n">
        <v>-0.135</v>
      </c>
      <c r="AR42" s="318" t="n">
        <v>0.378</v>
      </c>
      <c r="AS42" s="318" t="n">
        <v>-0.27</v>
      </c>
      <c r="AT42" s="318" t="n">
        <v>-0.35</v>
      </c>
      <c r="AU42" s="318" t="n">
        <v>0.2</v>
      </c>
      <c r="AV42" s="318" t="n">
        <v>-0.35</v>
      </c>
      <c r="AW42" s="318" t="n">
        <v>-0.1975</v>
      </c>
      <c r="AX42" s="318" t="n">
        <v>-0.0675</v>
      </c>
      <c r="AY42" s="318" t="n">
        <v>-0.1375</v>
      </c>
      <c r="AZ42" s="318" t="n">
        <v>-0.0525</v>
      </c>
      <c r="BA42" s="318" t="n">
        <v>-0.113</v>
      </c>
      <c r="BB42" s="318" t="n">
        <v>-0.0205</v>
      </c>
      <c r="BC42" s="318" t="n">
        <v>-0.0725</v>
      </c>
      <c r="BD42" s="318" t="n">
        <v>-0.08</v>
      </c>
      <c r="BE42" s="318" t="n">
        <v>-0.075</v>
      </c>
      <c r="BF42" s="318" t="n">
        <v>0.15</v>
      </c>
      <c r="BG42" s="318" t="n">
        <v>0.23</v>
      </c>
      <c r="BH42" s="318" t="n">
        <v>0.195</v>
      </c>
      <c r="BI42" s="318" t="n">
        <v>0.145</v>
      </c>
      <c r="BJ42" s="318" t="n">
        <v>1.04</v>
      </c>
      <c r="BK42" s="318" t="n">
        <v>0</v>
      </c>
      <c r="BL42" s="318" t="n">
        <v>-0.025</v>
      </c>
      <c r="BM42" s="318" t="n">
        <v>0.005</v>
      </c>
      <c r="BN42" s="318" t="n">
        <v>0</v>
      </c>
      <c r="BO42" s="318" t="n">
        <v>0.035</v>
      </c>
      <c r="BP42" s="318" t="n">
        <v>0.005</v>
      </c>
      <c r="BQ42" s="318" t="n">
        <v>0.005</v>
      </c>
      <c r="BR42" s="318" t="n">
        <v>0.45</v>
      </c>
      <c r="BS42" s="0" t="n">
        <v>0.02</v>
      </c>
      <c r="BT42" s="0" t="n">
        <v>0.03</v>
      </c>
      <c r="BU42" s="0" t="n">
        <v>0.03</v>
      </c>
      <c r="BV42" s="0" t="n">
        <v>0.04</v>
      </c>
    </row>
    <row r="43" customFormat="false" ht="12.75" hidden="false" customHeight="false" outlineLevel="0" collapsed="false">
      <c r="A43" s="320" t="e">
        <f aca="false">#REF!-B43</f>
        <v>#REF!</v>
      </c>
      <c r="B43" s="320" t="n">
        <v>3.18</v>
      </c>
      <c r="C43" s="327" t="n">
        <f aca="false">EOMONTH(C42,0)+1</f>
        <v>38412</v>
      </c>
      <c r="D43" s="0" t="n">
        <f aca="false">D31+0.05</f>
        <v>3.3</v>
      </c>
      <c r="E43" s="320" t="n">
        <v>0.3125</v>
      </c>
      <c r="F43" s="318" t="n">
        <v>0.0431890054626174</v>
      </c>
      <c r="G43" s="318" t="n">
        <v>-0.1275</v>
      </c>
      <c r="H43" s="318" t="n">
        <v>-0.1475</v>
      </c>
      <c r="I43" s="330" t="n">
        <v>0.01</v>
      </c>
      <c r="J43" s="330" t="n">
        <v>-0.1375</v>
      </c>
      <c r="K43" s="318" t="n">
        <v>0.02</v>
      </c>
      <c r="L43" s="318" t="n">
        <v>-0.0525</v>
      </c>
      <c r="M43" s="318" t="n">
        <v>-0.0975</v>
      </c>
      <c r="N43" s="318" t="n">
        <v>-0.1175</v>
      </c>
      <c r="O43" s="318" t="n">
        <v>-0.1175</v>
      </c>
      <c r="P43" s="318" t="n">
        <v>-0.1275</v>
      </c>
      <c r="Q43" s="318" t="n">
        <v>-0.085</v>
      </c>
      <c r="R43" s="318" t="n">
        <v>-0.0625</v>
      </c>
      <c r="S43" s="318" t="n">
        <v>0.145</v>
      </c>
      <c r="T43" s="318" t="n">
        <v>0.195</v>
      </c>
      <c r="U43" s="318" t="n">
        <v>0.125</v>
      </c>
      <c r="V43" s="318" t="n">
        <v>0.5</v>
      </c>
      <c r="W43" s="318" t="n">
        <v>0.235</v>
      </c>
      <c r="X43" s="318" t="n">
        <v>0.34</v>
      </c>
      <c r="Y43" s="318" t="n">
        <v>-0.025</v>
      </c>
      <c r="Z43" s="318" t="n">
        <v>-0.0375</v>
      </c>
      <c r="AA43" s="318" t="n">
        <v>0.0035</v>
      </c>
      <c r="AB43" s="318" t="n">
        <v>-0.019</v>
      </c>
      <c r="AC43" s="318" t="n">
        <v>0.0025</v>
      </c>
      <c r="AD43" s="318" t="n">
        <v>-0.0225</v>
      </c>
      <c r="AE43" s="318" t="n">
        <v>-0.075</v>
      </c>
      <c r="AF43" s="318" t="n">
        <v>-0.0675</v>
      </c>
      <c r="AG43" s="318" t="n">
        <v>-0.09</v>
      </c>
      <c r="AH43" s="318" t="n">
        <v>-0.0155</v>
      </c>
      <c r="AI43" s="318" t="n">
        <v>-0.0675</v>
      </c>
      <c r="AJ43" s="318" t="n">
        <v>-0.1075</v>
      </c>
      <c r="AK43" s="318" t="n">
        <v>-0.0125</v>
      </c>
      <c r="AL43" s="318" t="n">
        <v>0.0275</v>
      </c>
      <c r="AM43" s="318" t="n">
        <v>1.535</v>
      </c>
      <c r="AN43" s="318" t="n">
        <v>-0.0325</v>
      </c>
      <c r="AO43" s="318" t="n">
        <v>-0.35</v>
      </c>
      <c r="AP43" s="318" t="n">
        <v>-0.085</v>
      </c>
      <c r="AQ43" s="318" t="n">
        <v>-0.135</v>
      </c>
      <c r="AR43" s="318" t="n">
        <v>0.248</v>
      </c>
      <c r="AS43" s="318" t="n">
        <v>-0.27</v>
      </c>
      <c r="AT43" s="318" t="n">
        <v>-0.35</v>
      </c>
      <c r="AU43" s="318" t="n">
        <v>0.2</v>
      </c>
      <c r="AV43" s="318" t="n">
        <v>-0.35</v>
      </c>
      <c r="AW43" s="318" t="n">
        <v>-0.1875</v>
      </c>
      <c r="AX43" s="318" t="n">
        <v>-0.0675</v>
      </c>
      <c r="AY43" s="318" t="n">
        <v>-0.1275</v>
      </c>
      <c r="AZ43" s="318" t="n">
        <v>-0.0525</v>
      </c>
      <c r="BA43" s="318" t="n">
        <v>-0.113</v>
      </c>
      <c r="BB43" s="318" t="n">
        <v>-0.0205</v>
      </c>
      <c r="BC43" s="318" t="n">
        <v>-0.0725</v>
      </c>
      <c r="BD43" s="318" t="n">
        <v>-0.0625</v>
      </c>
      <c r="BE43" s="318" t="n">
        <v>-0.075</v>
      </c>
      <c r="BF43" s="318" t="n">
        <v>0.15</v>
      </c>
      <c r="BG43" s="318" t="n">
        <v>0.23</v>
      </c>
      <c r="BH43" s="318" t="n">
        <v>0.195</v>
      </c>
      <c r="BI43" s="318" t="n">
        <v>0.145</v>
      </c>
      <c r="BJ43" s="318" t="n">
        <v>1.04</v>
      </c>
      <c r="BK43" s="318" t="n">
        <v>0</v>
      </c>
      <c r="BL43" s="318" t="n">
        <v>-0.025</v>
      </c>
      <c r="BM43" s="318" t="n">
        <v>0.005</v>
      </c>
      <c r="BN43" s="318" t="n">
        <v>0</v>
      </c>
      <c r="BO43" s="318" t="n">
        <v>0.035</v>
      </c>
      <c r="BP43" s="318" t="n">
        <v>0.005</v>
      </c>
      <c r="BQ43" s="318" t="n">
        <v>0.005</v>
      </c>
      <c r="BR43" s="318" t="n">
        <v>0.45</v>
      </c>
      <c r="BS43" s="0" t="n">
        <v>0.02</v>
      </c>
      <c r="BT43" s="0" t="n">
        <v>0.03</v>
      </c>
      <c r="BU43" s="0" t="n">
        <v>0.03</v>
      </c>
      <c r="BV43" s="0" t="n">
        <v>0.04</v>
      </c>
    </row>
    <row r="44" customFormat="false" ht="12.75" hidden="false" customHeight="false" outlineLevel="0" collapsed="false">
      <c r="A44" s="320" t="e">
        <f aca="false">#REF!-B44</f>
        <v>#REF!</v>
      </c>
      <c r="B44" s="320" t="n">
        <v>3.17</v>
      </c>
      <c r="C44" s="327" t="n">
        <f aca="false">EOMONTH(C43,0)+1</f>
        <v>38443</v>
      </c>
      <c r="D44" s="0" t="n">
        <f aca="false">D32+0.05</f>
        <v>3.081</v>
      </c>
      <c r="E44" s="320" t="n">
        <v>0.3025</v>
      </c>
      <c r="F44" s="318" t="n">
        <v>0.0436689034285567</v>
      </c>
      <c r="G44" s="318" t="n">
        <v>-0.125</v>
      </c>
      <c r="H44" s="318" t="n">
        <v>-0.145</v>
      </c>
      <c r="I44" s="330" t="n">
        <v>-0.01</v>
      </c>
      <c r="J44" s="330" t="n">
        <v>-0.1375</v>
      </c>
      <c r="K44" s="318" t="n">
        <v>0</v>
      </c>
      <c r="L44" s="318" t="n">
        <v>-0.0525</v>
      </c>
      <c r="M44" s="318" t="n">
        <v>-0.095</v>
      </c>
      <c r="N44" s="318" t="n">
        <v>-0.115</v>
      </c>
      <c r="O44" s="318" t="n">
        <v>-0.115</v>
      </c>
      <c r="P44" s="318" t="n">
        <v>-0.125</v>
      </c>
      <c r="Q44" s="318" t="n">
        <v>-0.085</v>
      </c>
      <c r="R44" s="318" t="n">
        <v>-0.0625</v>
      </c>
      <c r="S44" s="318" t="n">
        <v>0.145</v>
      </c>
      <c r="T44" s="318" t="n">
        <v>0.195</v>
      </c>
      <c r="U44" s="318" t="n">
        <v>0.125</v>
      </c>
      <c r="V44" s="318" t="n">
        <v>0.5</v>
      </c>
      <c r="W44" s="318" t="n">
        <v>0.195</v>
      </c>
      <c r="X44" s="318" t="n">
        <v>0.29</v>
      </c>
      <c r="Y44" s="318" t="n">
        <v>-0.025</v>
      </c>
      <c r="Z44" s="318" t="n">
        <v>-0.0375</v>
      </c>
      <c r="AA44" s="318" t="n">
        <v>0.0035</v>
      </c>
      <c r="AB44" s="318" t="n">
        <v>-0.019</v>
      </c>
      <c r="AC44" s="318" t="n">
        <v>0.0025</v>
      </c>
      <c r="AD44" s="318" t="n">
        <v>-0.0225</v>
      </c>
      <c r="AE44" s="318" t="n">
        <v>-0.075</v>
      </c>
      <c r="AF44" s="318" t="n">
        <v>-0.0675</v>
      </c>
      <c r="AG44" s="318" t="n">
        <v>-0.09</v>
      </c>
      <c r="AH44" s="318" t="n">
        <v>-0.0155</v>
      </c>
      <c r="AI44" s="318" t="n">
        <v>-0.0675</v>
      </c>
      <c r="AJ44" s="318" t="n">
        <v>-0.1075</v>
      </c>
      <c r="AK44" s="318" t="n">
        <v>-0.0125</v>
      </c>
      <c r="AL44" s="318" t="n">
        <v>0.0275</v>
      </c>
      <c r="AM44" s="318" t="n">
        <v>0.635</v>
      </c>
      <c r="AN44" s="318" t="n">
        <v>-0.02</v>
      </c>
      <c r="AO44" s="318" t="n">
        <v>-0.35</v>
      </c>
      <c r="AP44" s="318" t="n">
        <v>-0.085</v>
      </c>
      <c r="AQ44" s="318" t="n">
        <v>-0.135</v>
      </c>
      <c r="AR44" s="318" t="n">
        <v>0.068</v>
      </c>
      <c r="AS44" s="318" t="n">
        <v>-0.27</v>
      </c>
      <c r="AT44" s="318" t="n">
        <v>-0.35</v>
      </c>
      <c r="AU44" s="318" t="n">
        <v>0.2</v>
      </c>
      <c r="AV44" s="318" t="n">
        <v>-0.35</v>
      </c>
      <c r="AW44" s="318" t="n">
        <v>-0.1775</v>
      </c>
      <c r="AX44" s="318" t="n">
        <v>-0.0675</v>
      </c>
      <c r="AY44" s="318" t="n">
        <v>-0.1175</v>
      </c>
      <c r="AZ44" s="318" t="n">
        <v>-0.0525</v>
      </c>
      <c r="BA44" s="318" t="n">
        <v>-0.113</v>
      </c>
      <c r="BB44" s="318" t="n">
        <v>-0.0205</v>
      </c>
      <c r="BC44" s="318" t="n">
        <v>-0.0725</v>
      </c>
      <c r="BD44" s="318" t="n">
        <v>-0.05</v>
      </c>
      <c r="BE44" s="318" t="n">
        <v>-0.075</v>
      </c>
      <c r="BF44" s="318" t="n">
        <v>0.15</v>
      </c>
      <c r="BG44" s="318" t="n">
        <v>0.23</v>
      </c>
      <c r="BH44" s="318" t="n">
        <v>0.195</v>
      </c>
      <c r="BI44" s="318" t="n">
        <v>0.145</v>
      </c>
      <c r="BJ44" s="318" t="n">
        <v>0.54</v>
      </c>
      <c r="BK44" s="318" t="n">
        <v>0</v>
      </c>
      <c r="BL44" s="318" t="n">
        <v>-0.02</v>
      </c>
      <c r="BM44" s="318" t="n">
        <v>0.005</v>
      </c>
      <c r="BN44" s="318" t="n">
        <v>0</v>
      </c>
      <c r="BO44" s="318" t="n">
        <v>0.035</v>
      </c>
      <c r="BP44" s="318" t="n">
        <v>0.005</v>
      </c>
      <c r="BQ44" s="318" t="n">
        <v>0.005</v>
      </c>
      <c r="BR44" s="318" t="n">
        <v>0.1</v>
      </c>
      <c r="BS44" s="0" t="n">
        <v>0.02</v>
      </c>
      <c r="BT44" s="0" t="n">
        <v>0.03</v>
      </c>
      <c r="BU44" s="0" t="n">
        <v>0.03</v>
      </c>
      <c r="BV44" s="0" t="n">
        <v>0.04</v>
      </c>
    </row>
    <row r="45" customFormat="false" ht="12.75" hidden="false" customHeight="false" outlineLevel="0" collapsed="false">
      <c r="A45" s="320" t="e">
        <f aca="false">#REF!-B45</f>
        <v>#REF!</v>
      </c>
      <c r="B45" s="320" t="n">
        <v>3.188</v>
      </c>
      <c r="C45" s="327" t="n">
        <f aca="false">EOMONTH(C44,0)+1</f>
        <v>38473</v>
      </c>
      <c r="D45" s="0" t="n">
        <f aca="false">D33+0.05</f>
        <v>3.084</v>
      </c>
      <c r="E45" s="320" t="n">
        <v>0.2925</v>
      </c>
      <c r="F45" s="318" t="n">
        <v>0.0441629859154538</v>
      </c>
      <c r="G45" s="318" t="n">
        <v>-0.13</v>
      </c>
      <c r="H45" s="318" t="n">
        <v>-0.15</v>
      </c>
      <c r="I45" s="330" t="n">
        <v>-0.09</v>
      </c>
      <c r="J45" s="330" t="n">
        <v>-0.1375</v>
      </c>
      <c r="K45" s="318" t="n">
        <v>-0.09</v>
      </c>
      <c r="L45" s="318" t="n">
        <v>-0.0625</v>
      </c>
      <c r="M45" s="318" t="n">
        <v>-0.1</v>
      </c>
      <c r="N45" s="318" t="n">
        <v>-0.12</v>
      </c>
      <c r="O45" s="318" t="n">
        <v>-0.12</v>
      </c>
      <c r="P45" s="318" t="n">
        <v>-0.13</v>
      </c>
      <c r="Q45" s="318" t="n">
        <v>-0.0875</v>
      </c>
      <c r="R45" s="318" t="n">
        <v>-0.0725</v>
      </c>
      <c r="S45" s="318" t="n">
        <v>0.115</v>
      </c>
      <c r="T45" s="318" t="n">
        <v>0.145</v>
      </c>
      <c r="U45" s="318" t="n">
        <v>0.04</v>
      </c>
      <c r="V45" s="318" t="n">
        <v>0.5</v>
      </c>
      <c r="W45" s="318" t="n">
        <v>0.145</v>
      </c>
      <c r="X45" s="318" t="n">
        <v>0.195</v>
      </c>
      <c r="Y45" s="318" t="n">
        <v>-0.0275</v>
      </c>
      <c r="Z45" s="318" t="n">
        <v>-0.05</v>
      </c>
      <c r="AA45" s="318" t="n">
        <v>0.011</v>
      </c>
      <c r="AB45" s="318" t="n">
        <v>-0.0115</v>
      </c>
      <c r="AC45" s="318" t="n">
        <v>0.0025</v>
      </c>
      <c r="AD45" s="318" t="n">
        <v>-0.0225</v>
      </c>
      <c r="AE45" s="318" t="n">
        <v>-0.0725</v>
      </c>
      <c r="AF45" s="318" t="n">
        <v>-0.065</v>
      </c>
      <c r="AG45" s="318" t="n">
        <v>-0.0875</v>
      </c>
      <c r="AH45" s="318" t="n">
        <v>-0.0155</v>
      </c>
      <c r="AI45" s="318" t="n">
        <v>-0.0725</v>
      </c>
      <c r="AJ45" s="318" t="n">
        <v>-0.1025</v>
      </c>
      <c r="AK45" s="318" t="n">
        <v>-0.0175</v>
      </c>
      <c r="AL45" s="318" t="n">
        <v>0.0225</v>
      </c>
      <c r="AM45" s="318" t="n">
        <v>0.38</v>
      </c>
      <c r="AN45" s="318" t="n">
        <v>0.0175</v>
      </c>
      <c r="AO45" s="318" t="n">
        <v>-0.5</v>
      </c>
      <c r="AP45" s="318" t="n">
        <v>-0.085</v>
      </c>
      <c r="AQ45" s="318" t="n">
        <v>-0.2</v>
      </c>
      <c r="AR45" s="318" t="n">
        <v>-0.25</v>
      </c>
      <c r="AS45" s="318" t="n">
        <v>-0.42</v>
      </c>
      <c r="AT45" s="318" t="n">
        <v>-0.5</v>
      </c>
      <c r="AU45" s="318" t="n">
        <v>0.23</v>
      </c>
      <c r="AV45" s="318" t="n">
        <v>-0.5</v>
      </c>
      <c r="AW45" s="318" t="n">
        <v>-0.218</v>
      </c>
      <c r="AX45" s="318" t="n">
        <v>-0.0675</v>
      </c>
      <c r="AY45" s="318" t="n">
        <v>-0.158</v>
      </c>
      <c r="AZ45" s="318" t="n">
        <v>-0.0625</v>
      </c>
      <c r="BA45" s="318" t="n">
        <v>-0.1355</v>
      </c>
      <c r="BB45" s="318" t="n">
        <v>-0.0205</v>
      </c>
      <c r="BC45" s="318" t="n">
        <v>-0.0675</v>
      </c>
      <c r="BD45" s="318" t="n">
        <v>-0.0125</v>
      </c>
      <c r="BE45" s="318" t="n">
        <v>-0.0725</v>
      </c>
      <c r="BF45" s="318" t="n">
        <v>0.06</v>
      </c>
      <c r="BG45" s="318" t="n">
        <v>0.14</v>
      </c>
      <c r="BH45" s="318" t="n">
        <v>0.145</v>
      </c>
      <c r="BI45" s="318" t="n">
        <v>0.115</v>
      </c>
      <c r="BJ45" s="318" t="n">
        <v>0.36</v>
      </c>
      <c r="BK45" s="318" t="n">
        <v>0</v>
      </c>
      <c r="BL45" s="318" t="n">
        <v>-0.015</v>
      </c>
      <c r="BM45" s="318" t="n">
        <v>0.005</v>
      </c>
      <c r="BN45" s="318" t="n">
        <v>-0.01</v>
      </c>
      <c r="BO45" s="318" t="n">
        <v>0.02</v>
      </c>
      <c r="BP45" s="318" t="n">
        <v>0.005</v>
      </c>
      <c r="BQ45" s="318" t="n">
        <v>0.0025</v>
      </c>
      <c r="BR45" s="318" t="n">
        <v>0.02</v>
      </c>
      <c r="BS45" s="0" t="n">
        <v>0.005</v>
      </c>
      <c r="BT45" s="0" t="n">
        <v>0.03</v>
      </c>
      <c r="BU45" s="0" t="n">
        <v>0.03</v>
      </c>
      <c r="BV45" s="0" t="n">
        <v>0.03</v>
      </c>
    </row>
    <row r="46" customFormat="false" ht="12.75" hidden="false" customHeight="false" outlineLevel="0" collapsed="false">
      <c r="A46" s="320" t="e">
        <f aca="false">#REF!-B46</f>
        <v>#REF!</v>
      </c>
      <c r="B46" s="320" t="n">
        <v>3.3</v>
      </c>
      <c r="C46" s="327" t="n">
        <f aca="false">EOMONTH(C45,0)+1</f>
        <v>38504</v>
      </c>
      <c r="D46" s="0" t="n">
        <f aca="false">D34+0.05</f>
        <v>3.124</v>
      </c>
      <c r="E46" s="320" t="n">
        <v>0.285</v>
      </c>
      <c r="F46" s="318" t="n">
        <v>0.0446087139677753</v>
      </c>
      <c r="G46" s="318" t="n">
        <v>-0.13</v>
      </c>
      <c r="H46" s="318" t="n">
        <v>-0.15</v>
      </c>
      <c r="I46" s="330" t="n">
        <v>-0.09</v>
      </c>
      <c r="J46" s="330" t="n">
        <v>-0.1375</v>
      </c>
      <c r="K46" s="318" t="n">
        <v>-0.09</v>
      </c>
      <c r="L46" s="318" t="n">
        <v>-0.0625</v>
      </c>
      <c r="M46" s="318" t="n">
        <v>-0.1</v>
      </c>
      <c r="N46" s="318" t="n">
        <v>-0.12</v>
      </c>
      <c r="O46" s="318" t="n">
        <v>-0.12</v>
      </c>
      <c r="P46" s="318" t="n">
        <v>-0.13</v>
      </c>
      <c r="Q46" s="318" t="n">
        <v>-0.0875</v>
      </c>
      <c r="R46" s="318" t="n">
        <v>-0.0725</v>
      </c>
      <c r="S46" s="318" t="n">
        <v>0.115</v>
      </c>
      <c r="T46" s="318" t="n">
        <v>0.145</v>
      </c>
      <c r="U46" s="318" t="n">
        <v>0.04</v>
      </c>
      <c r="V46" s="318" t="n">
        <v>0.5</v>
      </c>
      <c r="W46" s="318" t="n">
        <v>0.125</v>
      </c>
      <c r="X46" s="318" t="n">
        <v>0.135</v>
      </c>
      <c r="Y46" s="318" t="n">
        <v>-0.0275</v>
      </c>
      <c r="Z46" s="318" t="n">
        <v>-0.05</v>
      </c>
      <c r="AA46" s="318" t="n">
        <v>0.011</v>
      </c>
      <c r="AB46" s="318" t="n">
        <v>-0.0115</v>
      </c>
      <c r="AC46" s="318" t="n">
        <v>0.0025</v>
      </c>
      <c r="AD46" s="318" t="n">
        <v>-0.0225</v>
      </c>
      <c r="AE46" s="318" t="n">
        <v>-0.0725</v>
      </c>
      <c r="AF46" s="318" t="n">
        <v>-0.065</v>
      </c>
      <c r="AG46" s="318" t="n">
        <v>-0.0875</v>
      </c>
      <c r="AH46" s="318" t="n">
        <v>-0.0155</v>
      </c>
      <c r="AI46" s="318" t="n">
        <v>-0.0725</v>
      </c>
      <c r="AJ46" s="318" t="n">
        <v>-0.1025</v>
      </c>
      <c r="AK46" s="318" t="n">
        <v>-0.0175</v>
      </c>
      <c r="AL46" s="318" t="n">
        <v>0.0225</v>
      </c>
      <c r="AM46" s="318" t="n">
        <v>0.33</v>
      </c>
      <c r="AN46" s="318" t="n">
        <v>0.0175</v>
      </c>
      <c r="AO46" s="318" t="n">
        <v>-0.5</v>
      </c>
      <c r="AP46" s="318" t="n">
        <v>-0.085</v>
      </c>
      <c r="AQ46" s="318" t="n">
        <v>-0.2</v>
      </c>
      <c r="AR46" s="318" t="n">
        <v>-0.25</v>
      </c>
      <c r="AS46" s="318" t="n">
        <v>-0.42</v>
      </c>
      <c r="AT46" s="318" t="n">
        <v>-0.5</v>
      </c>
      <c r="AU46" s="318" t="n">
        <v>0.23</v>
      </c>
      <c r="AV46" s="318" t="n">
        <v>-0.5</v>
      </c>
      <c r="AW46" s="318" t="n">
        <v>-0.1955</v>
      </c>
      <c r="AX46" s="318" t="n">
        <v>-0.0675</v>
      </c>
      <c r="AY46" s="318" t="n">
        <v>-0.1355</v>
      </c>
      <c r="AZ46" s="318" t="n">
        <v>-0.0625</v>
      </c>
      <c r="BA46" s="318" t="n">
        <v>-0.128</v>
      </c>
      <c r="BB46" s="318" t="n">
        <v>-0.0205</v>
      </c>
      <c r="BC46" s="318" t="n">
        <v>-0.0675</v>
      </c>
      <c r="BD46" s="318" t="n">
        <v>-0.0125</v>
      </c>
      <c r="BE46" s="318" t="n">
        <v>-0.0725</v>
      </c>
      <c r="BF46" s="318" t="n">
        <v>0.06</v>
      </c>
      <c r="BG46" s="318" t="n">
        <v>0.14</v>
      </c>
      <c r="BH46" s="318" t="n">
        <v>0.145</v>
      </c>
      <c r="BI46" s="318" t="n">
        <v>0.115</v>
      </c>
      <c r="BJ46" s="318" t="n">
        <v>0.325</v>
      </c>
      <c r="BK46" s="318" t="n">
        <v>0</v>
      </c>
      <c r="BL46" s="318" t="n">
        <v>-0.015</v>
      </c>
      <c r="BM46" s="318" t="n">
        <v>0.005</v>
      </c>
      <c r="BN46" s="318" t="n">
        <v>-0.01</v>
      </c>
      <c r="BO46" s="318" t="n">
        <v>0.02</v>
      </c>
      <c r="BP46" s="318" t="n">
        <v>0.005</v>
      </c>
      <c r="BQ46" s="318" t="n">
        <v>0.0025</v>
      </c>
      <c r="BR46" s="318" t="n">
        <v>0.02</v>
      </c>
      <c r="BS46" s="0" t="n">
        <v>0.005</v>
      </c>
      <c r="BT46" s="0" t="n">
        <v>0.03</v>
      </c>
      <c r="BU46" s="0" t="n">
        <v>0.03</v>
      </c>
      <c r="BV46" s="0" t="n">
        <v>0.03</v>
      </c>
    </row>
    <row r="47" customFormat="false" ht="12.75" hidden="false" customHeight="false" outlineLevel="0" collapsed="false">
      <c r="A47" s="320" t="e">
        <f aca="false">#REF!-B47</f>
        <v>#REF!</v>
      </c>
      <c r="B47" s="320" t="n">
        <v>3.409</v>
      </c>
      <c r="C47" s="327" t="n">
        <f aca="false">EOMONTH(C46,0)+1</f>
        <v>38534</v>
      </c>
      <c r="D47" s="0" t="n">
        <f aca="false">D35+0.05</f>
        <v>3.164</v>
      </c>
      <c r="E47" s="320" t="n">
        <v>0.285</v>
      </c>
      <c r="F47" s="318" t="n">
        <v>0.0450692996917126</v>
      </c>
      <c r="G47" s="318" t="n">
        <v>-0.13</v>
      </c>
      <c r="H47" s="318" t="n">
        <v>-0.15</v>
      </c>
      <c r="I47" s="330" t="n">
        <v>-0.09</v>
      </c>
      <c r="J47" s="330" t="n">
        <v>-0.1375</v>
      </c>
      <c r="K47" s="318" t="n">
        <v>-0.09</v>
      </c>
      <c r="L47" s="318" t="n">
        <v>-0.0625</v>
      </c>
      <c r="M47" s="318" t="n">
        <v>-0.1</v>
      </c>
      <c r="N47" s="318" t="n">
        <v>-0.12</v>
      </c>
      <c r="O47" s="318" t="n">
        <v>-0.12</v>
      </c>
      <c r="P47" s="318" t="n">
        <v>-0.13</v>
      </c>
      <c r="Q47" s="318" t="n">
        <v>-0.0875</v>
      </c>
      <c r="R47" s="318" t="n">
        <v>-0.0725</v>
      </c>
      <c r="S47" s="318" t="n">
        <v>0.115</v>
      </c>
      <c r="T47" s="318" t="n">
        <v>0.145</v>
      </c>
      <c r="U47" s="318" t="n">
        <v>0.04</v>
      </c>
      <c r="V47" s="318" t="n">
        <v>0.5</v>
      </c>
      <c r="W47" s="318" t="n">
        <v>0.145</v>
      </c>
      <c r="X47" s="318" t="n">
        <v>0.165</v>
      </c>
      <c r="Y47" s="318" t="n">
        <v>-0.0275</v>
      </c>
      <c r="Z47" s="318" t="n">
        <v>-0.0475</v>
      </c>
      <c r="AA47" s="318" t="n">
        <v>0.0135</v>
      </c>
      <c r="AB47" s="318" t="n">
        <v>-0.009</v>
      </c>
      <c r="AC47" s="318" t="n">
        <v>0.0025</v>
      </c>
      <c r="AD47" s="318" t="n">
        <v>-0.0225</v>
      </c>
      <c r="AE47" s="318" t="n">
        <v>-0.0725</v>
      </c>
      <c r="AF47" s="318" t="n">
        <v>-0.065</v>
      </c>
      <c r="AG47" s="318" t="n">
        <v>-0.0875</v>
      </c>
      <c r="AH47" s="318" t="n">
        <v>-0.0155</v>
      </c>
      <c r="AI47" s="318" t="n">
        <v>-0.0725</v>
      </c>
      <c r="AJ47" s="318" t="n">
        <v>-0.1025</v>
      </c>
      <c r="AK47" s="318" t="n">
        <v>-0.0175</v>
      </c>
      <c r="AL47" s="318" t="n">
        <v>0.0225</v>
      </c>
      <c r="AM47" s="318" t="n">
        <v>0.37</v>
      </c>
      <c r="AN47" s="318" t="n">
        <v>0.0225</v>
      </c>
      <c r="AO47" s="318" t="n">
        <v>-0.5</v>
      </c>
      <c r="AP47" s="318" t="n">
        <v>-0.085</v>
      </c>
      <c r="AQ47" s="318" t="n">
        <v>-0.2</v>
      </c>
      <c r="AR47" s="318" t="n">
        <v>-0.25</v>
      </c>
      <c r="AS47" s="318" t="n">
        <v>-0.42</v>
      </c>
      <c r="AT47" s="318" t="n">
        <v>-0.5</v>
      </c>
      <c r="AU47" s="318" t="n">
        <v>0.23</v>
      </c>
      <c r="AV47" s="318" t="n">
        <v>-0.5</v>
      </c>
      <c r="AW47" s="318" t="n">
        <v>-0.143</v>
      </c>
      <c r="AX47" s="318" t="n">
        <v>-0.0675</v>
      </c>
      <c r="AY47" s="318" t="n">
        <v>-0.083</v>
      </c>
      <c r="AZ47" s="318" t="n">
        <v>-0.0625</v>
      </c>
      <c r="BA47" s="318" t="n">
        <v>-0.0855</v>
      </c>
      <c r="BB47" s="318" t="n">
        <v>-0.0205</v>
      </c>
      <c r="BC47" s="318" t="n">
        <v>-0.0675</v>
      </c>
      <c r="BD47" s="318" t="n">
        <v>-0.0075</v>
      </c>
      <c r="BE47" s="318" t="n">
        <v>-0.0725</v>
      </c>
      <c r="BF47" s="318" t="n">
        <v>0.06</v>
      </c>
      <c r="BG47" s="318" t="n">
        <v>0.14</v>
      </c>
      <c r="BH47" s="318" t="n">
        <v>0.145</v>
      </c>
      <c r="BI47" s="318" t="n">
        <v>0.115</v>
      </c>
      <c r="BJ47" s="318" t="n">
        <v>0.335</v>
      </c>
      <c r="BK47" s="318" t="n">
        <v>0</v>
      </c>
      <c r="BL47" s="318" t="n">
        <v>-0.015</v>
      </c>
      <c r="BM47" s="318" t="n">
        <v>0.005</v>
      </c>
      <c r="BN47" s="318" t="n">
        <v>-0.01</v>
      </c>
      <c r="BO47" s="318" t="n">
        <v>0.02</v>
      </c>
      <c r="BP47" s="318" t="n">
        <v>0.005</v>
      </c>
      <c r="BQ47" s="318" t="n">
        <v>0.0025</v>
      </c>
      <c r="BR47" s="318" t="n">
        <v>0.035</v>
      </c>
      <c r="BS47" s="0" t="n">
        <v>0.005</v>
      </c>
      <c r="BT47" s="0" t="n">
        <v>0.03</v>
      </c>
      <c r="BU47" s="0" t="n">
        <v>0.03</v>
      </c>
      <c r="BV47" s="0" t="n">
        <v>0.03</v>
      </c>
    </row>
    <row r="48" customFormat="false" ht="12.75" hidden="false" customHeight="false" outlineLevel="0" collapsed="false">
      <c r="A48" s="320" t="e">
        <f aca="false">#REF!-B48</f>
        <v>#REF!</v>
      </c>
      <c r="B48" s="320" t="n">
        <v>3.545</v>
      </c>
      <c r="C48" s="327" t="n">
        <f aca="false">EOMONTH(C47,0)+1</f>
        <v>38565</v>
      </c>
      <c r="D48" s="0" t="n">
        <f aca="false">D36+0.05</f>
        <v>3.214</v>
      </c>
      <c r="E48" s="320" t="n">
        <v>0.28</v>
      </c>
      <c r="F48" s="318" t="n">
        <v>0.0454931128840683</v>
      </c>
      <c r="G48" s="318" t="n">
        <v>-0.13</v>
      </c>
      <c r="H48" s="318" t="n">
        <v>-0.15</v>
      </c>
      <c r="I48" s="330" t="n">
        <v>-0.09</v>
      </c>
      <c r="J48" s="330" t="n">
        <v>-0.1375</v>
      </c>
      <c r="K48" s="318" t="n">
        <v>-0.09</v>
      </c>
      <c r="L48" s="318" t="n">
        <v>-0.0625</v>
      </c>
      <c r="M48" s="318" t="n">
        <v>-0.1</v>
      </c>
      <c r="N48" s="318" t="n">
        <v>-0.12</v>
      </c>
      <c r="O48" s="318" t="n">
        <v>-0.12</v>
      </c>
      <c r="P48" s="318" t="n">
        <v>-0.13</v>
      </c>
      <c r="Q48" s="318" t="n">
        <v>-0.0875</v>
      </c>
      <c r="R48" s="318" t="n">
        <v>-0.0725</v>
      </c>
      <c r="S48" s="318" t="n">
        <v>0.115</v>
      </c>
      <c r="T48" s="318" t="n">
        <v>0.145</v>
      </c>
      <c r="U48" s="318" t="n">
        <v>0.04</v>
      </c>
      <c r="V48" s="318" t="n">
        <v>0.5</v>
      </c>
      <c r="W48" s="318" t="n">
        <v>0.15</v>
      </c>
      <c r="X48" s="318" t="n">
        <v>0.205</v>
      </c>
      <c r="Y48" s="318" t="n">
        <v>-0.0275</v>
      </c>
      <c r="Z48" s="318" t="n">
        <v>-0.0475</v>
      </c>
      <c r="AA48" s="318" t="n">
        <v>0.0135</v>
      </c>
      <c r="AB48" s="318" t="n">
        <v>-0.009</v>
      </c>
      <c r="AC48" s="318" t="n">
        <v>0.0025</v>
      </c>
      <c r="AD48" s="318" t="n">
        <v>-0.0225</v>
      </c>
      <c r="AE48" s="318" t="n">
        <v>-0.0725</v>
      </c>
      <c r="AF48" s="318" t="n">
        <v>-0.065</v>
      </c>
      <c r="AG48" s="318" t="n">
        <v>-0.0875</v>
      </c>
      <c r="AH48" s="318" t="n">
        <v>-0.0155</v>
      </c>
      <c r="AI48" s="318" t="n">
        <v>-0.0725</v>
      </c>
      <c r="AJ48" s="318" t="n">
        <v>-0.1025</v>
      </c>
      <c r="AK48" s="318" t="n">
        <v>-0.0175</v>
      </c>
      <c r="AL48" s="318" t="n">
        <v>0.0225</v>
      </c>
      <c r="AM48" s="318" t="n">
        <v>0.41</v>
      </c>
      <c r="AN48" s="318" t="n">
        <v>0.025</v>
      </c>
      <c r="AO48" s="318" t="n">
        <v>-0.5</v>
      </c>
      <c r="AP48" s="318" t="n">
        <v>-0.085</v>
      </c>
      <c r="AQ48" s="318" t="n">
        <v>-0.2</v>
      </c>
      <c r="AR48" s="318" t="n">
        <v>-0.25</v>
      </c>
      <c r="AS48" s="318" t="n">
        <v>-0.42</v>
      </c>
      <c r="AT48" s="318" t="n">
        <v>-0.5</v>
      </c>
      <c r="AU48" s="318" t="n">
        <v>0.23</v>
      </c>
      <c r="AV48" s="318" t="n">
        <v>-0.5</v>
      </c>
      <c r="AW48" s="318" t="n">
        <v>-0.153</v>
      </c>
      <c r="AX48" s="318" t="n">
        <v>-0.0675</v>
      </c>
      <c r="AY48" s="318" t="n">
        <v>-0.093</v>
      </c>
      <c r="AZ48" s="318" t="n">
        <v>-0.0625</v>
      </c>
      <c r="BA48" s="318" t="n">
        <v>-0.083</v>
      </c>
      <c r="BB48" s="318" t="n">
        <v>-0.0205</v>
      </c>
      <c r="BC48" s="318" t="n">
        <v>-0.0675</v>
      </c>
      <c r="BD48" s="318" t="n">
        <v>-0.005</v>
      </c>
      <c r="BE48" s="318" t="n">
        <v>-0.0725</v>
      </c>
      <c r="BF48" s="318" t="n">
        <v>0.06</v>
      </c>
      <c r="BG48" s="318" t="n">
        <v>0.14</v>
      </c>
      <c r="BH48" s="318" t="n">
        <v>0.145</v>
      </c>
      <c r="BI48" s="318" t="n">
        <v>0.115</v>
      </c>
      <c r="BJ48" s="318" t="n">
        <v>0.35</v>
      </c>
      <c r="BK48" s="318" t="n">
        <v>0</v>
      </c>
      <c r="BL48" s="318" t="n">
        <v>-0.01</v>
      </c>
      <c r="BM48" s="318" t="n">
        <v>0.005</v>
      </c>
      <c r="BN48" s="318" t="n">
        <v>-0.01</v>
      </c>
      <c r="BO48" s="318" t="n">
        <v>0.02</v>
      </c>
      <c r="BP48" s="318" t="n">
        <v>0.005</v>
      </c>
      <c r="BQ48" s="318" t="n">
        <v>0.0025</v>
      </c>
      <c r="BR48" s="318" t="n">
        <v>0.035</v>
      </c>
      <c r="BS48" s="0" t="n">
        <v>0.005</v>
      </c>
      <c r="BT48" s="0" t="n">
        <v>0.03</v>
      </c>
      <c r="BU48" s="0" t="n">
        <v>0.03</v>
      </c>
      <c r="BV48" s="0" t="n">
        <v>0.03</v>
      </c>
    </row>
    <row r="49" customFormat="false" ht="12.75" hidden="false" customHeight="false" outlineLevel="0" collapsed="false">
      <c r="A49" s="320" t="e">
        <f aca="false">#REF!-B49</f>
        <v>#REF!</v>
      </c>
      <c r="B49" s="320" t="n">
        <v>3.422</v>
      </c>
      <c r="C49" s="327" t="n">
        <f aca="false">EOMONTH(C48,0)+1</f>
        <v>38596</v>
      </c>
      <c r="D49" s="0" t="n">
        <f aca="false">D37+0.05</f>
        <v>3.199</v>
      </c>
      <c r="E49" s="320" t="n">
        <v>0.28</v>
      </c>
      <c r="F49" s="318" t="n">
        <v>0.045909969215757</v>
      </c>
      <c r="G49" s="318" t="n">
        <v>-0.13</v>
      </c>
      <c r="H49" s="318" t="n">
        <v>-0.15</v>
      </c>
      <c r="I49" s="330" t="n">
        <v>-0.09</v>
      </c>
      <c r="J49" s="330" t="n">
        <v>-0.1375</v>
      </c>
      <c r="K49" s="318" t="n">
        <v>-0.09</v>
      </c>
      <c r="L49" s="318" t="n">
        <v>-0.0625</v>
      </c>
      <c r="M49" s="318" t="n">
        <v>-0.1</v>
      </c>
      <c r="N49" s="318" t="n">
        <v>-0.12</v>
      </c>
      <c r="O49" s="318" t="n">
        <v>-0.12</v>
      </c>
      <c r="P49" s="318" t="n">
        <v>-0.13</v>
      </c>
      <c r="Q49" s="318" t="n">
        <v>-0.0875</v>
      </c>
      <c r="R49" s="318" t="n">
        <v>-0.0725</v>
      </c>
      <c r="S49" s="318" t="n">
        <v>0.115</v>
      </c>
      <c r="T49" s="318" t="n">
        <v>0.145</v>
      </c>
      <c r="U49" s="318" t="n">
        <v>0.04</v>
      </c>
      <c r="V49" s="318" t="n">
        <v>0.5</v>
      </c>
      <c r="W49" s="318" t="n">
        <v>0.15</v>
      </c>
      <c r="X49" s="318" t="n">
        <v>0.205</v>
      </c>
      <c r="Y49" s="318" t="n">
        <v>-0.0275</v>
      </c>
      <c r="Z49" s="318" t="n">
        <v>-0.0475</v>
      </c>
      <c r="AA49" s="318" t="n">
        <v>0.0135</v>
      </c>
      <c r="AB49" s="318" t="n">
        <v>-0.009</v>
      </c>
      <c r="AC49" s="318" t="n">
        <v>0.0025</v>
      </c>
      <c r="AD49" s="318" t="n">
        <v>-0.0225</v>
      </c>
      <c r="AE49" s="318" t="n">
        <v>-0.0725</v>
      </c>
      <c r="AF49" s="318" t="n">
        <v>-0.065</v>
      </c>
      <c r="AG49" s="318" t="n">
        <v>-0.0875</v>
      </c>
      <c r="AH49" s="318" t="n">
        <v>-0.0155</v>
      </c>
      <c r="AI49" s="318" t="n">
        <v>-0.0725</v>
      </c>
      <c r="AJ49" s="318" t="n">
        <v>-0.1025</v>
      </c>
      <c r="AK49" s="318" t="n">
        <v>-0.0175</v>
      </c>
      <c r="AL49" s="318" t="n">
        <v>0.0225</v>
      </c>
      <c r="AM49" s="318" t="n">
        <v>0.41</v>
      </c>
      <c r="AN49" s="318" t="n">
        <v>0.0275</v>
      </c>
      <c r="AO49" s="318" t="n">
        <v>-0.5</v>
      </c>
      <c r="AP49" s="318" t="n">
        <v>-0.085</v>
      </c>
      <c r="AQ49" s="318" t="n">
        <v>-0.2</v>
      </c>
      <c r="AR49" s="318" t="n">
        <v>-0.25</v>
      </c>
      <c r="AS49" s="318" t="n">
        <v>-0.42</v>
      </c>
      <c r="AT49" s="318" t="n">
        <v>-0.5</v>
      </c>
      <c r="AU49" s="318" t="n">
        <v>0.23</v>
      </c>
      <c r="AV49" s="318" t="n">
        <v>-0.5</v>
      </c>
      <c r="AW49" s="318" t="n">
        <v>-0.148</v>
      </c>
      <c r="AX49" s="318" t="n">
        <v>-0.0675</v>
      </c>
      <c r="AY49" s="318" t="n">
        <v>-0.088</v>
      </c>
      <c r="AZ49" s="318" t="n">
        <v>-0.0625</v>
      </c>
      <c r="BA49" s="318" t="n">
        <v>-0.0805</v>
      </c>
      <c r="BB49" s="318" t="n">
        <v>-0.0205</v>
      </c>
      <c r="BC49" s="318" t="n">
        <v>-0.0675</v>
      </c>
      <c r="BD49" s="318" t="n">
        <v>-0.0025</v>
      </c>
      <c r="BE49" s="318" t="n">
        <v>-0.0725</v>
      </c>
      <c r="BF49" s="318" t="n">
        <v>0.06</v>
      </c>
      <c r="BG49" s="318" t="n">
        <v>0.14</v>
      </c>
      <c r="BH49" s="318" t="n">
        <v>0.145</v>
      </c>
      <c r="BI49" s="318" t="n">
        <v>0.115</v>
      </c>
      <c r="BJ49" s="318" t="n">
        <v>0.35</v>
      </c>
      <c r="BK49" s="318" t="n">
        <v>0</v>
      </c>
      <c r="BL49" s="318" t="n">
        <v>-0.01</v>
      </c>
      <c r="BM49" s="318" t="n">
        <v>0.005</v>
      </c>
      <c r="BN49" s="318" t="n">
        <v>-0.01</v>
      </c>
      <c r="BO49" s="318" t="n">
        <v>0.02</v>
      </c>
      <c r="BP49" s="318" t="n">
        <v>0.005</v>
      </c>
      <c r="BQ49" s="318" t="n">
        <v>0.0025</v>
      </c>
      <c r="BR49" s="318" t="n">
        <v>0.01</v>
      </c>
      <c r="BS49" s="0" t="n">
        <v>0.005</v>
      </c>
      <c r="BT49" s="0" t="n">
        <v>0.03</v>
      </c>
      <c r="BU49" s="0" t="n">
        <v>0.03</v>
      </c>
      <c r="BV49" s="0" t="n">
        <v>0.03</v>
      </c>
    </row>
    <row r="50" customFormat="false" ht="12.75" hidden="false" customHeight="false" outlineLevel="0" collapsed="false">
      <c r="A50" s="320" t="e">
        <f aca="false">#REF!-B50</f>
        <v>#REF!</v>
      </c>
      <c r="B50" s="320" t="n">
        <v>3.267</v>
      </c>
      <c r="C50" s="327" t="n">
        <f aca="false">EOMONTH(C49,0)+1</f>
        <v>38626</v>
      </c>
      <c r="D50" s="0" t="n">
        <f aca="false">D38+0.05</f>
        <v>3.214</v>
      </c>
      <c r="E50" s="320" t="n">
        <v>0.28</v>
      </c>
      <c r="F50" s="318" t="n">
        <v>0.04632682560558</v>
      </c>
      <c r="G50" s="318" t="n">
        <v>-0.13</v>
      </c>
      <c r="H50" s="318" t="n">
        <v>-0.15</v>
      </c>
      <c r="I50" s="330" t="n">
        <v>-0.09</v>
      </c>
      <c r="J50" s="330" t="n">
        <v>-0.1375</v>
      </c>
      <c r="K50" s="318" t="n">
        <v>-0.09</v>
      </c>
      <c r="L50" s="318" t="n">
        <v>-0.0625</v>
      </c>
      <c r="M50" s="318" t="n">
        <v>-0.1</v>
      </c>
      <c r="N50" s="318" t="n">
        <v>-0.12</v>
      </c>
      <c r="O50" s="318" t="n">
        <v>-0.12</v>
      </c>
      <c r="P50" s="318" t="n">
        <v>-0.13</v>
      </c>
      <c r="Q50" s="318" t="n">
        <v>-0.0875</v>
      </c>
      <c r="R50" s="318" t="n">
        <v>-0.0725</v>
      </c>
      <c r="S50" s="318" t="n">
        <v>0.115</v>
      </c>
      <c r="T50" s="318" t="n">
        <v>0.145</v>
      </c>
      <c r="U50" s="318" t="n">
        <v>0.04</v>
      </c>
      <c r="V50" s="318" t="n">
        <v>0.5</v>
      </c>
      <c r="W50" s="318" t="n">
        <v>0.125</v>
      </c>
      <c r="X50" s="318" t="n">
        <v>0.145</v>
      </c>
      <c r="Y50" s="318" t="n">
        <v>-0.0275</v>
      </c>
      <c r="Z50" s="318" t="n">
        <v>-0.0525</v>
      </c>
      <c r="AA50" s="318" t="n">
        <v>0.0085</v>
      </c>
      <c r="AB50" s="318" t="n">
        <v>-0.014</v>
      </c>
      <c r="AC50" s="318" t="n">
        <v>0.0025</v>
      </c>
      <c r="AD50" s="318" t="n">
        <v>-0.0225</v>
      </c>
      <c r="AE50" s="318" t="n">
        <v>-0.0725</v>
      </c>
      <c r="AF50" s="318" t="n">
        <v>-0.065</v>
      </c>
      <c r="AG50" s="318" t="n">
        <v>-0.0875</v>
      </c>
      <c r="AH50" s="318" t="n">
        <v>-0.0155</v>
      </c>
      <c r="AI50" s="318" t="n">
        <v>-0.0725</v>
      </c>
      <c r="AJ50" s="318" t="n">
        <v>-0.1025</v>
      </c>
      <c r="AK50" s="318" t="n">
        <v>-0.0175</v>
      </c>
      <c r="AL50" s="318" t="n">
        <v>0.0225</v>
      </c>
      <c r="AM50" s="318" t="n">
        <v>0.36</v>
      </c>
      <c r="AN50" s="318" t="n">
        <v>0.02</v>
      </c>
      <c r="AO50" s="318" t="n">
        <v>-0.5</v>
      </c>
      <c r="AP50" s="318" t="n">
        <v>-0.085</v>
      </c>
      <c r="AQ50" s="318" t="n">
        <v>-0.2</v>
      </c>
      <c r="AR50" s="318" t="n">
        <v>-0.25</v>
      </c>
      <c r="AS50" s="318" t="n">
        <v>-0.42</v>
      </c>
      <c r="AT50" s="318" t="n">
        <v>-0.5</v>
      </c>
      <c r="AU50" s="318" t="n">
        <v>0.23</v>
      </c>
      <c r="AV50" s="318" t="n">
        <v>-0.5</v>
      </c>
      <c r="AW50" s="318" t="n">
        <v>-0.158</v>
      </c>
      <c r="AX50" s="318" t="n">
        <v>-0.0675</v>
      </c>
      <c r="AY50" s="318" t="n">
        <v>-0.098</v>
      </c>
      <c r="AZ50" s="318" t="n">
        <v>-0.0625</v>
      </c>
      <c r="BA50" s="318" t="n">
        <v>-0.0855</v>
      </c>
      <c r="BB50" s="318" t="n">
        <v>-0.0205</v>
      </c>
      <c r="BC50" s="318" t="n">
        <v>-0.0675</v>
      </c>
      <c r="BD50" s="318" t="n">
        <v>-0.01</v>
      </c>
      <c r="BE50" s="318" t="n">
        <v>-0.0725</v>
      </c>
      <c r="BF50" s="318" t="n">
        <v>0.06</v>
      </c>
      <c r="BG50" s="318" t="n">
        <v>0.14</v>
      </c>
      <c r="BH50" s="318" t="n">
        <v>0.145</v>
      </c>
      <c r="BI50" s="318" t="n">
        <v>0.115</v>
      </c>
      <c r="BJ50" s="318" t="n">
        <v>0.315</v>
      </c>
      <c r="BK50" s="318" t="n">
        <v>0</v>
      </c>
      <c r="BL50" s="318" t="n">
        <v>-0.01</v>
      </c>
      <c r="BM50" s="318" t="n">
        <v>0.005</v>
      </c>
      <c r="BN50" s="318" t="n">
        <v>-0.01</v>
      </c>
      <c r="BO50" s="318" t="n">
        <v>0.02</v>
      </c>
      <c r="BP50" s="318" t="n">
        <v>0.005</v>
      </c>
      <c r="BQ50" s="318" t="n">
        <v>0.0025</v>
      </c>
      <c r="BR50" s="318" t="n">
        <v>0.01</v>
      </c>
      <c r="BS50" s="0" t="n">
        <v>0.005</v>
      </c>
      <c r="BT50" s="0" t="n">
        <v>0.03</v>
      </c>
      <c r="BU50" s="0" t="n">
        <v>0.03</v>
      </c>
      <c r="BV50" s="0" t="n">
        <v>0.03</v>
      </c>
    </row>
    <row r="51" customFormat="false" ht="12.75" hidden="false" customHeight="false" outlineLevel="0" collapsed="false">
      <c r="A51" s="320" t="e">
        <f aca="false">#REF!-B51</f>
        <v>#REF!</v>
      </c>
      <c r="B51" s="320" t="n">
        <v>3.115</v>
      </c>
      <c r="C51" s="327" t="n">
        <f aca="false">EOMONTH(C50,0)+1</f>
        <v>38657</v>
      </c>
      <c r="D51" s="0" t="n">
        <f aca="false">D39+0.05</f>
        <v>3.359</v>
      </c>
      <c r="E51" s="320" t="n">
        <v>0.28</v>
      </c>
      <c r="F51" s="318" t="n">
        <v>0.0467165492653465</v>
      </c>
      <c r="G51" s="318" t="n">
        <v>-0.13</v>
      </c>
      <c r="H51" s="318" t="n">
        <v>-0.15</v>
      </c>
      <c r="I51" s="330" t="n">
        <v>-0.09</v>
      </c>
      <c r="J51" s="330" t="n">
        <v>-0.1375</v>
      </c>
      <c r="K51" s="318" t="n">
        <v>-0.09</v>
      </c>
      <c r="L51" s="318" t="n">
        <v>-0.0625</v>
      </c>
      <c r="M51" s="318" t="n">
        <v>-0.1</v>
      </c>
      <c r="N51" s="318" t="n">
        <v>-0.12</v>
      </c>
      <c r="O51" s="318" t="n">
        <v>-0.12</v>
      </c>
      <c r="P51" s="318" t="n">
        <v>-0.13</v>
      </c>
      <c r="Q51" s="318" t="n">
        <v>-0.0875</v>
      </c>
      <c r="R51" s="318" t="n">
        <v>-0.0725</v>
      </c>
      <c r="S51" s="318" t="n">
        <v>0.115</v>
      </c>
      <c r="T51" s="318" t="n">
        <v>0.145</v>
      </c>
      <c r="U51" s="318" t="n">
        <v>0.04</v>
      </c>
      <c r="V51" s="318" t="n">
        <v>0.5</v>
      </c>
      <c r="W51" s="318" t="n">
        <v>0.145</v>
      </c>
      <c r="X51" s="318" t="n">
        <v>0.175</v>
      </c>
      <c r="Y51" s="318" t="n">
        <v>-0.0275</v>
      </c>
      <c r="Z51" s="318" t="n">
        <v>-0.0525</v>
      </c>
      <c r="AA51" s="318" t="n">
        <v>0.0085</v>
      </c>
      <c r="AB51" s="318" t="n">
        <v>-0.014</v>
      </c>
      <c r="AC51" s="318" t="n">
        <v>0.0025</v>
      </c>
      <c r="AD51" s="318" t="n">
        <v>-0.0225</v>
      </c>
      <c r="AE51" s="318" t="n">
        <v>-0.0725</v>
      </c>
      <c r="AF51" s="318" t="n">
        <v>-0.065</v>
      </c>
      <c r="AG51" s="318" t="n">
        <v>-0.0875</v>
      </c>
      <c r="AH51" s="318" t="n">
        <v>-0.0155</v>
      </c>
      <c r="AI51" s="318" t="n">
        <v>-0.0725</v>
      </c>
      <c r="AJ51" s="318" t="n">
        <v>-0.1025</v>
      </c>
      <c r="AK51" s="318" t="n">
        <v>-0.0175</v>
      </c>
      <c r="AL51" s="318" t="n">
        <v>0.0225</v>
      </c>
      <c r="AM51" s="318" t="n">
        <v>0.4</v>
      </c>
      <c r="AN51" s="318" t="n">
        <v>0.01</v>
      </c>
      <c r="AO51" s="318" t="n">
        <v>-0.5</v>
      </c>
      <c r="AP51" s="318" t="n">
        <v>-0.085</v>
      </c>
      <c r="AQ51" s="318" t="n">
        <v>-0.2</v>
      </c>
      <c r="AR51" s="318" t="n">
        <v>-0.25</v>
      </c>
      <c r="AS51" s="318" t="n">
        <v>-0.42</v>
      </c>
      <c r="AT51" s="318" t="n">
        <v>-0.5</v>
      </c>
      <c r="AU51" s="318" t="n">
        <v>0.23</v>
      </c>
      <c r="AV51" s="318" t="n">
        <v>-0.5</v>
      </c>
      <c r="AW51" s="318" t="n">
        <v>-0.1455</v>
      </c>
      <c r="AX51" s="318" t="n">
        <v>-0.0675</v>
      </c>
      <c r="AY51" s="318" t="n">
        <v>-0.0855</v>
      </c>
      <c r="AZ51" s="318" t="n">
        <v>-0.0625</v>
      </c>
      <c r="BA51" s="318" t="n">
        <v>-0.088</v>
      </c>
      <c r="BB51" s="318" t="n">
        <v>-0.0205</v>
      </c>
      <c r="BC51" s="318" t="n">
        <v>-0.0675</v>
      </c>
      <c r="BD51" s="318" t="n">
        <v>-0.02</v>
      </c>
      <c r="BE51" s="318" t="n">
        <v>-0.0725</v>
      </c>
      <c r="BF51" s="318" t="n">
        <v>0.06</v>
      </c>
      <c r="BG51" s="318" t="n">
        <v>0.14</v>
      </c>
      <c r="BH51" s="318" t="n">
        <v>0.145</v>
      </c>
      <c r="BI51" s="318" t="n">
        <v>0.115</v>
      </c>
      <c r="BJ51" s="318" t="n">
        <v>0.36</v>
      </c>
      <c r="BK51" s="318" t="n">
        <v>0</v>
      </c>
      <c r="BL51" s="318" t="n">
        <v>-0.015</v>
      </c>
      <c r="BM51" s="318" t="n">
        <v>0.005</v>
      </c>
      <c r="BN51" s="318" t="n">
        <v>-0.01</v>
      </c>
      <c r="BO51" s="318" t="n">
        <v>0.02</v>
      </c>
      <c r="BP51" s="318" t="n">
        <v>0.005</v>
      </c>
      <c r="BQ51" s="318" t="n">
        <v>0.0025</v>
      </c>
      <c r="BR51" s="318" t="n">
        <v>0.01</v>
      </c>
      <c r="BS51" s="0" t="n">
        <v>0.005</v>
      </c>
      <c r="BT51" s="0" t="n">
        <v>0.03</v>
      </c>
      <c r="BU51" s="0" t="n">
        <v>0.03</v>
      </c>
      <c r="BV51" s="0" t="n">
        <v>0.03</v>
      </c>
    </row>
    <row r="52" customFormat="false" ht="12.75" hidden="false" customHeight="false" outlineLevel="0" collapsed="false">
      <c r="A52" s="320" t="e">
        <f aca="false">#REF!-B52</f>
        <v>#REF!</v>
      </c>
      <c r="B52" s="320" t="n">
        <v>3.088</v>
      </c>
      <c r="C52" s="327" t="n">
        <f aca="false">EOMONTH(C51,0)+1</f>
        <v>38687</v>
      </c>
      <c r="D52" s="0" t="n">
        <f aca="false">D40+0.05</f>
        <v>3.494</v>
      </c>
      <c r="E52" s="320" t="n">
        <v>0.28</v>
      </c>
      <c r="F52" s="318" t="n">
        <v>0.0470928800068173</v>
      </c>
      <c r="G52" s="318" t="n">
        <v>-0.13</v>
      </c>
      <c r="H52" s="318" t="n">
        <v>-0.15</v>
      </c>
      <c r="I52" s="330" t="n">
        <v>-0.01</v>
      </c>
      <c r="J52" s="330" t="n">
        <v>-0.1375</v>
      </c>
      <c r="K52" s="318" t="n">
        <v>0</v>
      </c>
      <c r="L52" s="318" t="n">
        <v>-0.06</v>
      </c>
      <c r="M52" s="318" t="n">
        <v>-0.1</v>
      </c>
      <c r="N52" s="318" t="n">
        <v>-0.12</v>
      </c>
      <c r="O52" s="318" t="n">
        <v>-0.12</v>
      </c>
      <c r="P52" s="318" t="n">
        <v>-0.13</v>
      </c>
      <c r="Q52" s="318" t="n">
        <v>-0.0925</v>
      </c>
      <c r="R52" s="318" t="n">
        <v>-0.07</v>
      </c>
      <c r="S52" s="318" t="n">
        <v>0.155</v>
      </c>
      <c r="T52" s="318" t="n">
        <v>0.205</v>
      </c>
      <c r="U52" s="318" t="n">
        <v>0.125</v>
      </c>
      <c r="V52" s="318" t="n">
        <v>0.5</v>
      </c>
      <c r="W52" s="318" t="n">
        <v>0.195</v>
      </c>
      <c r="X52" s="318" t="n">
        <v>0.21</v>
      </c>
      <c r="Y52" s="318" t="n">
        <v>-0.025</v>
      </c>
      <c r="Z52" s="318" t="n">
        <v>-0.0375</v>
      </c>
      <c r="AA52" s="318" t="n">
        <v>0.0035</v>
      </c>
      <c r="AB52" s="318" t="n">
        <v>-0.019</v>
      </c>
      <c r="AC52" s="318" t="n">
        <v>0.0025</v>
      </c>
      <c r="AD52" s="318" t="n">
        <v>-0.0225</v>
      </c>
      <c r="AE52" s="318" t="n">
        <v>-0.075</v>
      </c>
      <c r="AF52" s="318" t="n">
        <v>-0.0675</v>
      </c>
      <c r="AG52" s="318" t="n">
        <v>-0.09</v>
      </c>
      <c r="AH52" s="318" t="n">
        <v>-0.017</v>
      </c>
      <c r="AI52" s="318" t="n">
        <v>-0.0665</v>
      </c>
      <c r="AJ52" s="318" t="n">
        <v>-0.115</v>
      </c>
      <c r="AK52" s="318" t="n">
        <v>-0.0115</v>
      </c>
      <c r="AL52" s="318" t="n">
        <v>0.0285</v>
      </c>
      <c r="AM52" s="318" t="n">
        <v>0.65</v>
      </c>
      <c r="AN52" s="318" t="n">
        <v>-0.0225</v>
      </c>
      <c r="AO52" s="318" t="n">
        <v>-0.34</v>
      </c>
      <c r="AP52" s="318" t="n">
        <v>-0.085</v>
      </c>
      <c r="AQ52" s="318" t="n">
        <v>-0.13</v>
      </c>
      <c r="AR52" s="318" t="n">
        <v>0.248</v>
      </c>
      <c r="AS52" s="318" t="n">
        <v>-0.26</v>
      </c>
      <c r="AT52" s="318" t="n">
        <v>-0.34</v>
      </c>
      <c r="AU52" s="318" t="n">
        <v>0.24</v>
      </c>
      <c r="AV52" s="318" t="n">
        <v>-0.34</v>
      </c>
      <c r="AW52" s="318" t="n">
        <v>-0.153</v>
      </c>
      <c r="AX52" s="318" t="n">
        <v>-0.0675</v>
      </c>
      <c r="AY52" s="318" t="n">
        <v>-0.093</v>
      </c>
      <c r="AZ52" s="318" t="n">
        <v>-0.06</v>
      </c>
      <c r="BA52" s="318" t="n">
        <v>-0.083</v>
      </c>
      <c r="BB52" s="318" t="n">
        <v>-0.022</v>
      </c>
      <c r="BC52" s="318" t="n">
        <v>-0.08</v>
      </c>
      <c r="BD52" s="318" t="n">
        <v>-0.0525</v>
      </c>
      <c r="BE52" s="318" t="n">
        <v>-0.075</v>
      </c>
      <c r="BF52" s="318" t="n">
        <v>0.15</v>
      </c>
      <c r="BG52" s="318" t="n">
        <v>0.23</v>
      </c>
      <c r="BH52" s="318" t="n">
        <v>0.205</v>
      </c>
      <c r="BI52" s="318" t="n">
        <v>0.155</v>
      </c>
      <c r="BJ52" s="318" t="n">
        <v>0.46</v>
      </c>
      <c r="BK52" s="318" t="n">
        <v>0</v>
      </c>
      <c r="BL52" s="318" t="n">
        <v>-0.02</v>
      </c>
      <c r="BM52" s="318" t="n">
        <v>0.005</v>
      </c>
      <c r="BN52" s="318" t="n">
        <v>0</v>
      </c>
      <c r="BO52" s="318" t="n">
        <v>0.035</v>
      </c>
      <c r="BP52" s="318" t="n">
        <v>0.005</v>
      </c>
      <c r="BQ52" s="318" t="n">
        <v>0.005</v>
      </c>
      <c r="BR52" s="318" t="n">
        <v>0.055</v>
      </c>
      <c r="BS52" s="0" t="n">
        <v>0.02</v>
      </c>
      <c r="BT52" s="0" t="n">
        <v>0.032</v>
      </c>
      <c r="BU52" s="0" t="n">
        <v>0.032</v>
      </c>
      <c r="BV52" s="0" t="n">
        <v>0.03</v>
      </c>
    </row>
    <row r="53" customFormat="false" ht="12.75" hidden="false" customHeight="false" outlineLevel="0" collapsed="false">
      <c r="A53" s="320" t="e">
        <f aca="false">#REF!-B53</f>
        <v>#REF!</v>
      </c>
      <c r="B53" s="320" t="n">
        <v>3.069</v>
      </c>
      <c r="C53" s="327" t="n">
        <f aca="false">EOMONTH(C52,0)+1</f>
        <v>38718</v>
      </c>
      <c r="D53" s="0" t="n">
        <f aca="false">D41+0.05</f>
        <v>3.549</v>
      </c>
      <c r="E53" s="320" t="n">
        <v>0.28</v>
      </c>
      <c r="F53" s="318" t="n">
        <v>0.0474570710920372</v>
      </c>
      <c r="G53" s="318" t="n">
        <v>-0.1325</v>
      </c>
      <c r="H53" s="318" t="n">
        <v>-0.1525</v>
      </c>
      <c r="I53" s="330" t="n">
        <v>-0.005</v>
      </c>
      <c r="J53" s="330" t="n">
        <v>-0.1375</v>
      </c>
      <c r="K53" s="318" t="n">
        <v>0.005</v>
      </c>
      <c r="L53" s="318" t="n">
        <v>-0.06</v>
      </c>
      <c r="M53" s="318" t="n">
        <v>-0.1025</v>
      </c>
      <c r="N53" s="318" t="n">
        <v>-0.1225</v>
      </c>
      <c r="O53" s="318" t="n">
        <v>-0.1225</v>
      </c>
      <c r="P53" s="318" t="n">
        <v>-0.1325</v>
      </c>
      <c r="Q53" s="318" t="n">
        <v>-0.0925</v>
      </c>
      <c r="R53" s="318" t="n">
        <v>-0.07</v>
      </c>
      <c r="S53" s="318" t="n">
        <v>0.155</v>
      </c>
      <c r="T53" s="318" t="n">
        <v>0.205</v>
      </c>
      <c r="U53" s="318" t="n">
        <v>0.125</v>
      </c>
      <c r="V53" s="318" t="n">
        <v>0.5</v>
      </c>
      <c r="W53" s="318" t="n">
        <v>0.215</v>
      </c>
      <c r="X53" s="318" t="n">
        <v>0.29</v>
      </c>
      <c r="Y53" s="318" t="n">
        <v>-0.025</v>
      </c>
      <c r="Z53" s="318" t="n">
        <v>-0.0375</v>
      </c>
      <c r="AA53" s="318" t="n">
        <v>0.0035</v>
      </c>
      <c r="AB53" s="318" t="n">
        <v>-0.019</v>
      </c>
      <c r="AC53" s="318" t="n">
        <v>0.0025</v>
      </c>
      <c r="AD53" s="318" t="n">
        <v>-0.0225</v>
      </c>
      <c r="AE53" s="318" t="n">
        <v>-0.075</v>
      </c>
      <c r="AF53" s="318" t="n">
        <v>-0.0675</v>
      </c>
      <c r="AG53" s="318" t="n">
        <v>-0.09</v>
      </c>
      <c r="AH53" s="318" t="n">
        <v>-0.0145</v>
      </c>
      <c r="AI53" s="318" t="n">
        <v>-0.0665</v>
      </c>
      <c r="AJ53" s="318" t="n">
        <v>-0.115</v>
      </c>
      <c r="AK53" s="318" t="n">
        <v>-0.0115</v>
      </c>
      <c r="AL53" s="318" t="n">
        <v>0.0285</v>
      </c>
      <c r="AM53" s="318" t="n">
        <v>0.98</v>
      </c>
      <c r="AN53" s="318" t="n">
        <v>-0.045</v>
      </c>
      <c r="AO53" s="318" t="n">
        <v>-0.34</v>
      </c>
      <c r="AP53" s="318" t="n">
        <v>-0.085</v>
      </c>
      <c r="AQ53" s="318" t="n">
        <v>-0.13</v>
      </c>
      <c r="AR53" s="318" t="n">
        <v>0.308</v>
      </c>
      <c r="AS53" s="318" t="n">
        <v>-0.26</v>
      </c>
      <c r="AT53" s="318" t="n">
        <v>-0.34</v>
      </c>
      <c r="AU53" s="318" t="n">
        <v>0.24</v>
      </c>
      <c r="AV53" s="318" t="n">
        <v>-0.34</v>
      </c>
      <c r="AW53" s="318" t="n">
        <v>-0.1805</v>
      </c>
      <c r="AX53" s="318" t="n">
        <v>-0.0675</v>
      </c>
      <c r="AY53" s="318" t="n">
        <v>-0.1205</v>
      </c>
      <c r="AZ53" s="318" t="n">
        <v>-0.06</v>
      </c>
      <c r="BA53" s="318" t="n">
        <v>-0.1105</v>
      </c>
      <c r="BB53" s="318" t="n">
        <v>-0.0195</v>
      </c>
      <c r="BC53" s="318" t="n">
        <v>-0.08</v>
      </c>
      <c r="BD53" s="318" t="n">
        <v>-0.075</v>
      </c>
      <c r="BE53" s="318" t="n">
        <v>-0.075</v>
      </c>
      <c r="BF53" s="318" t="n">
        <v>0.15</v>
      </c>
      <c r="BG53" s="318" t="n">
        <v>0.23</v>
      </c>
      <c r="BH53" s="318" t="n">
        <v>0.205</v>
      </c>
      <c r="BI53" s="318" t="n">
        <v>0.155</v>
      </c>
      <c r="BJ53" s="318" t="n">
        <v>0.77</v>
      </c>
      <c r="BK53" s="318" t="n">
        <v>0</v>
      </c>
      <c r="BL53" s="318" t="n">
        <v>-0.025</v>
      </c>
      <c r="BM53" s="318" t="n">
        <v>0.005</v>
      </c>
      <c r="BN53" s="318" t="n">
        <v>0</v>
      </c>
      <c r="BO53" s="318" t="n">
        <v>0.035</v>
      </c>
      <c r="BP53" s="318" t="n">
        <v>0.005</v>
      </c>
      <c r="BQ53" s="318" t="n">
        <v>0.005</v>
      </c>
      <c r="BR53" s="318" t="n">
        <v>0.25</v>
      </c>
      <c r="BS53" s="0" t="n">
        <v>0.02</v>
      </c>
      <c r="BT53" s="0" t="n">
        <v>0.032</v>
      </c>
      <c r="BU53" s="0" t="n">
        <v>0.032</v>
      </c>
      <c r="BV53" s="0" t="n">
        <v>0.03</v>
      </c>
    </row>
    <row r="54" customFormat="false" ht="12.75" hidden="false" customHeight="false" outlineLevel="0" collapsed="false">
      <c r="A54" s="320" t="e">
        <f aca="false">#REF!-B54</f>
        <v>#REF!</v>
      </c>
      <c r="B54" s="320" t="n">
        <v>3.134</v>
      </c>
      <c r="C54" s="327" t="n">
        <f aca="false">EOMONTH(C53,0)+1</f>
        <v>38749</v>
      </c>
      <c r="D54" s="0" t="n">
        <f aca="false">D42+0.05</f>
        <v>3.401</v>
      </c>
      <c r="E54" s="320" t="n">
        <v>0.285</v>
      </c>
      <c r="F54" s="318" t="n">
        <v>0.0478100678250022</v>
      </c>
      <c r="G54" s="318" t="n">
        <v>-0.135</v>
      </c>
      <c r="H54" s="318" t="n">
        <v>-0.155</v>
      </c>
      <c r="I54" s="330" t="n">
        <v>0.015</v>
      </c>
      <c r="J54" s="330" t="n">
        <v>-0.135</v>
      </c>
      <c r="K54" s="318" t="n">
        <v>0.025</v>
      </c>
      <c r="L54" s="318" t="n">
        <v>-0.06</v>
      </c>
      <c r="M54" s="318" t="n">
        <v>-0.105</v>
      </c>
      <c r="N54" s="318" t="n">
        <v>-0.125</v>
      </c>
      <c r="O54" s="318" t="n">
        <v>-0.125</v>
      </c>
      <c r="P54" s="318" t="n">
        <v>-0.135</v>
      </c>
      <c r="Q54" s="318" t="n">
        <v>-0.0925</v>
      </c>
      <c r="R54" s="318" t="n">
        <v>-0.07</v>
      </c>
      <c r="S54" s="318" t="n">
        <v>0.155</v>
      </c>
      <c r="T54" s="318" t="n">
        <v>0.205</v>
      </c>
      <c r="U54" s="318" t="n">
        <v>0.125</v>
      </c>
      <c r="V54" s="318" t="n">
        <v>0.5</v>
      </c>
      <c r="W54" s="318" t="n">
        <v>0.235</v>
      </c>
      <c r="X54" s="318" t="n">
        <v>0.34</v>
      </c>
      <c r="Y54" s="318" t="n">
        <v>-0.023</v>
      </c>
      <c r="Z54" s="318" t="n">
        <v>-0.0375</v>
      </c>
      <c r="AA54" s="318" t="n">
        <v>0.0035</v>
      </c>
      <c r="AB54" s="318" t="n">
        <v>-0.019</v>
      </c>
      <c r="AC54" s="318" t="n">
        <v>0.0025</v>
      </c>
      <c r="AD54" s="318" t="n">
        <v>-0.0225</v>
      </c>
      <c r="AE54" s="318" t="n">
        <v>-0.075</v>
      </c>
      <c r="AF54" s="318" t="n">
        <v>-0.0675</v>
      </c>
      <c r="AG54" s="318" t="n">
        <v>-0.09</v>
      </c>
      <c r="AH54" s="318" t="n">
        <v>-0.0145</v>
      </c>
      <c r="AI54" s="318" t="n">
        <v>-0.0665</v>
      </c>
      <c r="AJ54" s="318" t="n">
        <v>-0.115</v>
      </c>
      <c r="AK54" s="318" t="n">
        <v>-0.0115</v>
      </c>
      <c r="AL54" s="318" t="n">
        <v>0.0285</v>
      </c>
      <c r="AM54" s="318" t="n">
        <v>1.6</v>
      </c>
      <c r="AN54" s="318" t="n">
        <v>-0.0475</v>
      </c>
      <c r="AO54" s="318" t="n">
        <v>-0.34</v>
      </c>
      <c r="AP54" s="318" t="n">
        <v>-0.075</v>
      </c>
      <c r="AQ54" s="318" t="n">
        <v>-0.13</v>
      </c>
      <c r="AR54" s="318" t="n">
        <v>0.378</v>
      </c>
      <c r="AS54" s="318" t="n">
        <v>-0.26</v>
      </c>
      <c r="AT54" s="318" t="n">
        <v>-0.34</v>
      </c>
      <c r="AU54" s="318" t="n">
        <v>0.24</v>
      </c>
      <c r="AV54" s="318" t="n">
        <v>-0.34</v>
      </c>
      <c r="AW54" s="318" t="n">
        <v>-0.1955</v>
      </c>
      <c r="AX54" s="318" t="n">
        <v>-0.065</v>
      </c>
      <c r="AY54" s="318" t="n">
        <v>-0.1355</v>
      </c>
      <c r="AZ54" s="318" t="n">
        <v>-0.06</v>
      </c>
      <c r="BA54" s="318" t="n">
        <v>-0.111</v>
      </c>
      <c r="BB54" s="318" t="n">
        <v>-0.0195</v>
      </c>
      <c r="BC54" s="318" t="n">
        <v>-0.08</v>
      </c>
      <c r="BD54" s="318" t="n">
        <v>-0.0775</v>
      </c>
      <c r="BE54" s="318" t="n">
        <v>-0.075</v>
      </c>
      <c r="BF54" s="318" t="n">
        <v>0.15</v>
      </c>
      <c r="BG54" s="318" t="n">
        <v>0.23</v>
      </c>
      <c r="BH54" s="318" t="n">
        <v>0.205</v>
      </c>
      <c r="BI54" s="318" t="n">
        <v>0.155</v>
      </c>
      <c r="BJ54" s="318" t="n">
        <v>1.04</v>
      </c>
      <c r="BK54" s="318" t="n">
        <v>0</v>
      </c>
      <c r="BL54" s="318" t="n">
        <v>-0.025</v>
      </c>
      <c r="BM54" s="318" t="n">
        <v>0.005</v>
      </c>
      <c r="BN54" s="318" t="n">
        <v>0</v>
      </c>
      <c r="BO54" s="318" t="n">
        <v>0.035</v>
      </c>
      <c r="BP54" s="318" t="n">
        <v>0.005</v>
      </c>
      <c r="BQ54" s="318" t="n">
        <v>0.005</v>
      </c>
      <c r="BR54" s="318" t="n">
        <v>0.45</v>
      </c>
      <c r="BS54" s="0" t="n">
        <v>0.02</v>
      </c>
      <c r="BT54" s="0" t="n">
        <v>0.032</v>
      </c>
      <c r="BU54" s="0" t="n">
        <v>0.032</v>
      </c>
      <c r="BV54" s="0" t="n">
        <v>0.03</v>
      </c>
    </row>
    <row r="55" customFormat="false" ht="12.75" hidden="false" customHeight="false" outlineLevel="0" collapsed="false">
      <c r="A55" s="320" t="e">
        <f aca="false">#REF!-B55</f>
        <v>#REF!</v>
      </c>
      <c r="B55" s="320" t="n">
        <v>3.129</v>
      </c>
      <c r="C55" s="327" t="n">
        <f aca="false">EOMONTH(C54,0)+1</f>
        <v>38777</v>
      </c>
      <c r="D55" s="0" t="n">
        <f aca="false">D43+0.05</f>
        <v>3.35</v>
      </c>
      <c r="E55" s="320" t="n">
        <v>0.28</v>
      </c>
      <c r="F55" s="318" t="n">
        <v>0.0481206389556634</v>
      </c>
      <c r="G55" s="318" t="n">
        <v>-0.1275</v>
      </c>
      <c r="H55" s="318" t="n">
        <v>-0.1475</v>
      </c>
      <c r="I55" s="330" t="n">
        <v>0.01</v>
      </c>
      <c r="J55" s="330" t="n">
        <v>-0.135</v>
      </c>
      <c r="K55" s="318" t="n">
        <v>0.02</v>
      </c>
      <c r="L55" s="318" t="n">
        <v>-0.06</v>
      </c>
      <c r="M55" s="318" t="n">
        <v>-0.0975</v>
      </c>
      <c r="N55" s="318" t="n">
        <v>-0.1175</v>
      </c>
      <c r="O55" s="318" t="n">
        <v>-0.1175</v>
      </c>
      <c r="P55" s="318" t="n">
        <v>-0.1275</v>
      </c>
      <c r="Q55" s="318" t="n">
        <v>-0.0925</v>
      </c>
      <c r="R55" s="318" t="n">
        <v>-0.07</v>
      </c>
      <c r="S55" s="318" t="n">
        <v>0.155</v>
      </c>
      <c r="T55" s="318" t="n">
        <v>0.205</v>
      </c>
      <c r="U55" s="318" t="n">
        <v>0.125</v>
      </c>
      <c r="V55" s="318" t="n">
        <v>0.5</v>
      </c>
      <c r="W55" s="318" t="n">
        <v>0.235</v>
      </c>
      <c r="X55" s="318" t="n">
        <v>0.34</v>
      </c>
      <c r="Y55" s="318" t="n">
        <v>-0.023</v>
      </c>
      <c r="Z55" s="318" t="n">
        <v>-0.0375</v>
      </c>
      <c r="AA55" s="318" t="n">
        <v>0.0035</v>
      </c>
      <c r="AB55" s="318" t="n">
        <v>-0.019</v>
      </c>
      <c r="AC55" s="318" t="n">
        <v>0.0025</v>
      </c>
      <c r="AD55" s="318" t="n">
        <v>-0.0225</v>
      </c>
      <c r="AE55" s="318" t="n">
        <v>-0.075</v>
      </c>
      <c r="AF55" s="318" t="n">
        <v>-0.0675</v>
      </c>
      <c r="AG55" s="318" t="n">
        <v>-0.09</v>
      </c>
      <c r="AH55" s="318" t="n">
        <v>-0.0145</v>
      </c>
      <c r="AI55" s="318" t="n">
        <v>-0.0665</v>
      </c>
      <c r="AJ55" s="318" t="n">
        <v>-0.115</v>
      </c>
      <c r="AK55" s="318" t="n">
        <v>-0.0115</v>
      </c>
      <c r="AL55" s="318" t="n">
        <v>0.0285</v>
      </c>
      <c r="AM55" s="318" t="n">
        <v>1.6</v>
      </c>
      <c r="AN55" s="318" t="n">
        <v>-0.03</v>
      </c>
      <c r="AO55" s="318" t="n">
        <v>-0.34</v>
      </c>
      <c r="AP55" s="318" t="n">
        <v>-0.075</v>
      </c>
      <c r="AQ55" s="318" t="n">
        <v>-0.13</v>
      </c>
      <c r="AR55" s="318" t="n">
        <v>0.248</v>
      </c>
      <c r="AS55" s="318" t="n">
        <v>-0.26</v>
      </c>
      <c r="AT55" s="318" t="n">
        <v>-0.34</v>
      </c>
      <c r="AU55" s="318" t="n">
        <v>0.24</v>
      </c>
      <c r="AV55" s="318" t="n">
        <v>-0.34</v>
      </c>
      <c r="AW55" s="318" t="n">
        <v>-0.1855</v>
      </c>
      <c r="AX55" s="318" t="n">
        <v>-0.065</v>
      </c>
      <c r="AY55" s="318" t="n">
        <v>-0.1255</v>
      </c>
      <c r="AZ55" s="318" t="n">
        <v>-0.06</v>
      </c>
      <c r="BA55" s="318" t="n">
        <v>-0.111</v>
      </c>
      <c r="BB55" s="318" t="n">
        <v>-0.0195</v>
      </c>
      <c r="BC55" s="318" t="n">
        <v>-0.08</v>
      </c>
      <c r="BD55" s="318" t="n">
        <v>-0.06</v>
      </c>
      <c r="BE55" s="318" t="n">
        <v>-0.075</v>
      </c>
      <c r="BF55" s="318" t="n">
        <v>0.15</v>
      </c>
      <c r="BG55" s="318" t="n">
        <v>0.23</v>
      </c>
      <c r="BH55" s="318" t="n">
        <v>0.205</v>
      </c>
      <c r="BI55" s="318" t="n">
        <v>0.155</v>
      </c>
      <c r="BJ55" s="318" t="n">
        <v>1.04</v>
      </c>
      <c r="BK55" s="318" t="n">
        <v>0</v>
      </c>
      <c r="BL55" s="318" t="n">
        <v>-0.025</v>
      </c>
      <c r="BM55" s="318" t="n">
        <v>0.005</v>
      </c>
      <c r="BN55" s="318" t="n">
        <v>0</v>
      </c>
      <c r="BO55" s="318" t="n">
        <v>0.035</v>
      </c>
      <c r="BP55" s="318" t="n">
        <v>0.005</v>
      </c>
      <c r="BQ55" s="318" t="n">
        <v>0.005</v>
      </c>
      <c r="BR55" s="318" t="n">
        <v>0.45</v>
      </c>
      <c r="BS55" s="0" t="n">
        <v>0.02</v>
      </c>
      <c r="BT55" s="0" t="n">
        <v>0.032</v>
      </c>
      <c r="BU55" s="0" t="n">
        <v>0.032</v>
      </c>
      <c r="BV55" s="0" t="n">
        <v>0.03</v>
      </c>
    </row>
    <row r="56" customFormat="false" ht="12.75" hidden="false" customHeight="false" outlineLevel="0" collapsed="false">
      <c r="A56" s="320" t="e">
        <f aca="false">#REF!-B56</f>
        <v>#REF!</v>
      </c>
      <c r="B56" s="320" t="n">
        <v>3.118</v>
      </c>
      <c r="C56" s="327" t="n">
        <f aca="false">EOMONTH(C55,0)+1</f>
        <v>38808</v>
      </c>
      <c r="D56" s="0" t="n">
        <f aca="false">D44+0.05</f>
        <v>3.131</v>
      </c>
      <c r="E56" s="320" t="n">
        <v>0.27</v>
      </c>
      <c r="F56" s="318" t="n">
        <v>0.0484011548433219</v>
      </c>
      <c r="G56" s="318" t="n">
        <v>-0.125</v>
      </c>
      <c r="H56" s="318" t="n">
        <v>-0.145</v>
      </c>
      <c r="I56" s="330" t="n">
        <v>-0.01</v>
      </c>
      <c r="J56" s="330" t="n">
        <v>-0.135</v>
      </c>
      <c r="K56" s="318" t="n">
        <v>0</v>
      </c>
      <c r="L56" s="318" t="n">
        <v>-0.06</v>
      </c>
      <c r="M56" s="318" t="n">
        <v>-0.095</v>
      </c>
      <c r="N56" s="318" t="n">
        <v>-0.115</v>
      </c>
      <c r="O56" s="318" t="n">
        <v>-0.115</v>
      </c>
      <c r="P56" s="318" t="n">
        <v>-0.125</v>
      </c>
      <c r="Q56" s="318" t="n">
        <v>-0.0925</v>
      </c>
      <c r="R56" s="318" t="n">
        <v>-0.07</v>
      </c>
      <c r="S56" s="318" t="n">
        <v>0.155</v>
      </c>
      <c r="T56" s="318" t="n">
        <v>0.205</v>
      </c>
      <c r="U56" s="318" t="n">
        <v>0.125</v>
      </c>
      <c r="V56" s="318" t="n">
        <v>0.5</v>
      </c>
      <c r="W56" s="318" t="n">
        <v>0.195</v>
      </c>
      <c r="X56" s="318" t="n">
        <v>0.29</v>
      </c>
      <c r="Y56" s="318" t="n">
        <v>-0.023</v>
      </c>
      <c r="Z56" s="318" t="n">
        <v>-0.0375</v>
      </c>
      <c r="AA56" s="318" t="n">
        <v>0.011</v>
      </c>
      <c r="AB56" s="318" t="n">
        <v>-0.0115</v>
      </c>
      <c r="AC56" s="318" t="n">
        <v>0.0025</v>
      </c>
      <c r="AD56" s="318" t="n">
        <v>-0.0225</v>
      </c>
      <c r="AE56" s="318" t="n">
        <v>-0.075</v>
      </c>
      <c r="AF56" s="318" t="n">
        <v>-0.0675</v>
      </c>
      <c r="AG56" s="318" t="n">
        <v>-0.09</v>
      </c>
      <c r="AH56" s="318" t="n">
        <v>-0.0145</v>
      </c>
      <c r="AI56" s="318" t="n">
        <v>-0.0665</v>
      </c>
      <c r="AJ56" s="318" t="n">
        <v>-0.115</v>
      </c>
      <c r="AK56" s="318" t="n">
        <v>-0.0115</v>
      </c>
      <c r="AL56" s="318" t="n">
        <v>0.0285</v>
      </c>
      <c r="AM56" s="318" t="n">
        <v>0.64</v>
      </c>
      <c r="AN56" s="318" t="n">
        <v>-0.0175</v>
      </c>
      <c r="AO56" s="318" t="n">
        <v>-0.34</v>
      </c>
      <c r="AP56" s="318" t="n">
        <v>-0.075</v>
      </c>
      <c r="AQ56" s="318" t="n">
        <v>-0.13</v>
      </c>
      <c r="AR56" s="318" t="n">
        <v>0.068</v>
      </c>
      <c r="AS56" s="318" t="n">
        <v>-0.26</v>
      </c>
      <c r="AT56" s="318" t="n">
        <v>-0.34</v>
      </c>
      <c r="AU56" s="318" t="n">
        <v>0.24</v>
      </c>
      <c r="AV56" s="318" t="n">
        <v>-0.34</v>
      </c>
      <c r="AW56" s="318" t="n">
        <v>-0.1755</v>
      </c>
      <c r="AX56" s="318" t="n">
        <v>-0.065</v>
      </c>
      <c r="AY56" s="318" t="n">
        <v>-0.1155</v>
      </c>
      <c r="AZ56" s="318" t="n">
        <v>-0.06</v>
      </c>
      <c r="BA56" s="318" t="n">
        <v>-0.111</v>
      </c>
      <c r="BB56" s="318" t="n">
        <v>-0.0195</v>
      </c>
      <c r="BC56" s="318" t="n">
        <v>-0.08</v>
      </c>
      <c r="BD56" s="318" t="n">
        <v>-0.0475</v>
      </c>
      <c r="BE56" s="318" t="n">
        <v>-0.075</v>
      </c>
      <c r="BF56" s="318" t="n">
        <v>0.15</v>
      </c>
      <c r="BG56" s="318" t="n">
        <v>0.23</v>
      </c>
      <c r="BH56" s="318" t="n">
        <v>0.205</v>
      </c>
      <c r="BI56" s="318" t="n">
        <v>0.155</v>
      </c>
      <c r="BJ56" s="318" t="n">
        <v>0.54</v>
      </c>
      <c r="BK56" s="318" t="n">
        <v>0</v>
      </c>
      <c r="BL56" s="318" t="n">
        <v>-0.02</v>
      </c>
      <c r="BM56" s="318" t="n">
        <v>0.005</v>
      </c>
      <c r="BN56" s="318" t="n">
        <v>0</v>
      </c>
      <c r="BO56" s="318" t="n">
        <v>0.035</v>
      </c>
      <c r="BP56" s="318" t="n">
        <v>0.005</v>
      </c>
      <c r="BQ56" s="318" t="n">
        <v>0.005</v>
      </c>
      <c r="BR56" s="318" t="n">
        <v>0.1</v>
      </c>
      <c r="BS56" s="0" t="n">
        <v>0.02</v>
      </c>
      <c r="BT56" s="0" t="n">
        <v>0.032</v>
      </c>
      <c r="BU56" s="0" t="n">
        <v>0.032</v>
      </c>
      <c r="BV56" s="0" t="n">
        <v>0.03</v>
      </c>
    </row>
    <row r="57" customFormat="false" ht="12.75" hidden="false" customHeight="false" outlineLevel="0" collapsed="false">
      <c r="A57" s="320" t="e">
        <f aca="false">#REF!-B57</f>
        <v>#REF!</v>
      </c>
      <c r="B57" s="320" t="n">
        <v>3.135</v>
      </c>
      <c r="C57" s="327" t="n">
        <f aca="false">EOMONTH(C56,0)+1</f>
        <v>38838</v>
      </c>
      <c r="D57" s="0" t="n">
        <f aca="false">D45+0.05</f>
        <v>3.134</v>
      </c>
      <c r="E57" s="320" t="n">
        <v>0.25</v>
      </c>
      <c r="F57" s="318" t="n">
        <v>0.0487117260353274</v>
      </c>
      <c r="G57" s="318" t="n">
        <v>-0.13</v>
      </c>
      <c r="H57" s="318" t="n">
        <v>-0.15</v>
      </c>
      <c r="I57" s="330" t="n">
        <v>-0.09</v>
      </c>
      <c r="J57" s="330" t="n">
        <v>-0.135</v>
      </c>
      <c r="K57" s="318" t="n">
        <v>-0.09</v>
      </c>
      <c r="L57" s="318" t="n">
        <v>-0.0575</v>
      </c>
      <c r="M57" s="318" t="n">
        <v>-0.1</v>
      </c>
      <c r="N57" s="318" t="n">
        <v>-0.12</v>
      </c>
      <c r="O57" s="318" t="n">
        <v>-0.12</v>
      </c>
      <c r="P57" s="318" t="n">
        <v>-0.13</v>
      </c>
      <c r="Q57" s="318" t="n">
        <v>-0.0825</v>
      </c>
      <c r="R57" s="318" t="n">
        <v>-0.0675</v>
      </c>
      <c r="S57" s="318" t="n">
        <v>0.125</v>
      </c>
      <c r="T57" s="318" t="n">
        <v>0.155</v>
      </c>
      <c r="U57" s="318" t="n">
        <v>0.04</v>
      </c>
      <c r="V57" s="318" t="n">
        <v>0.5</v>
      </c>
      <c r="W57" s="318" t="n">
        <v>0.145</v>
      </c>
      <c r="X57" s="318" t="n">
        <v>0.195</v>
      </c>
      <c r="Y57" s="318" t="n">
        <v>-0.0255</v>
      </c>
      <c r="Z57" s="318" t="n">
        <v>-0.05</v>
      </c>
      <c r="AA57" s="318" t="n">
        <v>0.011</v>
      </c>
      <c r="AB57" s="318" t="n">
        <v>-0.0115</v>
      </c>
      <c r="AC57" s="318" t="n">
        <v>0.0025</v>
      </c>
      <c r="AD57" s="318" t="n">
        <v>-0.0225</v>
      </c>
      <c r="AE57" s="318" t="n">
        <v>-0.0725</v>
      </c>
      <c r="AF57" s="318" t="n">
        <v>-0.065</v>
      </c>
      <c r="AG57" s="318" t="n">
        <v>-0.0875</v>
      </c>
      <c r="AH57" s="318" t="n">
        <v>-0.0195</v>
      </c>
      <c r="AI57" s="318" t="n">
        <v>-0.072</v>
      </c>
      <c r="AJ57" s="318" t="n">
        <v>-0.0975</v>
      </c>
      <c r="AK57" s="318" t="n">
        <v>-0.017</v>
      </c>
      <c r="AL57" s="318" t="n">
        <v>0.023</v>
      </c>
      <c r="AM57" s="318" t="n">
        <v>0.38</v>
      </c>
      <c r="AN57" s="318" t="n">
        <v>0.02</v>
      </c>
      <c r="AO57" s="318" t="n">
        <v>-0.47</v>
      </c>
      <c r="AP57" s="318" t="n">
        <v>-0.075</v>
      </c>
      <c r="AQ57" s="318" t="n">
        <v>-0.195</v>
      </c>
      <c r="AR57" s="318" t="n">
        <v>-0.25</v>
      </c>
      <c r="AS57" s="318" t="n">
        <v>-0.39</v>
      </c>
      <c r="AT57" s="318" t="n">
        <v>-0.47</v>
      </c>
      <c r="AU57" s="318" t="n">
        <v>0.26</v>
      </c>
      <c r="AV57" s="318" t="n">
        <v>-0.47</v>
      </c>
      <c r="AW57" s="318" t="n">
        <v>-0.216</v>
      </c>
      <c r="AX57" s="318" t="n">
        <v>-0.065</v>
      </c>
      <c r="AY57" s="318" t="n">
        <v>-0.156</v>
      </c>
      <c r="AZ57" s="318" t="n">
        <v>-0.0575</v>
      </c>
      <c r="BA57" s="318" t="n">
        <v>-0.1335</v>
      </c>
      <c r="BB57" s="318" t="n">
        <v>-0.0195</v>
      </c>
      <c r="BC57" s="318" t="n">
        <v>-0.0625</v>
      </c>
      <c r="BD57" s="318" t="n">
        <v>-0.01</v>
      </c>
      <c r="BE57" s="318" t="n">
        <v>-0.0725</v>
      </c>
      <c r="BF57" s="318" t="n">
        <v>0.06</v>
      </c>
      <c r="BG57" s="318" t="n">
        <v>0.145</v>
      </c>
      <c r="BH57" s="318" t="n">
        <v>0.155</v>
      </c>
      <c r="BI57" s="318" t="n">
        <v>0.125</v>
      </c>
      <c r="BJ57" s="318" t="n">
        <v>0.36</v>
      </c>
      <c r="BK57" s="318" t="n">
        <v>0</v>
      </c>
      <c r="BL57" s="318" t="n">
        <v>-0.015</v>
      </c>
      <c r="BM57" s="318" t="n">
        <v>0.005</v>
      </c>
      <c r="BN57" s="318" t="n">
        <v>-0.01</v>
      </c>
      <c r="BO57" s="318" t="n">
        <v>0.02</v>
      </c>
      <c r="BP57" s="318" t="n">
        <v>0.005</v>
      </c>
      <c r="BQ57" s="318" t="n">
        <v>0.0025</v>
      </c>
      <c r="BR57" s="318" t="n">
        <v>0.02</v>
      </c>
      <c r="BS57" s="0" t="n">
        <v>0.005</v>
      </c>
      <c r="BT57" s="0" t="n">
        <v>0.032</v>
      </c>
      <c r="BU57" s="0" t="n">
        <v>0.032</v>
      </c>
      <c r="BV57" s="0" t="n">
        <v>0.03</v>
      </c>
    </row>
    <row r="58" customFormat="false" ht="12.75" hidden="false" customHeight="false" outlineLevel="0" collapsed="false">
      <c r="A58" s="320" t="e">
        <f aca="false">#REF!-B58</f>
        <v>#REF!</v>
      </c>
      <c r="B58" s="320" t="n">
        <v>3.242</v>
      </c>
      <c r="C58" s="327" t="n">
        <f aca="false">EOMONTH(C57,0)+1</f>
        <v>38869</v>
      </c>
      <c r="D58" s="0" t="n">
        <f aca="false">D46+0.05</f>
        <v>3.174</v>
      </c>
      <c r="E58" s="320" t="n">
        <v>0.245</v>
      </c>
      <c r="F58" s="318" t="n">
        <v>0.0490122788324676</v>
      </c>
      <c r="G58" s="318" t="n">
        <v>-0.13</v>
      </c>
      <c r="H58" s="318" t="n">
        <v>-0.15</v>
      </c>
      <c r="I58" s="330" t="n">
        <v>-0.09</v>
      </c>
      <c r="J58" s="330" t="n">
        <v>-0.135</v>
      </c>
      <c r="K58" s="318" t="n">
        <v>-0.09</v>
      </c>
      <c r="L58" s="318" t="n">
        <v>-0.0575</v>
      </c>
      <c r="M58" s="318" t="n">
        <v>-0.1</v>
      </c>
      <c r="N58" s="318" t="n">
        <v>-0.12</v>
      </c>
      <c r="O58" s="318" t="n">
        <v>-0.12</v>
      </c>
      <c r="P58" s="318" t="n">
        <v>-0.13</v>
      </c>
      <c r="Q58" s="318" t="n">
        <v>-0.0825</v>
      </c>
      <c r="R58" s="318" t="n">
        <v>-0.0675</v>
      </c>
      <c r="S58" s="318" t="n">
        <v>0.125</v>
      </c>
      <c r="T58" s="318" t="n">
        <v>0.155</v>
      </c>
      <c r="U58" s="318" t="n">
        <v>0.04</v>
      </c>
      <c r="V58" s="318" t="n">
        <v>0.5</v>
      </c>
      <c r="W58" s="318" t="n">
        <v>0.125</v>
      </c>
      <c r="X58" s="318" t="n">
        <v>0.135</v>
      </c>
      <c r="Y58" s="318" t="n">
        <v>-0.0255</v>
      </c>
      <c r="Z58" s="318" t="n">
        <v>-0.05</v>
      </c>
      <c r="AA58" s="318" t="n">
        <v>0.0135</v>
      </c>
      <c r="AB58" s="318" t="n">
        <v>-0.009</v>
      </c>
      <c r="AC58" s="318" t="n">
        <v>0.0025</v>
      </c>
      <c r="AD58" s="318" t="n">
        <v>-0.0225</v>
      </c>
      <c r="AE58" s="318" t="n">
        <v>-0.0725</v>
      </c>
      <c r="AF58" s="318" t="n">
        <v>-0.065</v>
      </c>
      <c r="AG58" s="318" t="n">
        <v>-0.0875</v>
      </c>
      <c r="AH58" s="318" t="n">
        <v>-0.0195</v>
      </c>
      <c r="AI58" s="318" t="n">
        <v>-0.072</v>
      </c>
      <c r="AJ58" s="318" t="n">
        <v>-0.0975</v>
      </c>
      <c r="AK58" s="318" t="n">
        <v>-0.017</v>
      </c>
      <c r="AL58" s="318" t="n">
        <v>0.023</v>
      </c>
      <c r="AM58" s="318" t="n">
        <v>0.33</v>
      </c>
      <c r="AN58" s="318" t="n">
        <v>0.02</v>
      </c>
      <c r="AO58" s="318" t="n">
        <v>-0.47</v>
      </c>
      <c r="AP58" s="318" t="n">
        <v>-0.075</v>
      </c>
      <c r="AQ58" s="318" t="n">
        <v>-0.195</v>
      </c>
      <c r="AR58" s="318" t="n">
        <v>-0.25</v>
      </c>
      <c r="AS58" s="318" t="n">
        <v>-0.39</v>
      </c>
      <c r="AT58" s="318" t="n">
        <v>-0.47</v>
      </c>
      <c r="AU58" s="318" t="n">
        <v>0.26</v>
      </c>
      <c r="AV58" s="318" t="n">
        <v>-0.47</v>
      </c>
      <c r="AW58" s="318" t="n">
        <v>-0.1935</v>
      </c>
      <c r="AX58" s="318" t="n">
        <v>-0.065</v>
      </c>
      <c r="AY58" s="318" t="n">
        <v>-0.1335</v>
      </c>
      <c r="AZ58" s="318" t="n">
        <v>-0.0575</v>
      </c>
      <c r="BA58" s="318" t="n">
        <v>-0.126</v>
      </c>
      <c r="BB58" s="318" t="n">
        <v>-0.0195</v>
      </c>
      <c r="BC58" s="318" t="n">
        <v>-0.0625</v>
      </c>
      <c r="BD58" s="318" t="n">
        <v>-0.01</v>
      </c>
      <c r="BE58" s="318" t="n">
        <v>-0.0725</v>
      </c>
      <c r="BF58" s="318" t="n">
        <v>0.06</v>
      </c>
      <c r="BG58" s="318" t="n">
        <v>0.145</v>
      </c>
      <c r="BH58" s="318" t="n">
        <v>0.155</v>
      </c>
      <c r="BI58" s="318" t="n">
        <v>0.125</v>
      </c>
      <c r="BJ58" s="318" t="n">
        <v>0.325</v>
      </c>
      <c r="BK58" s="318" t="n">
        <v>0</v>
      </c>
      <c r="BL58" s="318" t="n">
        <v>-0.015</v>
      </c>
      <c r="BM58" s="318" t="n">
        <v>0.005</v>
      </c>
      <c r="BN58" s="318" t="n">
        <v>-0.01</v>
      </c>
      <c r="BO58" s="318" t="n">
        <v>0.02</v>
      </c>
      <c r="BP58" s="318" t="n">
        <v>0.005</v>
      </c>
      <c r="BQ58" s="318" t="n">
        <v>0.0025</v>
      </c>
      <c r="BR58" s="318" t="n">
        <v>0.02</v>
      </c>
      <c r="BS58" s="0" t="n">
        <v>0.005</v>
      </c>
      <c r="BT58" s="0" t="n">
        <v>0.032</v>
      </c>
      <c r="BU58" s="0" t="n">
        <v>0.032</v>
      </c>
      <c r="BV58" s="0" t="n">
        <v>0.03</v>
      </c>
    </row>
    <row r="59" customFormat="false" ht="12.75" hidden="false" customHeight="false" outlineLevel="0" collapsed="false">
      <c r="A59" s="320" t="e">
        <f aca="false">#REF!-B59</f>
        <v>#REF!</v>
      </c>
      <c r="B59" s="320" t="n">
        <v>3.348</v>
      </c>
      <c r="C59" s="327" t="n">
        <f aca="false">EOMONTH(C58,0)+1</f>
        <v>38899</v>
      </c>
      <c r="D59" s="0" t="n">
        <f aca="false">D47+0.05</f>
        <v>3.214</v>
      </c>
      <c r="E59" s="320" t="n">
        <v>0.2475</v>
      </c>
      <c r="F59" s="318" t="n">
        <v>0.0493228500878793</v>
      </c>
      <c r="G59" s="318" t="n">
        <v>-0.13</v>
      </c>
      <c r="H59" s="318" t="n">
        <v>-0.15</v>
      </c>
      <c r="I59" s="330" t="n">
        <v>-0.09</v>
      </c>
      <c r="J59" s="330" t="n">
        <v>-0.135</v>
      </c>
      <c r="K59" s="318" t="n">
        <v>-0.09</v>
      </c>
      <c r="L59" s="318" t="n">
        <v>-0.0575</v>
      </c>
      <c r="M59" s="318" t="n">
        <v>-0.1</v>
      </c>
      <c r="N59" s="318" t="n">
        <v>-0.12</v>
      </c>
      <c r="O59" s="318" t="n">
        <v>-0.12</v>
      </c>
      <c r="P59" s="318" t="n">
        <v>-0.13</v>
      </c>
      <c r="Q59" s="318" t="n">
        <v>-0.0825</v>
      </c>
      <c r="R59" s="318" t="n">
        <v>-0.0675</v>
      </c>
      <c r="S59" s="318" t="n">
        <v>0.125</v>
      </c>
      <c r="T59" s="318" t="n">
        <v>0.155</v>
      </c>
      <c r="U59" s="318" t="n">
        <v>0.04</v>
      </c>
      <c r="V59" s="318" t="n">
        <v>0.5</v>
      </c>
      <c r="W59" s="318" t="n">
        <v>0.145</v>
      </c>
      <c r="X59" s="318" t="n">
        <v>0.165</v>
      </c>
      <c r="Y59" s="318" t="n">
        <v>-0.0255</v>
      </c>
      <c r="Z59" s="318" t="n">
        <v>-0.0475</v>
      </c>
      <c r="AA59" s="318" t="n">
        <v>0.0135</v>
      </c>
      <c r="AB59" s="318" t="n">
        <v>-0.009</v>
      </c>
      <c r="AC59" s="318" t="n">
        <v>0.0025</v>
      </c>
      <c r="AD59" s="318" t="n">
        <v>-0.0225</v>
      </c>
      <c r="AE59" s="318" t="n">
        <v>-0.0725</v>
      </c>
      <c r="AF59" s="318" t="n">
        <v>-0.065</v>
      </c>
      <c r="AG59" s="318" t="n">
        <v>-0.0875</v>
      </c>
      <c r="AH59" s="318" t="n">
        <v>-0.0195</v>
      </c>
      <c r="AI59" s="318" t="n">
        <v>-0.072</v>
      </c>
      <c r="AJ59" s="318" t="n">
        <v>-0.0975</v>
      </c>
      <c r="AK59" s="318" t="n">
        <v>-0.017</v>
      </c>
      <c r="AL59" s="318" t="n">
        <v>0.023</v>
      </c>
      <c r="AM59" s="318" t="n">
        <v>0.37</v>
      </c>
      <c r="AN59" s="318" t="n">
        <v>0.025</v>
      </c>
      <c r="AO59" s="318" t="n">
        <v>-0.47</v>
      </c>
      <c r="AP59" s="318" t="n">
        <v>-0.075</v>
      </c>
      <c r="AQ59" s="318" t="n">
        <v>-0.195</v>
      </c>
      <c r="AR59" s="318" t="n">
        <v>-0.25</v>
      </c>
      <c r="AS59" s="318" t="n">
        <v>-0.39</v>
      </c>
      <c r="AT59" s="318" t="n">
        <v>-0.47</v>
      </c>
      <c r="AU59" s="318" t="n">
        <v>0.26</v>
      </c>
      <c r="AV59" s="318" t="n">
        <v>-0.47</v>
      </c>
      <c r="AW59" s="318" t="n">
        <v>-0.141</v>
      </c>
      <c r="AX59" s="318" t="n">
        <v>-0.065</v>
      </c>
      <c r="AY59" s="318" t="n">
        <v>-0.081</v>
      </c>
      <c r="AZ59" s="318" t="n">
        <v>-0.0575</v>
      </c>
      <c r="BA59" s="318" t="n">
        <v>-0.0835</v>
      </c>
      <c r="BB59" s="318" t="n">
        <v>-0.0195</v>
      </c>
      <c r="BC59" s="318" t="n">
        <v>-0.0625</v>
      </c>
      <c r="BD59" s="318" t="n">
        <v>-0.005</v>
      </c>
      <c r="BE59" s="318" t="n">
        <v>-0.0725</v>
      </c>
      <c r="BF59" s="318" t="n">
        <v>0.06</v>
      </c>
      <c r="BG59" s="318" t="n">
        <v>0.145</v>
      </c>
      <c r="BH59" s="318" t="n">
        <v>0.155</v>
      </c>
      <c r="BI59" s="318" t="n">
        <v>0.125</v>
      </c>
      <c r="BJ59" s="318" t="n">
        <v>0.335</v>
      </c>
      <c r="BK59" s="318" t="n">
        <v>0</v>
      </c>
      <c r="BL59" s="318" t="n">
        <v>-0.015</v>
      </c>
      <c r="BM59" s="318" t="n">
        <v>0.005</v>
      </c>
      <c r="BN59" s="318" t="n">
        <v>-0.01</v>
      </c>
      <c r="BO59" s="318" t="n">
        <v>0.02</v>
      </c>
      <c r="BP59" s="318" t="n">
        <v>0.005</v>
      </c>
      <c r="BQ59" s="318" t="n">
        <v>0.0025</v>
      </c>
      <c r="BR59" s="318" t="n">
        <v>0.035</v>
      </c>
      <c r="BS59" s="0" t="n">
        <v>0.005</v>
      </c>
      <c r="BT59" s="0" t="n">
        <v>0.032</v>
      </c>
      <c r="BU59" s="0" t="n">
        <v>0.032</v>
      </c>
      <c r="BV59" s="0" t="n">
        <v>0.03</v>
      </c>
    </row>
    <row r="60" customFormat="false" ht="12.75" hidden="false" customHeight="false" outlineLevel="0" collapsed="false">
      <c r="A60" s="320" t="e">
        <f aca="false">#REF!-B60</f>
        <v>#REF!</v>
      </c>
      <c r="B60" s="320" t="n">
        <v>3.537</v>
      </c>
      <c r="C60" s="327" t="n">
        <f aca="false">EOMONTH(C59,0)+1</f>
        <v>38930</v>
      </c>
      <c r="D60" s="0" t="n">
        <f aca="false">D48+0.05</f>
        <v>3.264</v>
      </c>
      <c r="E60" s="320" t="n">
        <v>0.2475</v>
      </c>
      <c r="F60" s="318" t="n">
        <v>0.04962340294637</v>
      </c>
      <c r="G60" s="318" t="n">
        <v>-0.13</v>
      </c>
      <c r="H60" s="318" t="n">
        <v>-0.15</v>
      </c>
      <c r="I60" s="330" t="n">
        <v>-0.09</v>
      </c>
      <c r="J60" s="330" t="n">
        <v>-0.135</v>
      </c>
      <c r="K60" s="318" t="n">
        <v>-0.09</v>
      </c>
      <c r="L60" s="318" t="n">
        <v>-0.0575</v>
      </c>
      <c r="M60" s="318" t="n">
        <v>-0.1</v>
      </c>
      <c r="N60" s="318" t="n">
        <v>-0.12</v>
      </c>
      <c r="O60" s="318" t="n">
        <v>-0.12</v>
      </c>
      <c r="P60" s="318" t="n">
        <v>-0.13</v>
      </c>
      <c r="Q60" s="318" t="n">
        <v>-0.0825</v>
      </c>
      <c r="R60" s="318" t="n">
        <v>-0.0675</v>
      </c>
      <c r="S60" s="318" t="n">
        <v>0.125</v>
      </c>
      <c r="T60" s="318" t="n">
        <v>0.155</v>
      </c>
      <c r="U60" s="318" t="n">
        <v>0.04</v>
      </c>
      <c r="V60" s="318" t="n">
        <v>0.5</v>
      </c>
      <c r="W60" s="318" t="n">
        <v>0.15</v>
      </c>
      <c r="X60" s="318" t="n">
        <v>0.205</v>
      </c>
      <c r="Y60" s="318" t="n">
        <v>-0.0255</v>
      </c>
      <c r="Z60" s="318" t="n">
        <v>-0.0475</v>
      </c>
      <c r="AA60" s="318" t="n">
        <v>0.0135</v>
      </c>
      <c r="AB60" s="318" t="n">
        <v>-0.009</v>
      </c>
      <c r="AC60" s="318" t="n">
        <v>0.0025</v>
      </c>
      <c r="AD60" s="318" t="n">
        <v>-0.0225</v>
      </c>
      <c r="AE60" s="318" t="n">
        <v>-0.0725</v>
      </c>
      <c r="AF60" s="318" t="n">
        <v>-0.065</v>
      </c>
      <c r="AG60" s="318" t="n">
        <v>-0.0875</v>
      </c>
      <c r="AH60" s="318" t="n">
        <v>-0.0195</v>
      </c>
      <c r="AI60" s="318" t="n">
        <v>-0.072</v>
      </c>
      <c r="AJ60" s="318" t="n">
        <v>-0.0975</v>
      </c>
      <c r="AK60" s="318" t="n">
        <v>-0.017</v>
      </c>
      <c r="AL60" s="318" t="n">
        <v>0.023</v>
      </c>
      <c r="AM60" s="318" t="n">
        <v>0.41</v>
      </c>
      <c r="AN60" s="318" t="n">
        <v>0.0275</v>
      </c>
      <c r="AO60" s="318" t="n">
        <v>-0.47</v>
      </c>
      <c r="AP60" s="318" t="n">
        <v>-0.075</v>
      </c>
      <c r="AQ60" s="318" t="n">
        <v>-0.195</v>
      </c>
      <c r="AR60" s="318" t="n">
        <v>-0.25</v>
      </c>
      <c r="AS60" s="318" t="n">
        <v>-0.39</v>
      </c>
      <c r="AT60" s="318" t="n">
        <v>-0.47</v>
      </c>
      <c r="AU60" s="318" t="n">
        <v>0.26</v>
      </c>
      <c r="AV60" s="318" t="n">
        <v>-0.47</v>
      </c>
      <c r="AW60" s="318" t="n">
        <v>-0.151</v>
      </c>
      <c r="AX60" s="318" t="n">
        <v>-0.065</v>
      </c>
      <c r="AY60" s="318" t="n">
        <v>-0.091</v>
      </c>
      <c r="AZ60" s="318" t="n">
        <v>-0.0575</v>
      </c>
      <c r="BA60" s="318" t="n">
        <v>-0.081</v>
      </c>
      <c r="BB60" s="318" t="n">
        <v>-0.0195</v>
      </c>
      <c r="BC60" s="318" t="n">
        <v>-0.0625</v>
      </c>
      <c r="BD60" s="318" t="n">
        <v>-0.0025</v>
      </c>
      <c r="BE60" s="318" t="n">
        <v>-0.0725</v>
      </c>
      <c r="BF60" s="318" t="n">
        <v>0.06</v>
      </c>
      <c r="BG60" s="318" t="n">
        <v>0.145</v>
      </c>
      <c r="BH60" s="318" t="n">
        <v>0.155</v>
      </c>
      <c r="BI60" s="318" t="n">
        <v>0.125</v>
      </c>
      <c r="BJ60" s="318" t="n">
        <v>0.35</v>
      </c>
      <c r="BK60" s="318" t="n">
        <v>0</v>
      </c>
      <c r="BL60" s="318" t="n">
        <v>-0.01</v>
      </c>
      <c r="BM60" s="318" t="n">
        <v>0.005</v>
      </c>
      <c r="BN60" s="318" t="n">
        <v>-0.01</v>
      </c>
      <c r="BO60" s="318" t="n">
        <v>0.02</v>
      </c>
      <c r="BP60" s="318" t="n">
        <v>0.005</v>
      </c>
      <c r="BQ60" s="318" t="n">
        <v>0.0025</v>
      </c>
      <c r="BR60" s="318" t="n">
        <v>0.035</v>
      </c>
      <c r="BS60" s="0" t="n">
        <v>0.005</v>
      </c>
      <c r="BT60" s="0" t="n">
        <v>0.032</v>
      </c>
      <c r="BU60" s="0" t="n">
        <v>0.032</v>
      </c>
      <c r="BV60" s="0" t="n">
        <v>0.03</v>
      </c>
    </row>
    <row r="61" customFormat="false" ht="12.75" hidden="false" customHeight="false" outlineLevel="0" collapsed="false">
      <c r="A61" s="320" t="e">
        <f aca="false">#REF!-B61</f>
        <v>#REF!</v>
      </c>
      <c r="B61" s="320" t="n">
        <v>3.418</v>
      </c>
      <c r="C61" s="327" t="n">
        <f aca="false">EOMONTH(C60,0)+1</f>
        <v>38961</v>
      </c>
      <c r="D61" s="0" t="n">
        <f aca="false">D49+0.05</f>
        <v>3.249</v>
      </c>
      <c r="E61" s="320" t="n">
        <v>0.2475</v>
      </c>
      <c r="F61" s="318" t="n">
        <v>0.0499339742651683</v>
      </c>
      <c r="G61" s="318" t="n">
        <v>-0.13</v>
      </c>
      <c r="H61" s="318" t="n">
        <v>-0.15</v>
      </c>
      <c r="I61" s="330" t="n">
        <v>-0.09</v>
      </c>
      <c r="J61" s="330" t="n">
        <v>-0.135</v>
      </c>
      <c r="K61" s="318" t="n">
        <v>-0.09</v>
      </c>
      <c r="L61" s="318" t="n">
        <v>-0.0575</v>
      </c>
      <c r="M61" s="318" t="n">
        <v>-0.1</v>
      </c>
      <c r="N61" s="318" t="n">
        <v>-0.12</v>
      </c>
      <c r="O61" s="318" t="n">
        <v>-0.12</v>
      </c>
      <c r="P61" s="318" t="n">
        <v>-0.13</v>
      </c>
      <c r="Q61" s="318" t="n">
        <v>-0.0825</v>
      </c>
      <c r="R61" s="318" t="n">
        <v>-0.0675</v>
      </c>
      <c r="S61" s="318" t="n">
        <v>0.125</v>
      </c>
      <c r="T61" s="318" t="n">
        <v>0.155</v>
      </c>
      <c r="U61" s="318" t="n">
        <v>0.04</v>
      </c>
      <c r="V61" s="318" t="n">
        <v>0.5</v>
      </c>
      <c r="W61" s="318" t="n">
        <v>0.15</v>
      </c>
      <c r="X61" s="318" t="n">
        <v>0.205</v>
      </c>
      <c r="Y61" s="318" t="n">
        <v>-0.0255</v>
      </c>
      <c r="Z61" s="318" t="n">
        <v>-0.0475</v>
      </c>
      <c r="AA61" s="318" t="n">
        <v>0.0085</v>
      </c>
      <c r="AB61" s="318" t="n">
        <v>-0.014</v>
      </c>
      <c r="AC61" s="318" t="n">
        <v>0.0025</v>
      </c>
      <c r="AD61" s="318" t="n">
        <v>-0.0225</v>
      </c>
      <c r="AE61" s="318" t="n">
        <v>-0.0725</v>
      </c>
      <c r="AF61" s="318" t="n">
        <v>-0.065</v>
      </c>
      <c r="AG61" s="318" t="n">
        <v>-0.0875</v>
      </c>
      <c r="AH61" s="318" t="n">
        <v>-0.0195</v>
      </c>
      <c r="AI61" s="318" t="n">
        <v>-0.072</v>
      </c>
      <c r="AJ61" s="318" t="n">
        <v>-0.0975</v>
      </c>
      <c r="AK61" s="318" t="n">
        <v>-0.017</v>
      </c>
      <c r="AL61" s="318" t="n">
        <v>0.023</v>
      </c>
      <c r="AM61" s="318" t="n">
        <v>0.41</v>
      </c>
      <c r="AN61" s="318" t="n">
        <v>0.03</v>
      </c>
      <c r="AO61" s="318" t="n">
        <v>-0.47</v>
      </c>
      <c r="AP61" s="318" t="n">
        <v>-0.075</v>
      </c>
      <c r="AQ61" s="318" t="n">
        <v>-0.195</v>
      </c>
      <c r="AR61" s="318" t="n">
        <v>-0.25</v>
      </c>
      <c r="AS61" s="318" t="n">
        <v>-0.39</v>
      </c>
      <c r="AT61" s="318" t="n">
        <v>-0.47</v>
      </c>
      <c r="AU61" s="318" t="n">
        <v>0.26</v>
      </c>
      <c r="AV61" s="318" t="n">
        <v>-0.47</v>
      </c>
      <c r="AW61" s="318" t="n">
        <v>-0.146</v>
      </c>
      <c r="AX61" s="318" t="n">
        <v>-0.065</v>
      </c>
      <c r="AY61" s="318" t="n">
        <v>-0.086</v>
      </c>
      <c r="AZ61" s="318" t="n">
        <v>-0.0575</v>
      </c>
      <c r="BA61" s="318" t="n">
        <v>-0.0785</v>
      </c>
      <c r="BB61" s="318" t="n">
        <v>-0.0195</v>
      </c>
      <c r="BC61" s="318" t="n">
        <v>-0.0625</v>
      </c>
      <c r="BD61" s="318" t="n">
        <v>0</v>
      </c>
      <c r="BE61" s="318" t="n">
        <v>-0.0725</v>
      </c>
      <c r="BF61" s="318" t="n">
        <v>0.06</v>
      </c>
      <c r="BG61" s="318" t="n">
        <v>0.145</v>
      </c>
      <c r="BH61" s="318" t="n">
        <v>0.155</v>
      </c>
      <c r="BI61" s="318" t="n">
        <v>0.125</v>
      </c>
      <c r="BJ61" s="318" t="n">
        <v>0.35</v>
      </c>
      <c r="BK61" s="318" t="n">
        <v>0</v>
      </c>
      <c r="BL61" s="318" t="n">
        <v>-0.01</v>
      </c>
      <c r="BM61" s="318" t="n">
        <v>0.005</v>
      </c>
      <c r="BN61" s="318" t="n">
        <v>-0.01</v>
      </c>
      <c r="BO61" s="318" t="n">
        <v>0.02</v>
      </c>
      <c r="BP61" s="318" t="n">
        <v>0.005</v>
      </c>
      <c r="BQ61" s="318" t="n">
        <v>0.0025</v>
      </c>
      <c r="BR61" s="318" t="n">
        <v>0.01</v>
      </c>
      <c r="BS61" s="0" t="n">
        <v>0.005</v>
      </c>
      <c r="BT61" s="0" t="n">
        <v>0.032</v>
      </c>
      <c r="BU61" s="0" t="n">
        <v>0.032</v>
      </c>
      <c r="BV61" s="0" t="n">
        <v>0.03</v>
      </c>
    </row>
    <row r="62" customFormat="false" ht="12.75" hidden="false" customHeight="false" outlineLevel="0" collapsed="false">
      <c r="A62" s="320" t="e">
        <f aca="false">#REF!-B62</f>
        <v>#REF!</v>
      </c>
      <c r="B62" s="320" t="n">
        <v>3.266</v>
      </c>
      <c r="C62" s="327" t="n">
        <f aca="false">EOMONTH(C61,0)+1</f>
        <v>38991</v>
      </c>
      <c r="D62" s="0" t="n">
        <f aca="false">D50+0.05</f>
        <v>3.264</v>
      </c>
      <c r="E62" s="320" t="n">
        <v>0.2475</v>
      </c>
      <c r="F62" s="318" t="n">
        <v>0.0502445456161724</v>
      </c>
      <c r="G62" s="318" t="n">
        <v>-0.13</v>
      </c>
      <c r="H62" s="318" t="n">
        <v>-0.15</v>
      </c>
      <c r="I62" s="330" t="n">
        <v>-0.09</v>
      </c>
      <c r="J62" s="330" t="n">
        <v>-0.135</v>
      </c>
      <c r="K62" s="318" t="n">
        <v>-0.09</v>
      </c>
      <c r="L62" s="318" t="n">
        <v>-0.0575</v>
      </c>
      <c r="M62" s="318" t="n">
        <v>-0.1</v>
      </c>
      <c r="N62" s="318" t="n">
        <v>-0.12</v>
      </c>
      <c r="O62" s="318" t="n">
        <v>-0.12</v>
      </c>
      <c r="P62" s="318" t="n">
        <v>-0.13</v>
      </c>
      <c r="Q62" s="318" t="n">
        <v>-0.0825</v>
      </c>
      <c r="R62" s="318" t="n">
        <v>-0.0675</v>
      </c>
      <c r="S62" s="318" t="n">
        <v>0.125</v>
      </c>
      <c r="T62" s="318" t="n">
        <v>0.155</v>
      </c>
      <c r="U62" s="318" t="n">
        <v>0.04</v>
      </c>
      <c r="V62" s="318" t="n">
        <v>0.5</v>
      </c>
      <c r="W62" s="318" t="n">
        <v>0.125</v>
      </c>
      <c r="X62" s="318" t="n">
        <v>0.145</v>
      </c>
      <c r="Y62" s="318" t="n">
        <v>-0.0255</v>
      </c>
      <c r="Z62" s="318" t="n">
        <v>-0.0525</v>
      </c>
      <c r="AA62" s="318" t="n">
        <v>0.0085</v>
      </c>
      <c r="AB62" s="318" t="n">
        <v>-0.014</v>
      </c>
      <c r="AC62" s="318" t="n">
        <v>0.0025</v>
      </c>
      <c r="AD62" s="318" t="n">
        <v>-0.0225</v>
      </c>
      <c r="AE62" s="318" t="n">
        <v>-0.0725</v>
      </c>
      <c r="AF62" s="318" t="n">
        <v>-0.065</v>
      </c>
      <c r="AG62" s="318" t="n">
        <v>-0.0875</v>
      </c>
      <c r="AH62" s="318" t="n">
        <v>-0.0195</v>
      </c>
      <c r="AI62" s="318" t="n">
        <v>-0.072</v>
      </c>
      <c r="AJ62" s="318" t="n">
        <v>-0.0975</v>
      </c>
      <c r="AK62" s="318" t="n">
        <v>-0.017</v>
      </c>
      <c r="AL62" s="318" t="n">
        <v>0.023</v>
      </c>
      <c r="AM62" s="318" t="n">
        <v>0.36</v>
      </c>
      <c r="AN62" s="318" t="n">
        <v>0.0225</v>
      </c>
      <c r="AO62" s="318" t="n">
        <v>-0.47</v>
      </c>
      <c r="AP62" s="318" t="n">
        <v>-0.075</v>
      </c>
      <c r="AQ62" s="318" t="n">
        <v>-0.195</v>
      </c>
      <c r="AR62" s="318" t="n">
        <v>-0.25</v>
      </c>
      <c r="AS62" s="318" t="n">
        <v>-0.39</v>
      </c>
      <c r="AT62" s="318" t="n">
        <v>-0.47</v>
      </c>
      <c r="AU62" s="318" t="n">
        <v>0.26</v>
      </c>
      <c r="AV62" s="318" t="n">
        <v>-0.47</v>
      </c>
      <c r="AW62" s="318" t="n">
        <v>-0.156</v>
      </c>
      <c r="AX62" s="318" t="n">
        <v>-0.065</v>
      </c>
      <c r="AY62" s="318" t="n">
        <v>-0.096</v>
      </c>
      <c r="AZ62" s="318" t="n">
        <v>-0.0575</v>
      </c>
      <c r="BA62" s="318" t="n">
        <v>-0.0835</v>
      </c>
      <c r="BB62" s="318" t="n">
        <v>-0.0195</v>
      </c>
      <c r="BC62" s="318" t="n">
        <v>-0.0625</v>
      </c>
      <c r="BD62" s="318" t="n">
        <v>-0.0075</v>
      </c>
      <c r="BE62" s="318" t="n">
        <v>-0.0725</v>
      </c>
      <c r="BF62" s="318" t="n">
        <v>0.06</v>
      </c>
      <c r="BG62" s="318" t="n">
        <v>0.145</v>
      </c>
      <c r="BH62" s="318" t="n">
        <v>0.155</v>
      </c>
      <c r="BI62" s="318" t="n">
        <v>0.125</v>
      </c>
      <c r="BJ62" s="318" t="n">
        <v>0.315</v>
      </c>
      <c r="BK62" s="318" t="n">
        <v>0</v>
      </c>
      <c r="BL62" s="318" t="n">
        <v>-0.01</v>
      </c>
      <c r="BM62" s="318" t="n">
        <v>0.005</v>
      </c>
      <c r="BN62" s="318" t="n">
        <v>-0.01</v>
      </c>
      <c r="BO62" s="318" t="n">
        <v>0.02</v>
      </c>
      <c r="BP62" s="318" t="n">
        <v>0.005</v>
      </c>
      <c r="BQ62" s="318" t="n">
        <v>0.0025</v>
      </c>
      <c r="BR62" s="318" t="n">
        <v>0.01</v>
      </c>
      <c r="BS62" s="0" t="n">
        <v>0.005</v>
      </c>
      <c r="BT62" s="0" t="n">
        <v>0.032</v>
      </c>
      <c r="BU62" s="0" t="n">
        <v>0.032</v>
      </c>
      <c r="BV62" s="0" t="n">
        <v>0.03</v>
      </c>
    </row>
    <row r="63" customFormat="false" ht="12.75" hidden="false" customHeight="false" outlineLevel="0" collapsed="false">
      <c r="A63" s="320" t="e">
        <f aca="false">#REF!-B63</f>
        <v>#REF!</v>
      </c>
      <c r="B63" s="320" t="n">
        <v>3.117</v>
      </c>
      <c r="C63" s="327" t="n">
        <f aca="false">EOMONTH(C62,0)+1</f>
        <v>39022</v>
      </c>
      <c r="D63" s="0" t="n">
        <f aca="false">D51+0.05</f>
        <v>3.409</v>
      </c>
      <c r="E63" s="320" t="n">
        <v>0.2475</v>
      </c>
      <c r="F63" s="318" t="n">
        <v>0.0505450985671585</v>
      </c>
      <c r="G63" s="318" t="n">
        <v>-0.13</v>
      </c>
      <c r="H63" s="318" t="n">
        <v>-0.15</v>
      </c>
      <c r="I63" s="330" t="n">
        <v>-0.09</v>
      </c>
      <c r="J63" s="330" t="n">
        <v>-0.135</v>
      </c>
      <c r="K63" s="318" t="n">
        <v>-0.09</v>
      </c>
      <c r="L63" s="318" t="n">
        <v>-0.0575</v>
      </c>
      <c r="M63" s="318" t="n">
        <v>-0.1</v>
      </c>
      <c r="N63" s="318" t="n">
        <v>-0.12</v>
      </c>
      <c r="O63" s="318" t="n">
        <v>-0.12</v>
      </c>
      <c r="P63" s="318" t="n">
        <v>-0.13</v>
      </c>
      <c r="Q63" s="318" t="n">
        <v>-0.0825</v>
      </c>
      <c r="R63" s="318" t="n">
        <v>-0.0675</v>
      </c>
      <c r="S63" s="318" t="n">
        <v>0.125</v>
      </c>
      <c r="T63" s="318" t="n">
        <v>0.155</v>
      </c>
      <c r="U63" s="318" t="n">
        <v>0.04</v>
      </c>
      <c r="V63" s="318" t="n">
        <v>0.5</v>
      </c>
      <c r="W63" s="318" t="n">
        <v>0.145</v>
      </c>
      <c r="X63" s="318" t="n">
        <v>0.175</v>
      </c>
      <c r="Y63" s="318" t="n">
        <v>-0.0255</v>
      </c>
      <c r="Z63" s="318" t="n">
        <v>-0.0525</v>
      </c>
      <c r="AA63" s="318" t="n">
        <v>0.0035</v>
      </c>
      <c r="AB63" s="318" t="n">
        <v>-0.019</v>
      </c>
      <c r="AC63" s="318" t="n">
        <v>0.0025</v>
      </c>
      <c r="AD63" s="318" t="n">
        <v>-0.0225</v>
      </c>
      <c r="AE63" s="318" t="n">
        <v>-0.0725</v>
      </c>
      <c r="AF63" s="318" t="n">
        <v>-0.065</v>
      </c>
      <c r="AG63" s="318" t="n">
        <v>-0.0875</v>
      </c>
      <c r="AH63" s="318" t="n">
        <v>-0.0195</v>
      </c>
      <c r="AI63" s="318" t="n">
        <v>-0.072</v>
      </c>
      <c r="AJ63" s="318" t="n">
        <v>-0.0975</v>
      </c>
      <c r="AK63" s="318" t="n">
        <v>-0.017</v>
      </c>
      <c r="AL63" s="318" t="n">
        <v>0.023</v>
      </c>
      <c r="AM63" s="318" t="n">
        <v>0.4</v>
      </c>
      <c r="AN63" s="318" t="n">
        <v>0.0125</v>
      </c>
      <c r="AO63" s="318" t="n">
        <v>-0.47</v>
      </c>
      <c r="AP63" s="318" t="n">
        <v>-0.075</v>
      </c>
      <c r="AQ63" s="318" t="n">
        <v>-0.195</v>
      </c>
      <c r="AR63" s="318" t="n">
        <v>-0.25</v>
      </c>
      <c r="AS63" s="318" t="n">
        <v>-0.39</v>
      </c>
      <c r="AT63" s="318" t="n">
        <v>-0.47</v>
      </c>
      <c r="AU63" s="318" t="n">
        <v>0.26</v>
      </c>
      <c r="AV63" s="318" t="n">
        <v>-0.47</v>
      </c>
      <c r="AW63" s="318" t="n">
        <v>-0.1435</v>
      </c>
      <c r="AX63" s="318" t="n">
        <v>-0.065</v>
      </c>
      <c r="AY63" s="318" t="n">
        <v>-0.0835</v>
      </c>
      <c r="AZ63" s="318" t="n">
        <v>-0.0575</v>
      </c>
      <c r="BA63" s="318" t="n">
        <v>-0.086</v>
      </c>
      <c r="BB63" s="318" t="n">
        <v>-0.0195</v>
      </c>
      <c r="BC63" s="318" t="n">
        <v>-0.0625</v>
      </c>
      <c r="BD63" s="318" t="n">
        <v>-0.0175</v>
      </c>
      <c r="BE63" s="318" t="n">
        <v>-0.0725</v>
      </c>
      <c r="BF63" s="318" t="n">
        <v>0.06</v>
      </c>
      <c r="BG63" s="318" t="n">
        <v>0.145</v>
      </c>
      <c r="BH63" s="318" t="n">
        <v>0.155</v>
      </c>
      <c r="BI63" s="318" t="n">
        <v>0.125</v>
      </c>
      <c r="BJ63" s="318" t="n">
        <v>0.36</v>
      </c>
      <c r="BK63" s="318" t="n">
        <v>0</v>
      </c>
      <c r="BL63" s="318" t="n">
        <v>-0.015</v>
      </c>
      <c r="BM63" s="318" t="n">
        <v>0.005</v>
      </c>
      <c r="BN63" s="318" t="n">
        <v>-0.01</v>
      </c>
      <c r="BO63" s="318" t="n">
        <v>0.02</v>
      </c>
      <c r="BP63" s="318" t="n">
        <v>0.005</v>
      </c>
      <c r="BQ63" s="318" t="n">
        <v>0.0025</v>
      </c>
      <c r="BR63" s="318" t="n">
        <v>0.01</v>
      </c>
      <c r="BS63" s="0" t="n">
        <v>0.005</v>
      </c>
      <c r="BT63" s="0" t="n">
        <v>0.032</v>
      </c>
      <c r="BU63" s="0" t="n">
        <v>0.032</v>
      </c>
      <c r="BV63" s="0" t="n">
        <v>0.03</v>
      </c>
    </row>
    <row r="64" customFormat="false" ht="12.75" hidden="false" customHeight="false" outlineLevel="0" collapsed="false">
      <c r="A64" s="320" t="e">
        <f aca="false">#REF!-B64</f>
        <v>#REF!</v>
      </c>
      <c r="B64" s="320" t="n">
        <v>3.091</v>
      </c>
      <c r="C64" s="327" t="n">
        <f aca="false">EOMONTH(C63,0)+1</f>
        <v>39052</v>
      </c>
      <c r="D64" s="0" t="n">
        <f aca="false">D52+0.05</f>
        <v>3.544</v>
      </c>
      <c r="E64" s="320" t="n">
        <v>0.2475</v>
      </c>
      <c r="F64" s="318" t="n">
        <v>0.0508556699815208</v>
      </c>
      <c r="G64" s="318" t="n">
        <v>-0.13</v>
      </c>
      <c r="H64" s="318" t="n">
        <v>-0.15</v>
      </c>
      <c r="I64" s="330" t="n">
        <v>-0.01</v>
      </c>
      <c r="J64" s="330" t="n">
        <v>-0.135</v>
      </c>
      <c r="K64" s="318" t="n">
        <v>0</v>
      </c>
      <c r="L64" s="318" t="n">
        <v>-0.0575</v>
      </c>
      <c r="M64" s="318" t="n">
        <v>-0.1</v>
      </c>
      <c r="N64" s="318" t="n">
        <v>-0.12</v>
      </c>
      <c r="O64" s="318" t="n">
        <v>-0.12</v>
      </c>
      <c r="P64" s="318" t="n">
        <v>-0.13</v>
      </c>
      <c r="Q64" s="318" t="n">
        <v>-0.09</v>
      </c>
      <c r="R64" s="318" t="n">
        <v>-0.0675</v>
      </c>
      <c r="S64" s="318" t="n">
        <v>0.155</v>
      </c>
      <c r="T64" s="318" t="n">
        <v>0.205</v>
      </c>
      <c r="U64" s="318" t="n">
        <v>0.13</v>
      </c>
      <c r="V64" s="318" t="n">
        <v>0.5</v>
      </c>
      <c r="W64" s="318" t="n">
        <v>0.195</v>
      </c>
      <c r="X64" s="318" t="n">
        <v>0.21</v>
      </c>
      <c r="Y64" s="318" t="n">
        <v>-0.023</v>
      </c>
      <c r="Z64" s="318" t="n">
        <v>-0.035</v>
      </c>
      <c r="AA64" s="318" t="n">
        <v>0.0045</v>
      </c>
      <c r="AB64" s="318" t="n">
        <v>-0.0155</v>
      </c>
      <c r="AC64" s="318" t="n">
        <v>0.0025</v>
      </c>
      <c r="AD64" s="318" t="n">
        <v>-0.0225</v>
      </c>
      <c r="AE64" s="318" t="n">
        <v>-0.075</v>
      </c>
      <c r="AF64" s="318" t="n">
        <v>-0.0675</v>
      </c>
      <c r="AG64" s="318" t="n">
        <v>-0.09</v>
      </c>
      <c r="AH64" s="318" t="n">
        <v>-0.016</v>
      </c>
      <c r="AI64" s="318" t="n">
        <v>-0.066</v>
      </c>
      <c r="AJ64" s="318" t="n">
        <v>-0.1125</v>
      </c>
      <c r="AK64" s="318" t="n">
        <v>-0.011</v>
      </c>
      <c r="AL64" s="318" t="n">
        <v>0.029</v>
      </c>
      <c r="AM64" s="318" t="n">
        <v>0.65</v>
      </c>
      <c r="AN64" s="318" t="n">
        <v>-0.0225</v>
      </c>
      <c r="AO64" s="318" t="n">
        <v>-0.34</v>
      </c>
      <c r="AP64" s="318" t="n">
        <v>-0.075</v>
      </c>
      <c r="AQ64" s="318" t="n">
        <v>-0.13</v>
      </c>
      <c r="AR64" s="318" t="n">
        <v>0.248</v>
      </c>
      <c r="AS64" s="318" t="n">
        <v>-0.26</v>
      </c>
      <c r="AT64" s="318" t="n">
        <v>-0.34</v>
      </c>
      <c r="AU64" s="318" t="n">
        <v>0.24</v>
      </c>
      <c r="AV64" s="318" t="n">
        <v>-0.34</v>
      </c>
      <c r="AW64" s="318" t="n">
        <v>-0.151</v>
      </c>
      <c r="AX64" s="318" t="n">
        <v>-0.065</v>
      </c>
      <c r="AY64" s="318" t="n">
        <v>-0.091</v>
      </c>
      <c r="AZ64" s="318" t="n">
        <v>-0.0575</v>
      </c>
      <c r="BA64" s="318" t="n">
        <v>-0.081</v>
      </c>
      <c r="BB64" s="318" t="n">
        <v>-0.021</v>
      </c>
      <c r="BC64" s="318" t="n">
        <v>-0.0775</v>
      </c>
      <c r="BD64" s="318" t="n">
        <v>-0.0525</v>
      </c>
      <c r="BE64" s="318" t="n">
        <v>-0.075</v>
      </c>
      <c r="BF64" s="318" t="n">
        <v>0.15</v>
      </c>
      <c r="BG64" s="318" t="n">
        <v>0.235</v>
      </c>
      <c r="BH64" s="318" t="n">
        <v>0.205</v>
      </c>
      <c r="BI64" s="318" t="n">
        <v>0.155</v>
      </c>
      <c r="BJ64" s="318" t="n">
        <v>0.46</v>
      </c>
      <c r="BK64" s="318" t="n">
        <v>0</v>
      </c>
      <c r="BL64" s="318" t="n">
        <v>-0.02</v>
      </c>
      <c r="BM64" s="318" t="n">
        <v>0.005</v>
      </c>
      <c r="BN64" s="318" t="n">
        <v>0</v>
      </c>
      <c r="BO64" s="318" t="n">
        <v>0.035</v>
      </c>
      <c r="BP64" s="318" t="n">
        <v>0.005</v>
      </c>
      <c r="BQ64" s="318" t="n">
        <v>0.005</v>
      </c>
      <c r="BR64" s="318" t="n">
        <v>0.055</v>
      </c>
      <c r="BS64" s="0" t="n">
        <v>0.02</v>
      </c>
      <c r="BT64" s="0" t="n">
        <v>0.034</v>
      </c>
      <c r="BU64" s="0" t="n">
        <v>0.034</v>
      </c>
      <c r="BV64" s="0" t="n">
        <v>0.03</v>
      </c>
    </row>
    <row r="65" customFormat="false" ht="12.75" hidden="false" customHeight="false" outlineLevel="0" collapsed="false">
      <c r="A65" s="320" t="e">
        <f aca="false">#REF!-B65</f>
        <v>#REF!</v>
      </c>
      <c r="B65" s="320" t="n">
        <v>3.073</v>
      </c>
      <c r="C65" s="327" t="n">
        <f aca="false">EOMONTH(C64,0)+1</f>
        <v>39083</v>
      </c>
      <c r="D65" s="0" t="n">
        <f aca="false">D53+0.05</f>
        <v>3.599</v>
      </c>
      <c r="E65" s="320" t="n">
        <v>0.2475</v>
      </c>
      <c r="F65" s="318" t="n">
        <v>0.0511562229938121</v>
      </c>
      <c r="G65" s="318" t="n">
        <v>-0.1325</v>
      </c>
      <c r="H65" s="318" t="n">
        <v>-0.1525</v>
      </c>
      <c r="I65" s="330" t="n">
        <v>-0.005</v>
      </c>
      <c r="J65" s="330" t="n">
        <v>-0.135</v>
      </c>
      <c r="K65" s="318" t="n">
        <v>0.005</v>
      </c>
      <c r="L65" s="318" t="n">
        <v>-0.0575</v>
      </c>
      <c r="M65" s="318" t="n">
        <v>-0.1025</v>
      </c>
      <c r="N65" s="318" t="n">
        <v>-0.1225</v>
      </c>
      <c r="O65" s="318" t="n">
        <v>-0.1225</v>
      </c>
      <c r="P65" s="318" t="n">
        <v>-0.1325</v>
      </c>
      <c r="Q65" s="318" t="n">
        <v>-0.09</v>
      </c>
      <c r="R65" s="318" t="n">
        <v>-0.0675</v>
      </c>
      <c r="S65" s="318" t="n">
        <v>0.155</v>
      </c>
      <c r="T65" s="318" t="n">
        <v>0.205</v>
      </c>
      <c r="U65" s="318" t="n">
        <v>0.13</v>
      </c>
      <c r="V65" s="318" t="n">
        <v>0.5</v>
      </c>
      <c r="W65" s="318" t="n">
        <v>0.215</v>
      </c>
      <c r="X65" s="318" t="n">
        <v>0.29</v>
      </c>
      <c r="Y65" s="318" t="n">
        <v>-0.023</v>
      </c>
      <c r="Z65" s="318" t="n">
        <v>-0.035</v>
      </c>
      <c r="AA65" s="318" t="n">
        <v>0.0045</v>
      </c>
      <c r="AB65" s="318" t="n">
        <v>-0.0155</v>
      </c>
      <c r="AC65" s="318" t="n">
        <v>0.0025</v>
      </c>
      <c r="AD65" s="318" t="n">
        <v>-0.0225</v>
      </c>
      <c r="AE65" s="318" t="n">
        <v>-0.075</v>
      </c>
      <c r="AF65" s="318" t="n">
        <v>-0.0655</v>
      </c>
      <c r="AG65" s="318" t="n">
        <v>-0.088</v>
      </c>
      <c r="AH65" s="318" t="n">
        <v>-0.0135</v>
      </c>
      <c r="AI65" s="318" t="n">
        <v>-0.066</v>
      </c>
      <c r="AJ65" s="318" t="n">
        <v>-0.1125</v>
      </c>
      <c r="AK65" s="318" t="n">
        <v>-0.011</v>
      </c>
      <c r="AL65" s="318" t="n">
        <v>0.029</v>
      </c>
      <c r="AM65" s="318" t="n">
        <v>0.98</v>
      </c>
      <c r="AN65" s="318" t="n">
        <v>-0.045</v>
      </c>
      <c r="AO65" s="318" t="n">
        <v>-0.34</v>
      </c>
      <c r="AP65" s="318" t="n">
        <v>-0.075</v>
      </c>
      <c r="AQ65" s="318" t="n">
        <v>-0.13</v>
      </c>
      <c r="AR65" s="318" t="n">
        <v>0.308</v>
      </c>
      <c r="AS65" s="318" t="n">
        <v>-0.26</v>
      </c>
      <c r="AT65" s="318" t="n">
        <v>-0.34</v>
      </c>
      <c r="AU65" s="318" t="n">
        <v>0.24</v>
      </c>
      <c r="AV65" s="318" t="n">
        <v>-0.34</v>
      </c>
      <c r="AW65" s="318" t="n">
        <v>-0.1785</v>
      </c>
      <c r="AX65" s="318" t="n">
        <v>-0.065</v>
      </c>
      <c r="AY65" s="318" t="n">
        <v>-0.1185</v>
      </c>
      <c r="AZ65" s="318" t="n">
        <v>-0.0575</v>
      </c>
      <c r="BA65" s="318" t="n">
        <v>-0.1085</v>
      </c>
      <c r="BB65" s="318" t="n">
        <v>-0.0185</v>
      </c>
      <c r="BC65" s="318" t="n">
        <v>-0.0775</v>
      </c>
      <c r="BD65" s="318" t="n">
        <v>-0.075</v>
      </c>
      <c r="BE65" s="318" t="n">
        <v>-0.075</v>
      </c>
      <c r="BF65" s="318" t="n">
        <v>0.15</v>
      </c>
      <c r="BG65" s="318" t="n">
        <v>0.235</v>
      </c>
      <c r="BH65" s="318" t="n">
        <v>0.205</v>
      </c>
      <c r="BI65" s="318" t="n">
        <v>0.155</v>
      </c>
      <c r="BJ65" s="318" t="n">
        <v>0.77</v>
      </c>
      <c r="BK65" s="318" t="n">
        <v>0</v>
      </c>
      <c r="BL65" s="318" t="n">
        <v>-0.025</v>
      </c>
      <c r="BM65" s="318" t="n">
        <v>0.005</v>
      </c>
      <c r="BN65" s="318" t="n">
        <v>0</v>
      </c>
      <c r="BO65" s="318" t="n">
        <v>0.035</v>
      </c>
      <c r="BP65" s="318" t="n">
        <v>0.005</v>
      </c>
      <c r="BQ65" s="318" t="n">
        <v>0.005</v>
      </c>
      <c r="BR65" s="318" t="n">
        <v>0.25</v>
      </c>
      <c r="BS65" s="0" t="n">
        <v>0.02</v>
      </c>
      <c r="BT65" s="0" t="n">
        <v>0.034</v>
      </c>
      <c r="BU65" s="0" t="n">
        <v>0.034</v>
      </c>
      <c r="BV65" s="0" t="n">
        <v>0.03</v>
      </c>
    </row>
    <row r="66" customFormat="false" ht="12.75" hidden="false" customHeight="false" outlineLevel="0" collapsed="false">
      <c r="A66" s="320" t="e">
        <f aca="false">#REF!-B66</f>
        <v>#REF!</v>
      </c>
      <c r="B66" s="320" t="n">
        <v>3.138</v>
      </c>
      <c r="C66" s="327" t="n">
        <f aca="false">EOMONTH(C65,0)+1</f>
        <v>39114</v>
      </c>
      <c r="D66" s="0" t="n">
        <f aca="false">D54+0.05</f>
        <v>3.451</v>
      </c>
      <c r="E66" s="320" t="n">
        <v>0.2475</v>
      </c>
      <c r="F66" s="318" t="n">
        <v>0.051391857633718</v>
      </c>
      <c r="G66" s="318" t="n">
        <v>-0.135</v>
      </c>
      <c r="H66" s="318" t="n">
        <v>-0.155</v>
      </c>
      <c r="I66" s="330" t="n">
        <v>0.015</v>
      </c>
      <c r="J66" s="330" t="n">
        <v>-0.13</v>
      </c>
      <c r="K66" s="318" t="n">
        <v>0.025</v>
      </c>
      <c r="L66" s="318" t="n">
        <v>-0.0575</v>
      </c>
      <c r="M66" s="318" t="n">
        <v>-0.105</v>
      </c>
      <c r="N66" s="318" t="n">
        <v>-0.125</v>
      </c>
      <c r="O66" s="318" t="n">
        <v>-0.125</v>
      </c>
      <c r="P66" s="318" t="n">
        <v>-0.135</v>
      </c>
      <c r="Q66" s="318" t="n">
        <v>-0.09</v>
      </c>
      <c r="R66" s="318" t="n">
        <v>-0.0675</v>
      </c>
      <c r="S66" s="318" t="n">
        <v>0.155</v>
      </c>
      <c r="T66" s="318" t="n">
        <v>0.205</v>
      </c>
      <c r="U66" s="318" t="n">
        <v>0.13</v>
      </c>
      <c r="V66" s="318" t="n">
        <v>0.5</v>
      </c>
      <c r="W66" s="318" t="n">
        <v>0.235</v>
      </c>
      <c r="X66" s="318" t="n">
        <v>0.34</v>
      </c>
      <c r="Y66" s="318" t="n">
        <v>-0.021</v>
      </c>
      <c r="Z66" s="318" t="n">
        <v>-0.035</v>
      </c>
      <c r="AA66" s="318" t="n">
        <v>0.0045</v>
      </c>
      <c r="AB66" s="318" t="n">
        <v>-0.0155</v>
      </c>
      <c r="AC66" s="318" t="n">
        <v>0.0025</v>
      </c>
      <c r="AD66" s="318" t="n">
        <v>-0.0225</v>
      </c>
      <c r="AE66" s="318" t="n">
        <v>-0.075</v>
      </c>
      <c r="AF66" s="318" t="n">
        <v>-0.0655</v>
      </c>
      <c r="AG66" s="318" t="n">
        <v>-0.088</v>
      </c>
      <c r="AH66" s="318" t="n">
        <v>-0.0135</v>
      </c>
      <c r="AI66" s="318" t="n">
        <v>-0.066</v>
      </c>
      <c r="AJ66" s="318" t="n">
        <v>-0.1125</v>
      </c>
      <c r="AK66" s="318" t="n">
        <v>-0.011</v>
      </c>
      <c r="AL66" s="318" t="n">
        <v>0.029</v>
      </c>
      <c r="AM66" s="318" t="n">
        <v>1.6</v>
      </c>
      <c r="AN66" s="318" t="n">
        <v>-0.0475</v>
      </c>
      <c r="AO66" s="318" t="n">
        <v>-0.34</v>
      </c>
      <c r="AP66" s="318" t="n">
        <v>-0.07</v>
      </c>
      <c r="AQ66" s="318" t="n">
        <v>-0.13</v>
      </c>
      <c r="AR66" s="318" t="n">
        <v>0.378</v>
      </c>
      <c r="AS66" s="318" t="n">
        <v>-0.26</v>
      </c>
      <c r="AT66" s="318" t="n">
        <v>-0.34</v>
      </c>
      <c r="AU66" s="318" t="n">
        <v>0.24</v>
      </c>
      <c r="AV66" s="318" t="n">
        <v>-0.34</v>
      </c>
      <c r="AW66" s="318" t="n">
        <v>-0.1935</v>
      </c>
      <c r="AX66" s="318" t="n">
        <v>-0.06</v>
      </c>
      <c r="AY66" s="318" t="n">
        <v>-0.1335</v>
      </c>
      <c r="AZ66" s="318" t="n">
        <v>-0.0575</v>
      </c>
      <c r="BA66" s="318" t="n">
        <v>-0.109</v>
      </c>
      <c r="BB66" s="318" t="n">
        <v>-0.0185</v>
      </c>
      <c r="BC66" s="318" t="n">
        <v>-0.0775</v>
      </c>
      <c r="BD66" s="318" t="n">
        <v>-0.0775</v>
      </c>
      <c r="BE66" s="318" t="n">
        <v>-0.075</v>
      </c>
      <c r="BF66" s="318" t="n">
        <v>0.15</v>
      </c>
      <c r="BG66" s="318" t="n">
        <v>0.235</v>
      </c>
      <c r="BH66" s="318" t="n">
        <v>0.205</v>
      </c>
      <c r="BI66" s="318" t="n">
        <v>0.155</v>
      </c>
      <c r="BJ66" s="318" t="n">
        <v>1.04</v>
      </c>
      <c r="BK66" s="318" t="n">
        <v>0.0025</v>
      </c>
      <c r="BL66" s="318" t="n">
        <v>-0.025</v>
      </c>
      <c r="BM66" s="318" t="n">
        <v>0.005</v>
      </c>
      <c r="BN66" s="318" t="n">
        <v>0</v>
      </c>
      <c r="BO66" s="318" t="n">
        <v>0.035</v>
      </c>
      <c r="BP66" s="318" t="n">
        <v>0.005</v>
      </c>
      <c r="BQ66" s="318" t="n">
        <v>0.005</v>
      </c>
      <c r="BR66" s="318" t="n">
        <v>0.45</v>
      </c>
      <c r="BS66" s="0" t="n">
        <v>0.02</v>
      </c>
      <c r="BT66" s="0" t="n">
        <v>0.034</v>
      </c>
      <c r="BU66" s="0" t="n">
        <v>0.034</v>
      </c>
      <c r="BV66" s="0" t="n">
        <v>0.03</v>
      </c>
    </row>
    <row r="67" customFormat="false" ht="12.75" hidden="false" customHeight="false" outlineLevel="0" collapsed="false">
      <c r="A67" s="320" t="e">
        <f aca="false">#REF!-B67</f>
        <v>#REF!</v>
      </c>
      <c r="B67" s="320" t="n">
        <v>3.133</v>
      </c>
      <c r="C67" s="327" t="n">
        <f aca="false">EOMONTH(C66,0)+1</f>
        <v>39142</v>
      </c>
      <c r="D67" s="0" t="n">
        <f aca="false">D55+0.05</f>
        <v>3.4</v>
      </c>
      <c r="E67" s="320" t="n">
        <v>0.2425</v>
      </c>
      <c r="F67" s="318" t="n">
        <v>0.0515733712395421</v>
      </c>
      <c r="G67" s="318" t="n">
        <v>-0.1275</v>
      </c>
      <c r="H67" s="318" t="n">
        <v>-0.1475</v>
      </c>
      <c r="I67" s="330" t="n">
        <v>0.01</v>
      </c>
      <c r="J67" s="330" t="n">
        <v>-0.13</v>
      </c>
      <c r="K67" s="318" t="n">
        <v>0.02</v>
      </c>
      <c r="L67" s="318" t="n">
        <v>-0.0575</v>
      </c>
      <c r="M67" s="318" t="n">
        <v>-0.0975</v>
      </c>
      <c r="N67" s="318" t="n">
        <v>-0.1175</v>
      </c>
      <c r="O67" s="318" t="n">
        <v>-0.1175</v>
      </c>
      <c r="P67" s="318" t="n">
        <v>-0.1275</v>
      </c>
      <c r="Q67" s="318" t="n">
        <v>-0.09</v>
      </c>
      <c r="R67" s="318" t="n">
        <v>-0.0675</v>
      </c>
      <c r="S67" s="318" t="n">
        <v>0.155</v>
      </c>
      <c r="T67" s="318" t="n">
        <v>0.205</v>
      </c>
      <c r="U67" s="318" t="n">
        <v>0.13</v>
      </c>
      <c r="V67" s="318" t="n">
        <v>0.5</v>
      </c>
      <c r="W67" s="318" t="n">
        <v>0.235</v>
      </c>
      <c r="X67" s="318" t="n">
        <v>0.34</v>
      </c>
      <c r="Y67" s="318" t="n">
        <v>-0.021</v>
      </c>
      <c r="Z67" s="318" t="n">
        <v>-0.035</v>
      </c>
      <c r="AA67" s="318" t="n">
        <v>0.0045</v>
      </c>
      <c r="AB67" s="318" t="n">
        <v>-0.0155</v>
      </c>
      <c r="AC67" s="318" t="n">
        <v>0.0025</v>
      </c>
      <c r="AD67" s="318" t="n">
        <v>-0.0225</v>
      </c>
      <c r="AE67" s="318" t="n">
        <v>-0.075</v>
      </c>
      <c r="AF67" s="318" t="n">
        <v>-0.0655</v>
      </c>
      <c r="AG67" s="318" t="n">
        <v>-0.088</v>
      </c>
      <c r="AH67" s="318" t="n">
        <v>-0.0135</v>
      </c>
      <c r="AI67" s="318" t="n">
        <v>-0.066</v>
      </c>
      <c r="AJ67" s="318" t="n">
        <v>-0.1125</v>
      </c>
      <c r="AK67" s="318" t="n">
        <v>-0.011</v>
      </c>
      <c r="AL67" s="318" t="n">
        <v>0.029</v>
      </c>
      <c r="AM67" s="318" t="n">
        <v>1.6</v>
      </c>
      <c r="AN67" s="318" t="n">
        <v>-0.03</v>
      </c>
      <c r="AO67" s="318" t="n">
        <v>-0.34</v>
      </c>
      <c r="AP67" s="318" t="n">
        <v>-0.07</v>
      </c>
      <c r="AQ67" s="318" t="n">
        <v>-0.13</v>
      </c>
      <c r="AR67" s="318" t="n">
        <v>0.248</v>
      </c>
      <c r="AS67" s="318" t="n">
        <v>-0.26</v>
      </c>
      <c r="AT67" s="318" t="n">
        <v>-0.34</v>
      </c>
      <c r="AU67" s="318" t="n">
        <v>0.24</v>
      </c>
      <c r="AV67" s="318" t="n">
        <v>-0.34</v>
      </c>
      <c r="AW67" s="318" t="n">
        <v>-0.1835</v>
      </c>
      <c r="AX67" s="318" t="n">
        <v>-0.06</v>
      </c>
      <c r="AY67" s="318" t="n">
        <v>-0.1235</v>
      </c>
      <c r="AZ67" s="318" t="n">
        <v>-0.0575</v>
      </c>
      <c r="BA67" s="318" t="n">
        <v>-0.109</v>
      </c>
      <c r="BB67" s="318" t="n">
        <v>-0.0185</v>
      </c>
      <c r="BC67" s="318" t="n">
        <v>-0.0775</v>
      </c>
      <c r="BD67" s="318" t="n">
        <v>-0.06</v>
      </c>
      <c r="BE67" s="318" t="n">
        <v>-0.075</v>
      </c>
      <c r="BF67" s="318" t="n">
        <v>0.15</v>
      </c>
      <c r="BG67" s="318" t="n">
        <v>0.235</v>
      </c>
      <c r="BH67" s="318" t="n">
        <v>0.205</v>
      </c>
      <c r="BI67" s="318" t="n">
        <v>0.155</v>
      </c>
      <c r="BJ67" s="318" t="n">
        <v>1.04</v>
      </c>
      <c r="BK67" s="318" t="n">
        <v>0.0025</v>
      </c>
      <c r="BL67" s="318" t="n">
        <v>-0.025</v>
      </c>
      <c r="BM67" s="318" t="n">
        <v>0.005</v>
      </c>
      <c r="BN67" s="318" t="n">
        <v>0</v>
      </c>
      <c r="BO67" s="318" t="n">
        <v>0.035</v>
      </c>
      <c r="BP67" s="318" t="n">
        <v>0.005</v>
      </c>
      <c r="BQ67" s="318" t="n">
        <v>0.005</v>
      </c>
      <c r="BR67" s="318" t="n">
        <v>0.45</v>
      </c>
      <c r="BS67" s="0" t="n">
        <v>0.02</v>
      </c>
      <c r="BT67" s="0" t="n">
        <v>0.034</v>
      </c>
      <c r="BU67" s="0" t="n">
        <v>0.034</v>
      </c>
      <c r="BV67" s="0" t="n">
        <v>0.03</v>
      </c>
    </row>
    <row r="68" customFormat="false" ht="12.75" hidden="false" customHeight="false" outlineLevel="0" collapsed="false">
      <c r="A68" s="320" t="e">
        <f aca="false">#REF!-B68</f>
        <v>#REF!</v>
      </c>
      <c r="B68" s="320" t="n">
        <v>3.121</v>
      </c>
      <c r="C68" s="327" t="n">
        <f aca="false">EOMONTH(C67,0)+1</f>
        <v>39173</v>
      </c>
      <c r="D68" s="0" t="n">
        <f aca="false">D56+0.05</f>
        <v>3.181</v>
      </c>
      <c r="E68" s="320" t="n">
        <v>0.24</v>
      </c>
      <c r="F68" s="318" t="n">
        <v>0.0517373190219916</v>
      </c>
      <c r="G68" s="318" t="n">
        <v>-0.125</v>
      </c>
      <c r="H68" s="318" t="n">
        <v>-0.145</v>
      </c>
      <c r="I68" s="330" t="n">
        <v>-0.01</v>
      </c>
      <c r="J68" s="330" t="n">
        <v>-0.13</v>
      </c>
      <c r="K68" s="318" t="n">
        <v>0</v>
      </c>
      <c r="L68" s="318" t="n">
        <v>-0.0575</v>
      </c>
      <c r="M68" s="318" t="n">
        <v>-0.095</v>
      </c>
      <c r="N68" s="318" t="n">
        <v>-0.115</v>
      </c>
      <c r="O68" s="318" t="n">
        <v>-0.115</v>
      </c>
      <c r="P68" s="318" t="n">
        <v>-0.125</v>
      </c>
      <c r="Q68" s="318" t="n">
        <v>-0.09</v>
      </c>
      <c r="R68" s="318" t="n">
        <v>-0.0675</v>
      </c>
      <c r="S68" s="318" t="n">
        <v>0.155</v>
      </c>
      <c r="T68" s="318" t="n">
        <v>0.205</v>
      </c>
      <c r="U68" s="318" t="n">
        <v>0.13</v>
      </c>
      <c r="V68" s="318" t="n">
        <v>0.5</v>
      </c>
      <c r="W68" s="318" t="n">
        <v>0.195</v>
      </c>
      <c r="X68" s="318" t="n">
        <v>0.29</v>
      </c>
      <c r="Y68" s="318" t="n">
        <v>-0.021</v>
      </c>
      <c r="Z68" s="318" t="n">
        <v>-0.035</v>
      </c>
      <c r="AA68" s="318" t="n">
        <v>0.012</v>
      </c>
      <c r="AB68" s="318" t="n">
        <v>-0.008</v>
      </c>
      <c r="AC68" s="318" t="n">
        <v>0.0025</v>
      </c>
      <c r="AD68" s="318" t="n">
        <v>-0.0225</v>
      </c>
      <c r="AE68" s="318" t="n">
        <v>-0.075</v>
      </c>
      <c r="AF68" s="318" t="n">
        <v>-0.0655</v>
      </c>
      <c r="AG68" s="318" t="n">
        <v>-0.088</v>
      </c>
      <c r="AH68" s="318" t="n">
        <v>-0.0135</v>
      </c>
      <c r="AI68" s="318" t="n">
        <v>-0.066</v>
      </c>
      <c r="AJ68" s="318" t="n">
        <v>-0.1125</v>
      </c>
      <c r="AK68" s="318" t="n">
        <v>-0.011</v>
      </c>
      <c r="AL68" s="318" t="n">
        <v>0.029</v>
      </c>
      <c r="AM68" s="318" t="n">
        <v>0.64</v>
      </c>
      <c r="AN68" s="318" t="n">
        <v>-0.0175</v>
      </c>
      <c r="AO68" s="318" t="n">
        <v>-0.34</v>
      </c>
      <c r="AP68" s="318" t="n">
        <v>-0.07</v>
      </c>
      <c r="AQ68" s="318" t="n">
        <v>-0.13</v>
      </c>
      <c r="AR68" s="318" t="n">
        <v>0.068</v>
      </c>
      <c r="AS68" s="318" t="n">
        <v>-0.26</v>
      </c>
      <c r="AT68" s="318" t="n">
        <v>-0.34</v>
      </c>
      <c r="AU68" s="318" t="n">
        <v>0.24</v>
      </c>
      <c r="AV68" s="318" t="n">
        <v>-0.34</v>
      </c>
      <c r="AW68" s="318" t="n">
        <v>-0.1735</v>
      </c>
      <c r="AX68" s="318" t="n">
        <v>-0.06</v>
      </c>
      <c r="AY68" s="318" t="n">
        <v>-0.1135</v>
      </c>
      <c r="AZ68" s="318" t="n">
        <v>-0.0575</v>
      </c>
      <c r="BA68" s="318" t="n">
        <v>-0.109</v>
      </c>
      <c r="BB68" s="318" t="n">
        <v>-0.0185</v>
      </c>
      <c r="BC68" s="318" t="n">
        <v>-0.0775</v>
      </c>
      <c r="BD68" s="318" t="n">
        <v>-0.0475</v>
      </c>
      <c r="BE68" s="318" t="n">
        <v>-0.075</v>
      </c>
      <c r="BF68" s="318" t="n">
        <v>0.15</v>
      </c>
      <c r="BG68" s="318" t="n">
        <v>0.235</v>
      </c>
      <c r="BH68" s="318" t="n">
        <v>0.205</v>
      </c>
      <c r="BI68" s="318" t="n">
        <v>0.155</v>
      </c>
      <c r="BJ68" s="318" t="n">
        <v>0.54</v>
      </c>
      <c r="BK68" s="318" t="n">
        <v>0.0025</v>
      </c>
      <c r="BL68" s="318" t="n">
        <v>-0.02</v>
      </c>
      <c r="BM68" s="318" t="n">
        <v>0.005</v>
      </c>
      <c r="BN68" s="318" t="n">
        <v>0</v>
      </c>
      <c r="BO68" s="318" t="n">
        <v>0.035</v>
      </c>
      <c r="BP68" s="318" t="n">
        <v>0.005</v>
      </c>
      <c r="BQ68" s="318" t="n">
        <v>0.005</v>
      </c>
      <c r="BR68" s="318" t="n">
        <v>0.1</v>
      </c>
      <c r="BS68" s="0" t="n">
        <v>0.02</v>
      </c>
      <c r="BT68" s="0" t="n">
        <v>0.034</v>
      </c>
      <c r="BU68" s="0" t="n">
        <v>0.034</v>
      </c>
      <c r="BV68" s="0" t="n">
        <v>0.03</v>
      </c>
    </row>
    <row r="69" customFormat="false" ht="12.75" hidden="false" customHeight="false" outlineLevel="0" collapsed="false">
      <c r="A69" s="320" t="e">
        <f aca="false">#REF!-B69</f>
        <v>#REF!</v>
      </c>
      <c r="B69" s="320" t="n">
        <v>3.137</v>
      </c>
      <c r="C69" s="327" t="n">
        <f aca="false">EOMONTH(C68,0)+1</f>
        <v>39203</v>
      </c>
      <c r="D69" s="0" t="n">
        <f aca="false">D57+0.05</f>
        <v>3.184</v>
      </c>
      <c r="E69" s="320" t="n">
        <v>0.24</v>
      </c>
      <c r="F69" s="318" t="n">
        <v>0.0519188326487345</v>
      </c>
      <c r="G69" s="318" t="n">
        <v>-0.13</v>
      </c>
      <c r="H69" s="318" t="n">
        <v>-0.15</v>
      </c>
      <c r="I69" s="330" t="n">
        <v>-0.09</v>
      </c>
      <c r="J69" s="330" t="n">
        <v>-0.13</v>
      </c>
      <c r="K69" s="318" t="n">
        <v>-0.09</v>
      </c>
      <c r="L69" s="318" t="n">
        <v>-0.055</v>
      </c>
      <c r="M69" s="318" t="n">
        <v>-0.075</v>
      </c>
      <c r="N69" s="318" t="n">
        <v>-0.12</v>
      </c>
      <c r="O69" s="318" t="n">
        <v>-0.12</v>
      </c>
      <c r="P69" s="318" t="n">
        <v>-0.13</v>
      </c>
      <c r="Q69" s="318" t="n">
        <v>-0.08</v>
      </c>
      <c r="R69" s="318" t="n">
        <v>-0.065</v>
      </c>
      <c r="S69" s="318" t="n">
        <v>0.125</v>
      </c>
      <c r="T69" s="318" t="n">
        <v>0.155</v>
      </c>
      <c r="U69" s="318" t="n">
        <v>0.04</v>
      </c>
      <c r="V69" s="318" t="n">
        <v>0.5</v>
      </c>
      <c r="W69" s="318" t="n">
        <v>0.145</v>
      </c>
      <c r="X69" s="318" t="n">
        <v>0.195</v>
      </c>
      <c r="Y69" s="318" t="n">
        <v>-0.0235</v>
      </c>
      <c r="Z69" s="318" t="n">
        <v>-0.05</v>
      </c>
      <c r="AA69" s="318" t="n">
        <v>0.012</v>
      </c>
      <c r="AB69" s="318" t="n">
        <v>-0.008</v>
      </c>
      <c r="AC69" s="318" t="n">
        <v>0.0025</v>
      </c>
      <c r="AD69" s="318" t="n">
        <v>-0.0225</v>
      </c>
      <c r="AE69" s="318" t="n">
        <v>-0.0725</v>
      </c>
      <c r="AF69" s="318" t="n">
        <v>-0.063</v>
      </c>
      <c r="AG69" s="318" t="n">
        <v>-0.0855</v>
      </c>
      <c r="AH69" s="318" t="n">
        <v>-0.0185</v>
      </c>
      <c r="AI69" s="318" t="n">
        <v>-0.072</v>
      </c>
      <c r="AJ69" s="318" t="n">
        <v>-0.095</v>
      </c>
      <c r="AK69" s="318" t="n">
        <v>-0.017</v>
      </c>
      <c r="AL69" s="318" t="n">
        <v>0.023</v>
      </c>
      <c r="AM69" s="318" t="n">
        <v>0.38</v>
      </c>
      <c r="AN69" s="318" t="n">
        <v>0.02</v>
      </c>
      <c r="AO69" s="318" t="n">
        <v>-0.47</v>
      </c>
      <c r="AP69" s="318" t="n">
        <v>-0.07</v>
      </c>
      <c r="AQ69" s="318" t="n">
        <v>-0.195</v>
      </c>
      <c r="AR69" s="318" t="n">
        <v>-0.25</v>
      </c>
      <c r="AS69" s="318" t="n">
        <v>-0.39</v>
      </c>
      <c r="AT69" s="318" t="n">
        <v>-0.47</v>
      </c>
      <c r="AU69" s="318" t="n">
        <v>0.26</v>
      </c>
      <c r="AV69" s="318" t="n">
        <v>-0.47</v>
      </c>
      <c r="AW69" s="318" t="n">
        <v>-0.214</v>
      </c>
      <c r="AX69" s="318" t="n">
        <v>-0.06</v>
      </c>
      <c r="AY69" s="318" t="n">
        <v>-0.154</v>
      </c>
      <c r="AZ69" s="318" t="n">
        <v>-0.055</v>
      </c>
      <c r="BA69" s="318" t="n">
        <v>-0.1315</v>
      </c>
      <c r="BB69" s="318" t="n">
        <v>-0.0185</v>
      </c>
      <c r="BC69" s="318" t="n">
        <v>-0.06</v>
      </c>
      <c r="BD69" s="318" t="n">
        <v>-0.01</v>
      </c>
      <c r="BE69" s="318" t="n">
        <v>-0.0725</v>
      </c>
      <c r="BF69" s="318" t="n">
        <v>0.06</v>
      </c>
      <c r="BG69" s="318" t="n">
        <v>0.155</v>
      </c>
      <c r="BH69" s="318" t="n">
        <v>0.155</v>
      </c>
      <c r="BI69" s="318" t="n">
        <v>0.125</v>
      </c>
      <c r="BJ69" s="318" t="n">
        <v>0.36</v>
      </c>
      <c r="BK69" s="318" t="n">
        <v>0.0025</v>
      </c>
      <c r="BL69" s="318" t="n">
        <v>-0.015</v>
      </c>
      <c r="BM69" s="318" t="n">
        <v>0.005</v>
      </c>
      <c r="BN69" s="318" t="n">
        <v>-0.01</v>
      </c>
      <c r="BO69" s="318" t="n">
        <v>0.02</v>
      </c>
      <c r="BP69" s="318" t="n">
        <v>0.005</v>
      </c>
      <c r="BQ69" s="318" t="n">
        <v>0.0025</v>
      </c>
      <c r="BR69" s="318" t="n">
        <v>0.02</v>
      </c>
      <c r="BS69" s="0" t="n">
        <v>0.005</v>
      </c>
      <c r="BT69" s="0" t="n">
        <v>0.034</v>
      </c>
      <c r="BU69" s="0" t="n">
        <v>0.034</v>
      </c>
      <c r="BV69" s="0" t="n">
        <v>0.03</v>
      </c>
    </row>
    <row r="70" customFormat="false" ht="12.75" hidden="false" customHeight="false" outlineLevel="0" collapsed="false">
      <c r="A70" s="320" t="e">
        <f aca="false">#REF!-B70</f>
        <v>#REF!</v>
      </c>
      <c r="B70" s="320" t="n">
        <v>3.239</v>
      </c>
      <c r="C70" s="327" t="n">
        <f aca="false">EOMONTH(C69,0)+1</f>
        <v>39234</v>
      </c>
      <c r="D70" s="0" t="n">
        <f aca="false">D58+0.05</f>
        <v>3.224</v>
      </c>
      <c r="E70" s="320" t="n">
        <v>0.24</v>
      </c>
      <c r="F70" s="318" t="n">
        <v>0.0520944910076597</v>
      </c>
      <c r="G70" s="318" t="n">
        <v>-0.13</v>
      </c>
      <c r="H70" s="318" t="n">
        <v>-0.15</v>
      </c>
      <c r="I70" s="330" t="n">
        <v>-0.09</v>
      </c>
      <c r="J70" s="330" t="n">
        <v>-0.13</v>
      </c>
      <c r="K70" s="318" t="n">
        <v>-0.09</v>
      </c>
      <c r="L70" s="318" t="n">
        <v>-0.055</v>
      </c>
      <c r="M70" s="318" t="n">
        <v>-0.075</v>
      </c>
      <c r="N70" s="318" t="n">
        <v>-0.12</v>
      </c>
      <c r="O70" s="318" t="n">
        <v>-0.12</v>
      </c>
      <c r="P70" s="318" t="n">
        <v>-0.13</v>
      </c>
      <c r="Q70" s="318" t="n">
        <v>-0.08</v>
      </c>
      <c r="R70" s="318" t="n">
        <v>-0.065</v>
      </c>
      <c r="S70" s="318" t="n">
        <v>0.125</v>
      </c>
      <c r="T70" s="318" t="n">
        <v>0.155</v>
      </c>
      <c r="U70" s="318" t="n">
        <v>0.04</v>
      </c>
      <c r="V70" s="318" t="n">
        <v>0.5</v>
      </c>
      <c r="W70" s="318" t="n">
        <v>0.125</v>
      </c>
      <c r="X70" s="318" t="n">
        <v>0.135</v>
      </c>
      <c r="Y70" s="318" t="n">
        <v>-0.0235</v>
      </c>
      <c r="Z70" s="318" t="n">
        <v>-0.05</v>
      </c>
      <c r="AA70" s="318" t="n">
        <v>0.0145</v>
      </c>
      <c r="AB70" s="318" t="n">
        <v>-0.0055</v>
      </c>
      <c r="AC70" s="318" t="n">
        <v>0.0025</v>
      </c>
      <c r="AD70" s="318" t="n">
        <v>-0.0225</v>
      </c>
      <c r="AE70" s="318" t="n">
        <v>-0.0725</v>
      </c>
      <c r="AF70" s="318" t="n">
        <v>-0.063</v>
      </c>
      <c r="AG70" s="318" t="n">
        <v>-0.0855</v>
      </c>
      <c r="AH70" s="318" t="n">
        <v>-0.0185</v>
      </c>
      <c r="AI70" s="318" t="n">
        <v>-0.072</v>
      </c>
      <c r="AJ70" s="318" t="n">
        <v>-0.095</v>
      </c>
      <c r="AK70" s="318" t="n">
        <v>-0.017</v>
      </c>
      <c r="AL70" s="318" t="n">
        <v>0.023</v>
      </c>
      <c r="AM70" s="318" t="n">
        <v>0.33</v>
      </c>
      <c r="AN70" s="318" t="n">
        <v>0.02</v>
      </c>
      <c r="AO70" s="318" t="n">
        <v>-0.47</v>
      </c>
      <c r="AP70" s="318" t="n">
        <v>-0.07</v>
      </c>
      <c r="AQ70" s="318" t="n">
        <v>-0.195</v>
      </c>
      <c r="AR70" s="318" t="n">
        <v>-0.25</v>
      </c>
      <c r="AS70" s="318" t="n">
        <v>-0.39</v>
      </c>
      <c r="AT70" s="318" t="n">
        <v>-0.47</v>
      </c>
      <c r="AU70" s="318" t="n">
        <v>0.26</v>
      </c>
      <c r="AV70" s="318" t="n">
        <v>-0.47</v>
      </c>
      <c r="AW70" s="318" t="n">
        <v>-0.1915</v>
      </c>
      <c r="AX70" s="318" t="n">
        <v>-0.06</v>
      </c>
      <c r="AY70" s="318" t="n">
        <v>-0.1315</v>
      </c>
      <c r="AZ70" s="318" t="n">
        <v>-0.055</v>
      </c>
      <c r="BA70" s="318" t="n">
        <v>-0.124</v>
      </c>
      <c r="BB70" s="318" t="n">
        <v>-0.0185</v>
      </c>
      <c r="BC70" s="318" t="n">
        <v>-0.06</v>
      </c>
      <c r="BD70" s="318" t="n">
        <v>-0.01</v>
      </c>
      <c r="BE70" s="318" t="n">
        <v>-0.0725</v>
      </c>
      <c r="BF70" s="318" t="n">
        <v>0.06</v>
      </c>
      <c r="BG70" s="318" t="n">
        <v>0.155</v>
      </c>
      <c r="BH70" s="318" t="n">
        <v>0.155</v>
      </c>
      <c r="BI70" s="318" t="n">
        <v>0.125</v>
      </c>
      <c r="BJ70" s="318" t="n">
        <v>0.325</v>
      </c>
      <c r="BK70" s="318" t="n">
        <v>0.0025</v>
      </c>
      <c r="BL70" s="318" t="n">
        <v>-0.015</v>
      </c>
      <c r="BM70" s="318" t="n">
        <v>0.005</v>
      </c>
      <c r="BN70" s="318" t="n">
        <v>-0.01</v>
      </c>
      <c r="BO70" s="318" t="n">
        <v>0.02</v>
      </c>
      <c r="BP70" s="318" t="n">
        <v>0.005</v>
      </c>
      <c r="BQ70" s="318" t="n">
        <v>0.0025</v>
      </c>
      <c r="BR70" s="318" t="n">
        <v>0.02</v>
      </c>
      <c r="BS70" s="0" t="n">
        <v>0.005</v>
      </c>
      <c r="BT70" s="0" t="n">
        <v>0.034</v>
      </c>
      <c r="BU70" s="0" t="n">
        <v>0.034</v>
      </c>
      <c r="BV70" s="0" t="n">
        <v>0.03</v>
      </c>
    </row>
    <row r="71" customFormat="false" ht="12.75" hidden="false" customHeight="false" outlineLevel="0" collapsed="false">
      <c r="A71" s="320" t="e">
        <f aca="false">#REF!-B71</f>
        <v>#REF!</v>
      </c>
      <c r="B71" s="320" t="n">
        <v>3.342</v>
      </c>
      <c r="C71" s="327" t="n">
        <f aca="false">EOMONTH(C70,0)+1</f>
        <v>39264</v>
      </c>
      <c r="D71" s="0" t="n">
        <f aca="false">D59+0.05</f>
        <v>3.264</v>
      </c>
      <c r="E71" s="320" t="n">
        <v>0.24</v>
      </c>
      <c r="F71" s="318" t="n">
        <v>0.0522760046560284</v>
      </c>
      <c r="G71" s="318" t="n">
        <v>-0.13</v>
      </c>
      <c r="H71" s="318" t="n">
        <v>-0.15</v>
      </c>
      <c r="I71" s="330" t="n">
        <v>-0.09</v>
      </c>
      <c r="J71" s="330" t="n">
        <v>-0.13</v>
      </c>
      <c r="K71" s="318" t="n">
        <v>-0.09</v>
      </c>
      <c r="L71" s="318" t="n">
        <v>-0.055</v>
      </c>
      <c r="M71" s="318" t="n">
        <v>-0.075</v>
      </c>
      <c r="N71" s="318" t="n">
        <v>-0.12</v>
      </c>
      <c r="O71" s="318" t="n">
        <v>-0.12</v>
      </c>
      <c r="P71" s="318" t="n">
        <v>-0.13</v>
      </c>
      <c r="Q71" s="318" t="n">
        <v>-0.08</v>
      </c>
      <c r="R71" s="318" t="n">
        <v>-0.065</v>
      </c>
      <c r="S71" s="318" t="n">
        <v>0.125</v>
      </c>
      <c r="T71" s="318" t="n">
        <v>0.155</v>
      </c>
      <c r="U71" s="318" t="n">
        <v>0.04</v>
      </c>
      <c r="V71" s="318" t="n">
        <v>0.5</v>
      </c>
      <c r="W71" s="318" t="n">
        <v>0.145</v>
      </c>
      <c r="X71" s="318" t="n">
        <v>0.165</v>
      </c>
      <c r="Y71" s="318" t="n">
        <v>-0.0235</v>
      </c>
      <c r="Z71" s="318" t="n">
        <v>-0.0475</v>
      </c>
      <c r="AA71" s="318" t="n">
        <v>0.0145</v>
      </c>
      <c r="AB71" s="318" t="n">
        <v>-0.0055</v>
      </c>
      <c r="AC71" s="318" t="n">
        <v>0.0025</v>
      </c>
      <c r="AD71" s="318" t="n">
        <v>-0.0225</v>
      </c>
      <c r="AE71" s="318" t="n">
        <v>-0.0725</v>
      </c>
      <c r="AF71" s="318" t="n">
        <v>-0.063</v>
      </c>
      <c r="AG71" s="318" t="n">
        <v>-0.0855</v>
      </c>
      <c r="AH71" s="318" t="n">
        <v>-0.0185</v>
      </c>
      <c r="AI71" s="318" t="n">
        <v>-0.072</v>
      </c>
      <c r="AJ71" s="318" t="n">
        <v>-0.095</v>
      </c>
      <c r="AK71" s="318" t="n">
        <v>-0.017</v>
      </c>
      <c r="AL71" s="318" t="n">
        <v>0.023</v>
      </c>
      <c r="AM71" s="318" t="n">
        <v>0.37</v>
      </c>
      <c r="AN71" s="318" t="n">
        <v>0.025</v>
      </c>
      <c r="AO71" s="318" t="n">
        <v>-0.47</v>
      </c>
      <c r="AP71" s="318" t="n">
        <v>-0.07</v>
      </c>
      <c r="AQ71" s="318" t="n">
        <v>-0.195</v>
      </c>
      <c r="AR71" s="318" t="n">
        <v>-0.25</v>
      </c>
      <c r="AS71" s="318" t="n">
        <v>-0.39</v>
      </c>
      <c r="AT71" s="318" t="n">
        <v>-0.47</v>
      </c>
      <c r="AU71" s="318" t="n">
        <v>0.26</v>
      </c>
      <c r="AV71" s="318" t="n">
        <v>-0.47</v>
      </c>
      <c r="AW71" s="318" t="n">
        <v>-0.139</v>
      </c>
      <c r="AX71" s="318" t="n">
        <v>-0.06</v>
      </c>
      <c r="AY71" s="318" t="n">
        <v>-0.079</v>
      </c>
      <c r="AZ71" s="318" t="n">
        <v>-0.055</v>
      </c>
      <c r="BA71" s="318" t="n">
        <v>-0.0815</v>
      </c>
      <c r="BB71" s="318" t="n">
        <v>-0.0185</v>
      </c>
      <c r="BC71" s="318" t="n">
        <v>-0.06</v>
      </c>
      <c r="BD71" s="318" t="n">
        <v>-0.005</v>
      </c>
      <c r="BE71" s="318" t="n">
        <v>-0.0725</v>
      </c>
      <c r="BF71" s="318" t="n">
        <v>0.06</v>
      </c>
      <c r="BG71" s="318" t="n">
        <v>0.155</v>
      </c>
      <c r="BH71" s="318" t="n">
        <v>0.155</v>
      </c>
      <c r="BI71" s="318" t="n">
        <v>0.125</v>
      </c>
      <c r="BJ71" s="318" t="n">
        <v>0.335</v>
      </c>
      <c r="BK71" s="318" t="n">
        <v>0.0025</v>
      </c>
      <c r="BL71" s="318" t="n">
        <v>-0.015</v>
      </c>
      <c r="BM71" s="318" t="n">
        <v>0.005</v>
      </c>
      <c r="BN71" s="318" t="n">
        <v>-0.01</v>
      </c>
      <c r="BO71" s="318" t="n">
        <v>0.02</v>
      </c>
      <c r="BP71" s="318" t="n">
        <v>0.005</v>
      </c>
      <c r="BQ71" s="318" t="n">
        <v>0.0025</v>
      </c>
      <c r="BR71" s="318" t="n">
        <v>0.035</v>
      </c>
      <c r="BS71" s="0" t="n">
        <v>0.005</v>
      </c>
      <c r="BT71" s="0" t="n">
        <v>0.034</v>
      </c>
      <c r="BU71" s="0" t="n">
        <v>0.034</v>
      </c>
      <c r="BV71" s="0" t="n">
        <v>0.03</v>
      </c>
    </row>
    <row r="72" customFormat="false" ht="12.75" hidden="false" customHeight="false" outlineLevel="0" collapsed="false">
      <c r="A72" s="320" t="e">
        <f aca="false">#REF!-B72</f>
        <v>#REF!</v>
      </c>
      <c r="B72" s="320" t="n">
        <v>3.544</v>
      </c>
      <c r="C72" s="327" t="n">
        <f aca="false">EOMONTH(C71,0)+1</f>
        <v>39295</v>
      </c>
      <c r="D72" s="0" t="n">
        <f aca="false">D60+0.05</f>
        <v>3.314</v>
      </c>
      <c r="E72" s="320" t="n">
        <v>0.24</v>
      </c>
      <c r="F72" s="318" t="n">
        <v>0.0524516630358791</v>
      </c>
      <c r="G72" s="318" t="n">
        <v>-0.13</v>
      </c>
      <c r="H72" s="318" t="n">
        <v>-0.15</v>
      </c>
      <c r="I72" s="330" t="n">
        <v>-0.09</v>
      </c>
      <c r="J72" s="330" t="n">
        <v>-0.13</v>
      </c>
      <c r="K72" s="318" t="n">
        <v>-0.09</v>
      </c>
      <c r="L72" s="318" t="n">
        <v>-0.055</v>
      </c>
      <c r="M72" s="318" t="n">
        <v>-0.075</v>
      </c>
      <c r="N72" s="318" t="n">
        <v>-0.12</v>
      </c>
      <c r="O72" s="318" t="n">
        <v>-0.12</v>
      </c>
      <c r="P72" s="318" t="n">
        <v>-0.13</v>
      </c>
      <c r="Q72" s="318" t="n">
        <v>-0.08</v>
      </c>
      <c r="R72" s="318" t="n">
        <v>-0.065</v>
      </c>
      <c r="S72" s="318" t="n">
        <v>0.125</v>
      </c>
      <c r="T72" s="318" t="n">
        <v>0.155</v>
      </c>
      <c r="U72" s="318" t="n">
        <v>0.04</v>
      </c>
      <c r="V72" s="318" t="n">
        <v>0.5</v>
      </c>
      <c r="W72" s="318" t="n">
        <v>0.15</v>
      </c>
      <c r="X72" s="318" t="n">
        <v>0.205</v>
      </c>
      <c r="Y72" s="318" t="n">
        <v>-0.0235</v>
      </c>
      <c r="Z72" s="318" t="n">
        <v>-0.0475</v>
      </c>
      <c r="AA72" s="318" t="n">
        <v>0.0145</v>
      </c>
      <c r="AB72" s="318" t="n">
        <v>-0.0055</v>
      </c>
      <c r="AC72" s="318" t="n">
        <v>0.0025</v>
      </c>
      <c r="AD72" s="318" t="n">
        <v>-0.0225</v>
      </c>
      <c r="AE72" s="318" t="n">
        <v>-0.0725</v>
      </c>
      <c r="AF72" s="318" t="n">
        <v>-0.063</v>
      </c>
      <c r="AG72" s="318" t="n">
        <v>-0.0855</v>
      </c>
      <c r="AH72" s="318" t="n">
        <v>-0.0185</v>
      </c>
      <c r="AI72" s="318" t="n">
        <v>-0.072</v>
      </c>
      <c r="AJ72" s="318" t="n">
        <v>-0.095</v>
      </c>
      <c r="AK72" s="318" t="n">
        <v>-0.017</v>
      </c>
      <c r="AL72" s="318" t="n">
        <v>0.023</v>
      </c>
      <c r="AM72" s="318" t="n">
        <v>0.41</v>
      </c>
      <c r="AN72" s="318" t="n">
        <v>0.0275</v>
      </c>
      <c r="AO72" s="318" t="n">
        <v>-0.47</v>
      </c>
      <c r="AP72" s="318" t="n">
        <v>-0.07</v>
      </c>
      <c r="AQ72" s="318" t="n">
        <v>-0.195</v>
      </c>
      <c r="AR72" s="318" t="n">
        <v>-0.25</v>
      </c>
      <c r="AS72" s="318" t="n">
        <v>-0.39</v>
      </c>
      <c r="AT72" s="318" t="n">
        <v>-0.47</v>
      </c>
      <c r="AU72" s="318" t="n">
        <v>0.26</v>
      </c>
      <c r="AV72" s="318" t="n">
        <v>-0.47</v>
      </c>
      <c r="AW72" s="318" t="n">
        <v>-0.149</v>
      </c>
      <c r="AX72" s="318" t="n">
        <v>-0.06</v>
      </c>
      <c r="AY72" s="318" t="n">
        <v>-0.089</v>
      </c>
      <c r="AZ72" s="318" t="n">
        <v>-0.055</v>
      </c>
      <c r="BA72" s="318" t="n">
        <v>-0.079</v>
      </c>
      <c r="BB72" s="318" t="n">
        <v>-0.0185</v>
      </c>
      <c r="BC72" s="318" t="n">
        <v>-0.06</v>
      </c>
      <c r="BD72" s="318" t="n">
        <v>-0.0025</v>
      </c>
      <c r="BE72" s="318" t="n">
        <v>-0.0725</v>
      </c>
      <c r="BF72" s="318" t="n">
        <v>0.06</v>
      </c>
      <c r="BG72" s="318" t="n">
        <v>0.155</v>
      </c>
      <c r="BH72" s="318" t="n">
        <v>0.155</v>
      </c>
      <c r="BI72" s="318" t="n">
        <v>0.125</v>
      </c>
      <c r="BJ72" s="318" t="n">
        <v>0.35</v>
      </c>
      <c r="BK72" s="318" t="n">
        <v>0.0025</v>
      </c>
      <c r="BL72" s="318" t="n">
        <v>-0.01</v>
      </c>
      <c r="BM72" s="318" t="n">
        <v>0.005</v>
      </c>
      <c r="BN72" s="318" t="n">
        <v>-0.01</v>
      </c>
      <c r="BO72" s="318" t="n">
        <v>0.02</v>
      </c>
      <c r="BP72" s="318" t="n">
        <v>0.005</v>
      </c>
      <c r="BQ72" s="318" t="n">
        <v>0.0025</v>
      </c>
      <c r="BR72" s="318" t="n">
        <v>0.035</v>
      </c>
      <c r="BS72" s="0" t="n">
        <v>0.005</v>
      </c>
      <c r="BT72" s="0" t="n">
        <v>0.034</v>
      </c>
      <c r="BU72" s="0" t="n">
        <v>0.034</v>
      </c>
      <c r="BV72" s="0" t="n">
        <v>0.03</v>
      </c>
    </row>
    <row r="73" customFormat="false" ht="12.75" hidden="false" customHeight="false" outlineLevel="0" collapsed="false">
      <c r="A73" s="320" t="e">
        <f aca="false">#REF!-B73</f>
        <v>#REF!</v>
      </c>
      <c r="B73" s="320" t="n">
        <v>3.429</v>
      </c>
      <c r="C73" s="327" t="n">
        <f aca="false">EOMONTH(C72,0)+1</f>
        <v>39326</v>
      </c>
      <c r="D73" s="0" t="n">
        <f aca="false">D61+0.05</f>
        <v>3.299</v>
      </c>
      <c r="E73" s="320" t="n">
        <v>0.24</v>
      </c>
      <c r="F73" s="318" t="n">
        <v>0.0526331767058688</v>
      </c>
      <c r="G73" s="318" t="n">
        <v>-0.13</v>
      </c>
      <c r="H73" s="318" t="n">
        <v>-0.15</v>
      </c>
      <c r="I73" s="330" t="n">
        <v>-0.09</v>
      </c>
      <c r="J73" s="330" t="n">
        <v>-0.13</v>
      </c>
      <c r="K73" s="318" t="n">
        <v>-0.09</v>
      </c>
      <c r="L73" s="318" t="n">
        <v>-0.055</v>
      </c>
      <c r="M73" s="318" t="n">
        <v>-0.075</v>
      </c>
      <c r="N73" s="318" t="n">
        <v>-0.12</v>
      </c>
      <c r="O73" s="318" t="n">
        <v>-0.12</v>
      </c>
      <c r="P73" s="318" t="n">
        <v>-0.13</v>
      </c>
      <c r="Q73" s="318" t="n">
        <v>-0.08</v>
      </c>
      <c r="R73" s="318" t="n">
        <v>-0.065</v>
      </c>
      <c r="S73" s="318" t="n">
        <v>0.125</v>
      </c>
      <c r="T73" s="318" t="n">
        <v>0.155</v>
      </c>
      <c r="U73" s="318" t="n">
        <v>0.04</v>
      </c>
      <c r="V73" s="318" t="n">
        <v>0.5</v>
      </c>
      <c r="W73" s="318" t="n">
        <v>0.15</v>
      </c>
      <c r="X73" s="318" t="n">
        <v>0.205</v>
      </c>
      <c r="Y73" s="318" t="n">
        <v>-0.0235</v>
      </c>
      <c r="Z73" s="318" t="n">
        <v>-0.0475</v>
      </c>
      <c r="AA73" s="318" t="n">
        <v>0.0095</v>
      </c>
      <c r="AB73" s="318" t="n">
        <v>-0.0105</v>
      </c>
      <c r="AC73" s="318" t="n">
        <v>0.0025</v>
      </c>
      <c r="AD73" s="318" t="n">
        <v>-0.0225</v>
      </c>
      <c r="AE73" s="318" t="n">
        <v>-0.0725</v>
      </c>
      <c r="AF73" s="318" t="n">
        <v>-0.063</v>
      </c>
      <c r="AG73" s="318" t="n">
        <v>-0.0855</v>
      </c>
      <c r="AH73" s="318" t="n">
        <v>-0.0185</v>
      </c>
      <c r="AI73" s="318" t="n">
        <v>-0.072</v>
      </c>
      <c r="AJ73" s="318" t="n">
        <v>-0.095</v>
      </c>
      <c r="AK73" s="318" t="n">
        <v>-0.017</v>
      </c>
      <c r="AL73" s="318" t="n">
        <v>0.023</v>
      </c>
      <c r="AM73" s="318" t="n">
        <v>0.41</v>
      </c>
      <c r="AN73" s="318" t="n">
        <v>0.03</v>
      </c>
      <c r="AO73" s="318" t="n">
        <v>-0.47</v>
      </c>
      <c r="AP73" s="318" t="n">
        <v>-0.07</v>
      </c>
      <c r="AQ73" s="318" t="n">
        <v>-0.195</v>
      </c>
      <c r="AR73" s="318" t="n">
        <v>-0.25</v>
      </c>
      <c r="AS73" s="318" t="n">
        <v>-0.39</v>
      </c>
      <c r="AT73" s="318" t="n">
        <v>-0.47</v>
      </c>
      <c r="AU73" s="318" t="n">
        <v>0.26</v>
      </c>
      <c r="AV73" s="318" t="n">
        <v>-0.47</v>
      </c>
      <c r="AW73" s="318" t="n">
        <v>-0.144</v>
      </c>
      <c r="AX73" s="318" t="n">
        <v>-0.06</v>
      </c>
      <c r="AY73" s="318" t="n">
        <v>-0.084</v>
      </c>
      <c r="AZ73" s="318" t="n">
        <v>-0.055</v>
      </c>
      <c r="BA73" s="318" t="n">
        <v>-0.0765</v>
      </c>
      <c r="BB73" s="318" t="n">
        <v>-0.0185</v>
      </c>
      <c r="BC73" s="318" t="n">
        <v>-0.06</v>
      </c>
      <c r="BD73" s="318" t="n">
        <v>0</v>
      </c>
      <c r="BE73" s="318" t="n">
        <v>-0.0725</v>
      </c>
      <c r="BF73" s="318" t="n">
        <v>0.06</v>
      </c>
      <c r="BG73" s="318" t="n">
        <v>0.155</v>
      </c>
      <c r="BH73" s="318" t="n">
        <v>0.155</v>
      </c>
      <c r="BI73" s="318" t="n">
        <v>0.125</v>
      </c>
      <c r="BJ73" s="318" t="n">
        <v>0.35</v>
      </c>
      <c r="BK73" s="318" t="n">
        <v>0.0025</v>
      </c>
      <c r="BL73" s="318" t="n">
        <v>-0.01</v>
      </c>
      <c r="BM73" s="318" t="n">
        <v>0.005</v>
      </c>
      <c r="BN73" s="318" t="n">
        <v>-0.01</v>
      </c>
      <c r="BO73" s="318" t="n">
        <v>0.02</v>
      </c>
      <c r="BP73" s="318" t="n">
        <v>0.005</v>
      </c>
      <c r="BQ73" s="318" t="n">
        <v>0.0025</v>
      </c>
      <c r="BR73" s="318" t="n">
        <v>0.01</v>
      </c>
      <c r="BS73" s="0" t="n">
        <v>0.005</v>
      </c>
      <c r="BT73" s="0" t="n">
        <v>0.034</v>
      </c>
      <c r="BU73" s="0" t="n">
        <v>0.034</v>
      </c>
      <c r="BV73" s="0" t="n">
        <v>0.03</v>
      </c>
    </row>
    <row r="74" customFormat="false" ht="12.75" hidden="false" customHeight="false" outlineLevel="0" collapsed="false">
      <c r="A74" s="320" t="e">
        <f aca="false">#REF!-B74</f>
        <v>#REF!</v>
      </c>
      <c r="B74" s="320" t="n">
        <v>3.28</v>
      </c>
      <c r="C74" s="327" t="n">
        <f aca="false">EOMONTH(C73,0)+1</f>
        <v>39356</v>
      </c>
      <c r="D74" s="0" t="n">
        <f aca="false">D62+0.05</f>
        <v>3.314</v>
      </c>
      <c r="E74" s="320" t="n">
        <v>0.24</v>
      </c>
      <c r="F74" s="318" t="n">
        <v>0.0528146903868447</v>
      </c>
      <c r="G74" s="318" t="n">
        <v>-0.13</v>
      </c>
      <c r="H74" s="318" t="n">
        <v>-0.15</v>
      </c>
      <c r="I74" s="330" t="n">
        <v>-0.09</v>
      </c>
      <c r="J74" s="330" t="n">
        <v>-0.13</v>
      </c>
      <c r="K74" s="318" t="n">
        <v>-0.09</v>
      </c>
      <c r="L74" s="318" t="n">
        <v>-0.055</v>
      </c>
      <c r="M74" s="318" t="n">
        <v>-0.075</v>
      </c>
      <c r="N74" s="318" t="n">
        <v>-0.12</v>
      </c>
      <c r="O74" s="318" t="n">
        <v>-0.12</v>
      </c>
      <c r="P74" s="318" t="n">
        <v>-0.13</v>
      </c>
      <c r="Q74" s="318" t="n">
        <v>-0.08</v>
      </c>
      <c r="R74" s="318" t="n">
        <v>-0.065</v>
      </c>
      <c r="S74" s="318" t="n">
        <v>0.125</v>
      </c>
      <c r="T74" s="318" t="n">
        <v>0.155</v>
      </c>
      <c r="U74" s="318" t="n">
        <v>0.04</v>
      </c>
      <c r="V74" s="318" t="n">
        <v>0.5</v>
      </c>
      <c r="W74" s="318" t="n">
        <v>0.125</v>
      </c>
      <c r="X74" s="318" t="n">
        <v>0.145</v>
      </c>
      <c r="Y74" s="318" t="n">
        <v>-0.0235</v>
      </c>
      <c r="Z74" s="318" t="n">
        <v>-0.0525</v>
      </c>
      <c r="AA74" s="318" t="n">
        <v>0.0095</v>
      </c>
      <c r="AB74" s="318" t="n">
        <v>-0.0105</v>
      </c>
      <c r="AC74" s="318" t="n">
        <v>0.0025</v>
      </c>
      <c r="AD74" s="318" t="n">
        <v>-0.0225</v>
      </c>
      <c r="AE74" s="318" t="n">
        <v>-0.0725</v>
      </c>
      <c r="AF74" s="318" t="n">
        <v>-0.063</v>
      </c>
      <c r="AG74" s="318" t="n">
        <v>-0.0855</v>
      </c>
      <c r="AH74" s="318" t="n">
        <v>-0.0185</v>
      </c>
      <c r="AI74" s="318" t="n">
        <v>-0.072</v>
      </c>
      <c r="AJ74" s="318" t="n">
        <v>-0.095</v>
      </c>
      <c r="AK74" s="318" t="n">
        <v>-0.017</v>
      </c>
      <c r="AL74" s="318" t="n">
        <v>0.023</v>
      </c>
      <c r="AM74" s="318" t="n">
        <v>0.36</v>
      </c>
      <c r="AN74" s="318" t="n">
        <v>0.0225</v>
      </c>
      <c r="AO74" s="318" t="n">
        <v>-0.47</v>
      </c>
      <c r="AP74" s="318" t="n">
        <v>-0.07</v>
      </c>
      <c r="AQ74" s="318" t="n">
        <v>-0.195</v>
      </c>
      <c r="AR74" s="318" t="n">
        <v>-0.25</v>
      </c>
      <c r="AS74" s="318" t="n">
        <v>-0.39</v>
      </c>
      <c r="AT74" s="318" t="n">
        <v>-0.47</v>
      </c>
      <c r="AU74" s="318" t="n">
        <v>0.26</v>
      </c>
      <c r="AV74" s="318" t="n">
        <v>-0.47</v>
      </c>
      <c r="AW74" s="318" t="n">
        <v>-0.154</v>
      </c>
      <c r="AX74" s="318" t="n">
        <v>-0.06</v>
      </c>
      <c r="AY74" s="318" t="n">
        <v>-0.094</v>
      </c>
      <c r="AZ74" s="318" t="n">
        <v>-0.055</v>
      </c>
      <c r="BA74" s="318" t="n">
        <v>-0.0815</v>
      </c>
      <c r="BB74" s="318" t="n">
        <v>-0.0185</v>
      </c>
      <c r="BC74" s="318" t="n">
        <v>-0.06</v>
      </c>
      <c r="BD74" s="318" t="n">
        <v>-0.0075</v>
      </c>
      <c r="BE74" s="318" t="n">
        <v>-0.0725</v>
      </c>
      <c r="BF74" s="318" t="n">
        <v>0.06</v>
      </c>
      <c r="BG74" s="318" t="n">
        <v>0.155</v>
      </c>
      <c r="BH74" s="318" t="n">
        <v>0.155</v>
      </c>
      <c r="BI74" s="318" t="n">
        <v>0.125</v>
      </c>
      <c r="BJ74" s="318" t="n">
        <v>0.315</v>
      </c>
      <c r="BK74" s="318" t="n">
        <v>0.0025</v>
      </c>
      <c r="BL74" s="318" t="n">
        <v>-0.01</v>
      </c>
      <c r="BM74" s="318" t="n">
        <v>0.005</v>
      </c>
      <c r="BN74" s="318" t="n">
        <v>-0.01</v>
      </c>
      <c r="BO74" s="318" t="n">
        <v>0.02</v>
      </c>
      <c r="BP74" s="318" t="n">
        <v>0.005</v>
      </c>
      <c r="BQ74" s="318" t="n">
        <v>0.0025</v>
      </c>
      <c r="BR74" s="318" t="n">
        <v>0.01</v>
      </c>
      <c r="BS74" s="0" t="n">
        <v>0.005</v>
      </c>
      <c r="BT74" s="0" t="n">
        <v>0.034</v>
      </c>
      <c r="BU74" s="0" t="n">
        <v>0.034</v>
      </c>
      <c r="BV74" s="0" t="n">
        <v>0.03</v>
      </c>
    </row>
    <row r="75" customFormat="false" ht="12.75" hidden="false" customHeight="false" outlineLevel="0" collapsed="false">
      <c r="A75" s="320" t="e">
        <f aca="false">#REF!-B75</f>
        <v>#REF!</v>
      </c>
      <c r="B75" s="320" t="n">
        <v>3.134</v>
      </c>
      <c r="C75" s="327" t="n">
        <f aca="false">EOMONTH(C74,0)+1</f>
        <v>39387</v>
      </c>
      <c r="D75" s="0" t="n">
        <f aca="false">D63+0.05</f>
        <v>3.459</v>
      </c>
      <c r="E75" s="320" t="n">
        <v>0.24</v>
      </c>
      <c r="F75" s="318" t="n">
        <v>0.0529903487982488</v>
      </c>
      <c r="G75" s="318" t="n">
        <v>-0.13</v>
      </c>
      <c r="H75" s="318" t="n">
        <v>-0.15</v>
      </c>
      <c r="I75" s="330" t="n">
        <v>-0.09</v>
      </c>
      <c r="J75" s="330" t="n">
        <v>-0.13</v>
      </c>
      <c r="K75" s="318" t="n">
        <v>-0.09</v>
      </c>
      <c r="L75" s="318" t="n">
        <v>-0.055</v>
      </c>
      <c r="M75" s="318" t="n">
        <v>-0.075</v>
      </c>
      <c r="N75" s="318" t="n">
        <v>-0.12</v>
      </c>
      <c r="O75" s="318" t="n">
        <v>-0.12</v>
      </c>
      <c r="P75" s="318" t="n">
        <v>-0.13</v>
      </c>
      <c r="Q75" s="318" t="n">
        <v>-0.08</v>
      </c>
      <c r="R75" s="318" t="n">
        <v>-0.065</v>
      </c>
      <c r="S75" s="318" t="n">
        <v>0.125</v>
      </c>
      <c r="T75" s="318" t="n">
        <v>0.155</v>
      </c>
      <c r="U75" s="318" t="n">
        <v>0.04</v>
      </c>
      <c r="V75" s="318" t="n">
        <v>0.5</v>
      </c>
      <c r="W75" s="318" t="n">
        <v>0.145</v>
      </c>
      <c r="X75" s="318" t="n">
        <v>0.175</v>
      </c>
      <c r="Y75" s="318" t="n">
        <v>-0.0235</v>
      </c>
      <c r="Z75" s="318" t="n">
        <v>-0.0525</v>
      </c>
      <c r="AA75" s="318" t="n">
        <v>0.0045</v>
      </c>
      <c r="AB75" s="318" t="n">
        <v>-0.0155</v>
      </c>
      <c r="AC75" s="318" t="n">
        <v>0.0025</v>
      </c>
      <c r="AD75" s="318" t="n">
        <v>-0.0225</v>
      </c>
      <c r="AE75" s="318" t="n">
        <v>-0.0725</v>
      </c>
      <c r="AF75" s="318" t="n">
        <v>-0.063</v>
      </c>
      <c r="AG75" s="318" t="n">
        <v>-0.0855</v>
      </c>
      <c r="AH75" s="318" t="n">
        <v>-0.0185</v>
      </c>
      <c r="AI75" s="318" t="n">
        <v>-0.072</v>
      </c>
      <c r="AJ75" s="318" t="n">
        <v>-0.095</v>
      </c>
      <c r="AK75" s="318" t="n">
        <v>-0.017</v>
      </c>
      <c r="AL75" s="318" t="n">
        <v>0.023</v>
      </c>
      <c r="AM75" s="318" t="n">
        <v>0.4</v>
      </c>
      <c r="AN75" s="318" t="n">
        <v>0.0125</v>
      </c>
      <c r="AO75" s="318" t="n">
        <v>-0.47</v>
      </c>
      <c r="AP75" s="318" t="n">
        <v>-0.07</v>
      </c>
      <c r="AQ75" s="318" t="n">
        <v>-0.195</v>
      </c>
      <c r="AR75" s="318" t="n">
        <v>-0.25</v>
      </c>
      <c r="AS75" s="318" t="n">
        <v>-0.39</v>
      </c>
      <c r="AT75" s="318" t="n">
        <v>-0.47</v>
      </c>
      <c r="AU75" s="318" t="n">
        <v>0.26</v>
      </c>
      <c r="AV75" s="318" t="n">
        <v>-0.47</v>
      </c>
      <c r="AW75" s="318" t="n">
        <v>-0.1415</v>
      </c>
      <c r="AX75" s="318" t="n">
        <v>-0.06</v>
      </c>
      <c r="AY75" s="318" t="n">
        <v>-0.0815</v>
      </c>
      <c r="AZ75" s="318" t="n">
        <v>-0.055</v>
      </c>
      <c r="BA75" s="318" t="n">
        <v>-0.084</v>
      </c>
      <c r="BB75" s="318" t="n">
        <v>-0.0185</v>
      </c>
      <c r="BC75" s="318" t="n">
        <v>-0.06</v>
      </c>
      <c r="BD75" s="318" t="n">
        <v>-0.0175</v>
      </c>
      <c r="BE75" s="318" t="n">
        <v>-0.0725</v>
      </c>
      <c r="BF75" s="318" t="n">
        <v>0.06</v>
      </c>
      <c r="BG75" s="318" t="n">
        <v>0.155</v>
      </c>
      <c r="BH75" s="318" t="n">
        <v>0.155</v>
      </c>
      <c r="BI75" s="318" t="n">
        <v>0.125</v>
      </c>
      <c r="BJ75" s="318" t="n">
        <v>0.36</v>
      </c>
      <c r="BK75" s="318" t="n">
        <v>0.0025</v>
      </c>
      <c r="BL75" s="318" t="n">
        <v>-0.015</v>
      </c>
      <c r="BM75" s="318" t="n">
        <v>0.005</v>
      </c>
      <c r="BN75" s="318" t="n">
        <v>-0.01</v>
      </c>
      <c r="BO75" s="318" t="n">
        <v>0.02</v>
      </c>
      <c r="BP75" s="318" t="n">
        <v>0.005</v>
      </c>
      <c r="BQ75" s="318" t="n">
        <v>0.0025</v>
      </c>
      <c r="BR75" s="318" t="n">
        <v>0.01</v>
      </c>
      <c r="BS75" s="0" t="n">
        <v>0.005</v>
      </c>
      <c r="BT75" s="0" t="n">
        <v>0.034</v>
      </c>
      <c r="BU75" s="0" t="n">
        <v>0.034</v>
      </c>
      <c r="BV75" s="0" t="n">
        <v>0.03</v>
      </c>
    </row>
    <row r="76" customFormat="false" ht="12.75" hidden="false" customHeight="false" outlineLevel="0" collapsed="false">
      <c r="A76" s="320" t="e">
        <f aca="false">#REF!-B76</f>
        <v>#REF!</v>
      </c>
      <c r="B76" s="320" t="n">
        <v>3.109</v>
      </c>
      <c r="C76" s="327" t="n">
        <f aca="false">EOMONTH(C75,0)+1</f>
        <v>39417</v>
      </c>
      <c r="D76" s="0" t="n">
        <f aca="false">D64+0.05</f>
        <v>3.594</v>
      </c>
      <c r="E76" s="320" t="n">
        <v>0.24</v>
      </c>
      <c r="F76" s="318" t="n">
        <v>0.0531718625008408</v>
      </c>
      <c r="G76" s="318" t="n">
        <v>-0.13</v>
      </c>
      <c r="H76" s="318" t="n">
        <v>-0.15</v>
      </c>
      <c r="I76" s="330" t="n">
        <v>-0.01</v>
      </c>
      <c r="J76" s="330" t="n">
        <v>-0.13</v>
      </c>
      <c r="K76" s="318" t="n">
        <v>0</v>
      </c>
      <c r="L76" s="318" t="n">
        <v>-0.055</v>
      </c>
      <c r="M76" s="318" t="n">
        <v>-0.09</v>
      </c>
      <c r="N76" s="318" t="n">
        <v>-0.12</v>
      </c>
      <c r="O76" s="318" t="n">
        <v>-0.12</v>
      </c>
      <c r="P76" s="318" t="n">
        <v>-0.13</v>
      </c>
      <c r="Q76" s="318" t="n">
        <v>-0.0925</v>
      </c>
      <c r="R76" s="318" t="n">
        <v>-0.065</v>
      </c>
      <c r="S76" s="318" t="n">
        <v>0.155</v>
      </c>
      <c r="T76" s="318" t="n">
        <v>0.205</v>
      </c>
      <c r="U76" s="318" t="n">
        <v>0.13</v>
      </c>
      <c r="V76" s="318" t="n">
        <v>0.5</v>
      </c>
      <c r="W76" s="318" t="n">
        <v>0.195</v>
      </c>
      <c r="X76" s="318" t="n">
        <v>0.21</v>
      </c>
      <c r="Y76" s="318" t="n">
        <v>-0.021</v>
      </c>
      <c r="Z76" s="318" t="n">
        <v>-0.035</v>
      </c>
      <c r="AA76" s="318" t="n">
        <v>0.0055</v>
      </c>
      <c r="AB76" s="318" t="n">
        <v>-0.0145</v>
      </c>
      <c r="AC76" s="318" t="n">
        <v>0.0025</v>
      </c>
      <c r="AD76" s="318" t="n">
        <v>-0.0225</v>
      </c>
      <c r="AE76" s="318" t="n">
        <v>-0.075</v>
      </c>
      <c r="AF76" s="318" t="n">
        <v>-0.0655</v>
      </c>
      <c r="AG76" s="318" t="n">
        <v>-0.088</v>
      </c>
      <c r="AH76" s="318" t="n">
        <v>-0.015</v>
      </c>
      <c r="AI76" s="318" t="n">
        <v>-0.065</v>
      </c>
      <c r="AJ76" s="318" t="n">
        <v>-0.12</v>
      </c>
      <c r="AK76" s="318" t="n">
        <v>-0.01</v>
      </c>
      <c r="AL76" s="318" t="n">
        <v>0.03</v>
      </c>
      <c r="AM76" s="318" t="n">
        <v>0.65</v>
      </c>
      <c r="AN76" s="318" t="n">
        <v>-0.0225</v>
      </c>
      <c r="AO76" s="318" t="n">
        <v>-0.34</v>
      </c>
      <c r="AP76" s="318" t="n">
        <v>-0.07</v>
      </c>
      <c r="AQ76" s="318" t="n">
        <v>-0.13</v>
      </c>
      <c r="AR76" s="318" t="n">
        <v>0.248</v>
      </c>
      <c r="AS76" s="318" t="n">
        <v>-0.26</v>
      </c>
      <c r="AT76" s="318" t="n">
        <v>0</v>
      </c>
      <c r="AU76" s="318" t="n">
        <v>0.24</v>
      </c>
      <c r="AV76" s="318" t="n">
        <v>-0.34</v>
      </c>
      <c r="AW76" s="318" t="n">
        <v>-0.149</v>
      </c>
      <c r="AX76" s="318" t="n">
        <v>-0.06</v>
      </c>
      <c r="AY76" s="318" t="n">
        <v>-0.089</v>
      </c>
      <c r="AZ76" s="318" t="n">
        <v>-0.055</v>
      </c>
      <c r="BA76" s="318" t="n">
        <v>-0.079</v>
      </c>
      <c r="BB76" s="318" t="n">
        <v>-0.02</v>
      </c>
      <c r="BC76" s="318" t="n">
        <v>-0.075</v>
      </c>
      <c r="BD76" s="318" t="n">
        <v>-0.0525</v>
      </c>
      <c r="BE76" s="318" t="n">
        <v>-0.075</v>
      </c>
      <c r="BF76" s="318" t="n">
        <v>0.15</v>
      </c>
      <c r="BG76" s="318" t="n">
        <v>0.205</v>
      </c>
      <c r="BH76" s="318" t="n">
        <v>0.205</v>
      </c>
      <c r="BI76" s="318" t="n">
        <v>0.155</v>
      </c>
      <c r="BJ76" s="318" t="n">
        <v>0.46</v>
      </c>
      <c r="BK76" s="318" t="n">
        <v>0.0025</v>
      </c>
      <c r="BL76" s="318" t="n">
        <v>-0.02</v>
      </c>
      <c r="BM76" s="318" t="n">
        <v>0.005</v>
      </c>
      <c r="BN76" s="318" t="n">
        <v>0</v>
      </c>
      <c r="BO76" s="318" t="n">
        <v>0</v>
      </c>
      <c r="BP76" s="318" t="n">
        <v>0.005</v>
      </c>
      <c r="BQ76" s="318" t="n">
        <v>0.005</v>
      </c>
      <c r="BR76" s="318" t="n">
        <v>0.055</v>
      </c>
      <c r="BS76" s="0" t="n">
        <v>0.02</v>
      </c>
      <c r="BT76" s="0" t="n">
        <v>0.036</v>
      </c>
      <c r="BU76" s="0" t="n">
        <v>0.036</v>
      </c>
      <c r="BV76" s="0" t="n">
        <v>0.03</v>
      </c>
    </row>
    <row r="77" customFormat="false" ht="12.75" hidden="false" customHeight="false" outlineLevel="0" collapsed="false">
      <c r="A77" s="320" t="e">
        <f aca="false">#REF!-B77</f>
        <v>#REF!</v>
      </c>
      <c r="B77" s="320" t="n">
        <v>3.092</v>
      </c>
      <c r="C77" s="327" t="n">
        <f aca="false">EOMONTH(C76,0)+1</f>
        <v>39448</v>
      </c>
      <c r="D77" s="0" t="n">
        <f aca="false">D65+0.05</f>
        <v>3.649</v>
      </c>
      <c r="E77" s="320" t="n">
        <v>0.24</v>
      </c>
      <c r="F77" s="318" t="n">
        <v>0.0533475209331611</v>
      </c>
      <c r="G77" s="318" t="n">
        <v>-0.1325</v>
      </c>
      <c r="H77" s="318" t="n">
        <v>-0.1525</v>
      </c>
      <c r="I77" s="330" t="n">
        <v>-0.005</v>
      </c>
      <c r="J77" s="330" t="n">
        <v>-0.13</v>
      </c>
      <c r="K77" s="318" t="n">
        <v>0.005</v>
      </c>
      <c r="L77" s="318" t="n">
        <v>-0.055</v>
      </c>
      <c r="M77" s="318" t="n">
        <v>-0.09</v>
      </c>
      <c r="N77" s="318" t="n">
        <v>-0.1225</v>
      </c>
      <c r="O77" s="318" t="n">
        <v>-0.1225</v>
      </c>
      <c r="P77" s="318" t="n">
        <v>-0.1325</v>
      </c>
      <c r="Q77" s="318" t="n">
        <v>-0.0925</v>
      </c>
      <c r="R77" s="318" t="n">
        <v>-0.065</v>
      </c>
      <c r="S77" s="318" t="n">
        <v>0.155</v>
      </c>
      <c r="T77" s="318" t="n">
        <v>0.205</v>
      </c>
      <c r="U77" s="318" t="n">
        <v>0.13</v>
      </c>
      <c r="V77" s="318" t="n">
        <v>0.5</v>
      </c>
      <c r="W77" s="318" t="n">
        <v>0.215</v>
      </c>
      <c r="X77" s="318" t="n">
        <v>0.29</v>
      </c>
      <c r="Y77" s="318" t="n">
        <v>-0.021</v>
      </c>
      <c r="Z77" s="318" t="n">
        <v>-0.035</v>
      </c>
      <c r="AA77" s="318" t="n">
        <v>0.0055</v>
      </c>
      <c r="AB77" s="318" t="n">
        <v>-0.0145</v>
      </c>
      <c r="AC77" s="318" t="n">
        <v>0.0025</v>
      </c>
      <c r="AD77" s="318" t="n">
        <v>-0.0225</v>
      </c>
      <c r="AE77" s="318" t="n">
        <v>-0.075</v>
      </c>
      <c r="AF77" s="318" t="n">
        <v>-0.0635</v>
      </c>
      <c r="AG77" s="318" t="n">
        <v>-0.086</v>
      </c>
      <c r="AH77" s="318" t="n">
        <v>-0.0125</v>
      </c>
      <c r="AI77" s="318" t="n">
        <v>-0.065</v>
      </c>
      <c r="AJ77" s="318" t="n">
        <v>-0.12</v>
      </c>
      <c r="AK77" s="318" t="n">
        <v>-0.01</v>
      </c>
      <c r="AL77" s="318" t="n">
        <v>0.03</v>
      </c>
      <c r="AM77" s="318" t="n">
        <v>0.98</v>
      </c>
      <c r="AN77" s="318" t="n">
        <v>-0.045</v>
      </c>
      <c r="AO77" s="318" t="n">
        <v>-0.34</v>
      </c>
      <c r="AP77" s="318" t="n">
        <v>-0.07</v>
      </c>
      <c r="AQ77" s="318" t="n">
        <v>-0.13</v>
      </c>
      <c r="AR77" s="318" t="n">
        <v>0.308</v>
      </c>
      <c r="AS77" s="318" t="n">
        <v>-0.26</v>
      </c>
      <c r="AT77" s="318" t="n">
        <v>0</v>
      </c>
      <c r="AU77" s="318" t="n">
        <v>0.24</v>
      </c>
      <c r="AV77" s="318" t="n">
        <v>-0.34</v>
      </c>
      <c r="AW77" s="318" t="n">
        <v>-0.1765</v>
      </c>
      <c r="AX77" s="318" t="n">
        <v>-0.06</v>
      </c>
      <c r="AY77" s="318" t="n">
        <v>-0.1165</v>
      </c>
      <c r="AZ77" s="318" t="n">
        <v>-0.055</v>
      </c>
      <c r="BA77" s="318" t="n">
        <v>-0.1065</v>
      </c>
      <c r="BB77" s="318" t="n">
        <v>-0.0175</v>
      </c>
      <c r="BC77" s="318" t="n">
        <v>-0.075</v>
      </c>
      <c r="BD77" s="318" t="n">
        <v>-0.075</v>
      </c>
      <c r="BE77" s="318" t="n">
        <v>-0.075</v>
      </c>
      <c r="BF77" s="318" t="n">
        <v>0.15</v>
      </c>
      <c r="BG77" s="318" t="n">
        <v>0.205</v>
      </c>
      <c r="BH77" s="318" t="n">
        <v>0.205</v>
      </c>
      <c r="BI77" s="318" t="n">
        <v>0.155</v>
      </c>
      <c r="BJ77" s="318" t="n">
        <v>0.77</v>
      </c>
      <c r="BK77" s="318" t="n">
        <v>0.0025</v>
      </c>
      <c r="BL77" s="318" t="n">
        <v>-0.025</v>
      </c>
      <c r="BM77" s="318" t="n">
        <v>0.005</v>
      </c>
      <c r="BN77" s="318" t="n">
        <v>0</v>
      </c>
      <c r="BO77" s="318" t="n">
        <v>0</v>
      </c>
      <c r="BP77" s="318" t="n">
        <v>0.005</v>
      </c>
      <c r="BQ77" s="318" t="n">
        <v>0.005</v>
      </c>
      <c r="BR77" s="318" t="n">
        <v>0.25</v>
      </c>
      <c r="BS77" s="0" t="n">
        <v>0.02</v>
      </c>
      <c r="BT77" s="0" t="n">
        <v>0.036</v>
      </c>
      <c r="BU77" s="0" t="n">
        <v>0.036</v>
      </c>
      <c r="BV77" s="0" t="n">
        <v>0.03</v>
      </c>
    </row>
    <row r="78" customFormat="false" ht="12.75" hidden="false" customHeight="false" outlineLevel="0" collapsed="false">
      <c r="A78" s="320" t="e">
        <f aca="false">#REF!-B78</f>
        <v>#REF!</v>
      </c>
      <c r="B78" s="320" t="n">
        <v>3.157</v>
      </c>
      <c r="C78" s="327" t="n">
        <f aca="false">EOMONTH(C77,0)+1</f>
        <v>39479</v>
      </c>
      <c r="D78" s="0" t="n">
        <f aca="false">D66+0.05</f>
        <v>3.501</v>
      </c>
      <c r="E78" s="320" t="n">
        <v>0.24</v>
      </c>
      <c r="F78" s="318" t="n">
        <v>0.0535290346573647</v>
      </c>
      <c r="G78" s="318" t="n">
        <v>-0.135</v>
      </c>
      <c r="H78" s="318" t="n">
        <v>-0.155</v>
      </c>
      <c r="I78" s="330" t="n">
        <v>0.015</v>
      </c>
      <c r="J78" s="330" t="n">
        <v>-0.13</v>
      </c>
      <c r="K78" s="318" t="n">
        <v>0.025</v>
      </c>
      <c r="L78" s="318" t="n">
        <v>-0.055</v>
      </c>
      <c r="M78" s="318" t="n">
        <v>-0.09</v>
      </c>
      <c r="N78" s="318" t="n">
        <v>-0.125</v>
      </c>
      <c r="O78" s="318" t="n">
        <v>-0.125</v>
      </c>
      <c r="P78" s="318" t="n">
        <v>-0.135</v>
      </c>
      <c r="Q78" s="318" t="n">
        <v>-0.10125</v>
      </c>
      <c r="R78" s="318" t="n">
        <v>-0.065</v>
      </c>
      <c r="S78" s="318" t="n">
        <v>0.155</v>
      </c>
      <c r="T78" s="318" t="n">
        <v>0.205</v>
      </c>
      <c r="U78" s="318" t="n">
        <v>0.13</v>
      </c>
      <c r="V78" s="318" t="n">
        <v>0.5</v>
      </c>
      <c r="W78" s="318" t="n">
        <v>0.235</v>
      </c>
      <c r="X78" s="318" t="n">
        <v>0.34</v>
      </c>
      <c r="Y78" s="318" t="n">
        <v>-0.019</v>
      </c>
      <c r="Z78" s="318" t="n">
        <v>-0.035</v>
      </c>
      <c r="AA78" s="318" t="n">
        <v>0.0055</v>
      </c>
      <c r="AB78" s="318" t="n">
        <v>-0.0145</v>
      </c>
      <c r="AC78" s="318" t="n">
        <v>0.0025</v>
      </c>
      <c r="AD78" s="318" t="n">
        <v>-0.0225</v>
      </c>
      <c r="AE78" s="318" t="n">
        <v>-0.075</v>
      </c>
      <c r="AF78" s="318" t="n">
        <v>-0.0635</v>
      </c>
      <c r="AG78" s="318" t="n">
        <v>-0.086</v>
      </c>
      <c r="AH78" s="318" t="n">
        <v>-0.0125</v>
      </c>
      <c r="AI78" s="318" t="n">
        <v>-0.065</v>
      </c>
      <c r="AJ78" s="318" t="n">
        <v>-0.1375</v>
      </c>
      <c r="AK78" s="318" t="n">
        <v>-0.01</v>
      </c>
      <c r="AL78" s="318" t="n">
        <v>0.03</v>
      </c>
      <c r="AM78" s="318" t="n">
        <v>1.6</v>
      </c>
      <c r="AN78" s="318" t="n">
        <v>-0.0475</v>
      </c>
      <c r="AO78" s="318" t="n">
        <v>-0.34</v>
      </c>
      <c r="AP78" s="318" t="n">
        <v>-0.07</v>
      </c>
      <c r="AQ78" s="318" t="n">
        <v>-0.13</v>
      </c>
      <c r="AR78" s="318" t="n">
        <v>0.378</v>
      </c>
      <c r="AS78" s="318" t="n">
        <v>-0.26</v>
      </c>
      <c r="AT78" s="318" t="n">
        <v>0</v>
      </c>
      <c r="AU78" s="318" t="n">
        <v>0.24</v>
      </c>
      <c r="AV78" s="318" t="n">
        <v>-0.34</v>
      </c>
      <c r="AW78" s="318" t="n">
        <v>-0.1915</v>
      </c>
      <c r="AX78" s="318" t="n">
        <v>-0.06</v>
      </c>
      <c r="AY78" s="318" t="n">
        <v>-0.1315</v>
      </c>
      <c r="AZ78" s="318" t="n">
        <v>-0.055</v>
      </c>
      <c r="BA78" s="318" t="n">
        <v>-0.107</v>
      </c>
      <c r="BB78" s="318" t="n">
        <v>-0.0175</v>
      </c>
      <c r="BC78" s="318" t="n">
        <v>-0.075</v>
      </c>
      <c r="BD78" s="318" t="n">
        <v>-0.0775</v>
      </c>
      <c r="BE78" s="318" t="n">
        <v>-0.075</v>
      </c>
      <c r="BF78" s="318" t="n">
        <v>0.15</v>
      </c>
      <c r="BG78" s="318" t="n">
        <v>0.205</v>
      </c>
      <c r="BH78" s="318" t="n">
        <v>0.205</v>
      </c>
      <c r="BI78" s="318" t="n">
        <v>0.155</v>
      </c>
      <c r="BJ78" s="318" t="n">
        <v>1.04</v>
      </c>
      <c r="BK78" s="318" t="n">
        <v>0.0025</v>
      </c>
      <c r="BL78" s="318" t="n">
        <v>-0.025</v>
      </c>
      <c r="BM78" s="318" t="n">
        <v>0.005</v>
      </c>
      <c r="BN78" s="318" t="n">
        <v>0</v>
      </c>
      <c r="BO78" s="318" t="n">
        <v>0</v>
      </c>
      <c r="BP78" s="318" t="n">
        <v>0.005</v>
      </c>
      <c r="BQ78" s="318" t="n">
        <v>0.005</v>
      </c>
      <c r="BR78" s="318" t="n">
        <v>0.45</v>
      </c>
      <c r="BS78" s="0" t="n">
        <v>0.02</v>
      </c>
      <c r="BT78" s="0" t="n">
        <v>0.036</v>
      </c>
      <c r="BU78" s="0" t="n">
        <v>0.036</v>
      </c>
      <c r="BV78" s="0" t="n">
        <v>0.03</v>
      </c>
    </row>
    <row r="79" customFormat="false" ht="12.75" hidden="false" customHeight="false" outlineLevel="0" collapsed="false">
      <c r="A79" s="320" t="e">
        <f aca="false">#REF!-B79</f>
        <v>#REF!</v>
      </c>
      <c r="B79" s="320" t="n">
        <v>3.152</v>
      </c>
      <c r="C79" s="327" t="n">
        <f aca="false">EOMONTH(C78,0)+1</f>
        <v>39508</v>
      </c>
      <c r="D79" s="0" t="n">
        <f aca="false">D67+0.05</f>
        <v>3.45</v>
      </c>
      <c r="E79" s="320" t="n">
        <v>0.24</v>
      </c>
      <c r="F79" s="318" t="n">
        <v>0.0537105483925497</v>
      </c>
      <c r="G79" s="318" t="n">
        <v>-0.1275</v>
      </c>
      <c r="H79" s="318" t="n">
        <v>-0.1475</v>
      </c>
      <c r="I79" s="330" t="n">
        <v>0.01</v>
      </c>
      <c r="J79" s="330" t="n">
        <v>-0.13</v>
      </c>
      <c r="K79" s="318" t="n">
        <v>0.02</v>
      </c>
      <c r="L79" s="318" t="n">
        <v>-0.055</v>
      </c>
      <c r="M79" s="318" t="n">
        <v>-0.09</v>
      </c>
      <c r="N79" s="318" t="n">
        <v>-0.1175</v>
      </c>
      <c r="O79" s="318" t="n">
        <v>-0.1175</v>
      </c>
      <c r="P79" s="318" t="n">
        <v>-0.1275</v>
      </c>
      <c r="Q79" s="318" t="n">
        <v>-0.0925</v>
      </c>
      <c r="R79" s="318" t="n">
        <v>-0.065</v>
      </c>
      <c r="S79" s="318" t="n">
        <v>0.155</v>
      </c>
      <c r="T79" s="318" t="n">
        <v>0.205</v>
      </c>
      <c r="U79" s="318" t="n">
        <v>0.13</v>
      </c>
      <c r="V79" s="318" t="n">
        <v>0.5</v>
      </c>
      <c r="W79" s="318" t="n">
        <v>0.235</v>
      </c>
      <c r="X79" s="318" t="n">
        <v>0.34</v>
      </c>
      <c r="Y79" s="318" t="n">
        <v>-0.019</v>
      </c>
      <c r="Z79" s="318" t="n">
        <v>-0.035</v>
      </c>
      <c r="AA79" s="318" t="n">
        <v>0.0055</v>
      </c>
      <c r="AB79" s="318" t="n">
        <v>-0.0145</v>
      </c>
      <c r="AC79" s="318" t="n">
        <v>0.0025</v>
      </c>
      <c r="AD79" s="318" t="n">
        <v>-0.0225</v>
      </c>
      <c r="AE79" s="318" t="n">
        <v>-0.075</v>
      </c>
      <c r="AF79" s="318" t="n">
        <v>-0.0635</v>
      </c>
      <c r="AG79" s="318" t="n">
        <v>-0.086</v>
      </c>
      <c r="AH79" s="318" t="n">
        <v>-0.0125</v>
      </c>
      <c r="AI79" s="318" t="n">
        <v>-0.065</v>
      </c>
      <c r="AJ79" s="318" t="n">
        <v>-0.12</v>
      </c>
      <c r="AK79" s="318" t="n">
        <v>-0.01</v>
      </c>
      <c r="AL79" s="318" t="n">
        <v>0.03</v>
      </c>
      <c r="AM79" s="318" t="n">
        <v>1.6</v>
      </c>
      <c r="AN79" s="318" t="n">
        <v>-0.03</v>
      </c>
      <c r="AO79" s="318" t="n">
        <v>-0.34</v>
      </c>
      <c r="AP79" s="318" t="n">
        <v>-0.07</v>
      </c>
      <c r="AQ79" s="318" t="n">
        <v>-0.13</v>
      </c>
      <c r="AR79" s="318" t="n">
        <v>0.248</v>
      </c>
      <c r="AS79" s="318" t="n">
        <v>-0.26</v>
      </c>
      <c r="AT79" s="318" t="n">
        <v>0</v>
      </c>
      <c r="AU79" s="318" t="n">
        <v>0.24</v>
      </c>
      <c r="AV79" s="318" t="n">
        <v>-0.34</v>
      </c>
      <c r="AW79" s="318" t="n">
        <v>-0.1815</v>
      </c>
      <c r="AX79" s="318" t="n">
        <v>-0.06</v>
      </c>
      <c r="AY79" s="318" t="n">
        <v>-0.1215</v>
      </c>
      <c r="AZ79" s="318" t="n">
        <v>-0.055</v>
      </c>
      <c r="BA79" s="318" t="n">
        <v>-0.107</v>
      </c>
      <c r="BB79" s="318" t="n">
        <v>-0.0175</v>
      </c>
      <c r="BC79" s="318" t="n">
        <v>-0.075</v>
      </c>
      <c r="BD79" s="318" t="n">
        <v>-0.06</v>
      </c>
      <c r="BE79" s="318" t="n">
        <v>-0.075</v>
      </c>
      <c r="BF79" s="318" t="n">
        <v>0.15</v>
      </c>
      <c r="BG79" s="318" t="n">
        <v>0.205</v>
      </c>
      <c r="BH79" s="318" t="n">
        <v>0.205</v>
      </c>
      <c r="BI79" s="318" t="n">
        <v>0.155</v>
      </c>
      <c r="BJ79" s="318" t="n">
        <v>1.04</v>
      </c>
      <c r="BK79" s="318" t="n">
        <v>0.0025</v>
      </c>
      <c r="BL79" s="318" t="n">
        <v>-0.025</v>
      </c>
      <c r="BM79" s="318" t="n">
        <v>0.005</v>
      </c>
      <c r="BN79" s="318" t="n">
        <v>0</v>
      </c>
      <c r="BO79" s="318" t="n">
        <v>0</v>
      </c>
      <c r="BP79" s="318" t="n">
        <v>0.005</v>
      </c>
      <c r="BQ79" s="318" t="n">
        <v>0.005</v>
      </c>
      <c r="BR79" s="318" t="n">
        <v>0.45</v>
      </c>
      <c r="BS79" s="0" t="n">
        <v>0.02</v>
      </c>
      <c r="BT79" s="0" t="n">
        <v>0.036</v>
      </c>
      <c r="BU79" s="0" t="n">
        <v>0.036</v>
      </c>
      <c r="BV79" s="0" t="n">
        <v>0.03</v>
      </c>
    </row>
    <row r="80" customFormat="false" ht="12.75" hidden="false" customHeight="false" outlineLevel="0" collapsed="false">
      <c r="A80" s="320" t="e">
        <f aca="false">#REF!-B80</f>
        <v>#REF!</v>
      </c>
      <c r="B80" s="320" t="n">
        <v>3.139</v>
      </c>
      <c r="C80" s="327" t="n">
        <f aca="false">EOMONTH(C79,0)+1</f>
        <v>39539</v>
      </c>
      <c r="D80" s="0" t="n">
        <f aca="false">D68+0.05</f>
        <v>3.231</v>
      </c>
      <c r="E80" s="320" t="n">
        <v>0.235</v>
      </c>
      <c r="F80" s="318" t="n">
        <v>0.0538803515741155</v>
      </c>
      <c r="G80" s="318" t="n">
        <v>-0.125</v>
      </c>
      <c r="H80" s="318" t="n">
        <v>-0.145</v>
      </c>
      <c r="I80" s="330" t="n">
        <v>-0.01</v>
      </c>
      <c r="J80" s="330" t="n">
        <v>-0.13</v>
      </c>
      <c r="K80" s="318" t="n">
        <v>0</v>
      </c>
      <c r="L80" s="318" t="n">
        <v>-0.055</v>
      </c>
      <c r="M80" s="318" t="n">
        <v>-0.09</v>
      </c>
      <c r="N80" s="318" t="n">
        <v>-0.115</v>
      </c>
      <c r="O80" s="318" t="n">
        <v>-0.115</v>
      </c>
      <c r="P80" s="318" t="n">
        <v>-0.125</v>
      </c>
      <c r="Q80" s="318" t="n">
        <v>-0.08625</v>
      </c>
      <c r="R80" s="318" t="n">
        <v>-0.065</v>
      </c>
      <c r="S80" s="318" t="n">
        <v>0.155</v>
      </c>
      <c r="T80" s="318" t="n">
        <v>0.205</v>
      </c>
      <c r="U80" s="318" t="n">
        <v>0.13</v>
      </c>
      <c r="V80" s="318" t="n">
        <v>0.5</v>
      </c>
      <c r="W80" s="318" t="n">
        <v>0.195</v>
      </c>
      <c r="X80" s="318" t="n">
        <v>0.29</v>
      </c>
      <c r="Y80" s="318" t="n">
        <v>-0.019</v>
      </c>
      <c r="Z80" s="318" t="n">
        <v>-0.035</v>
      </c>
      <c r="AA80" s="318" t="n">
        <v>0.013</v>
      </c>
      <c r="AB80" s="318" t="n">
        <v>-0.007</v>
      </c>
      <c r="AC80" s="318" t="n">
        <v>0.0025</v>
      </c>
      <c r="AD80" s="318" t="n">
        <v>-0.0225</v>
      </c>
      <c r="AE80" s="318" t="n">
        <v>-0.075</v>
      </c>
      <c r="AF80" s="318" t="n">
        <v>-0.0635</v>
      </c>
      <c r="AG80" s="318" t="n">
        <v>-0.086</v>
      </c>
      <c r="AH80" s="318" t="n">
        <v>-0.0125</v>
      </c>
      <c r="AI80" s="318" t="n">
        <v>-0.065</v>
      </c>
      <c r="AJ80" s="318" t="n">
        <v>-0.1075</v>
      </c>
      <c r="AK80" s="318" t="n">
        <v>-0.01</v>
      </c>
      <c r="AL80" s="318" t="n">
        <v>0.03</v>
      </c>
      <c r="AM80" s="318" t="n">
        <v>0.64</v>
      </c>
      <c r="AN80" s="318" t="n">
        <v>-0.0175</v>
      </c>
      <c r="AO80" s="318" t="n">
        <v>-0.34</v>
      </c>
      <c r="AP80" s="318" t="n">
        <v>-0.07</v>
      </c>
      <c r="AQ80" s="318" t="n">
        <v>-0.13</v>
      </c>
      <c r="AR80" s="318" t="n">
        <v>0.068</v>
      </c>
      <c r="AS80" s="318" t="n">
        <v>-0.26</v>
      </c>
      <c r="AT80" s="318" t="n">
        <v>0</v>
      </c>
      <c r="AU80" s="318" t="n">
        <v>0.24</v>
      </c>
      <c r="AV80" s="318" t="n">
        <v>-0.34</v>
      </c>
      <c r="AW80" s="318" t="n">
        <v>-0.1715</v>
      </c>
      <c r="AX80" s="318" t="n">
        <v>-0.06</v>
      </c>
      <c r="AY80" s="318" t="n">
        <v>-0.1115</v>
      </c>
      <c r="AZ80" s="318" t="n">
        <v>-0.055</v>
      </c>
      <c r="BA80" s="318" t="n">
        <v>-0.107</v>
      </c>
      <c r="BB80" s="318" t="n">
        <v>-0.0175</v>
      </c>
      <c r="BC80" s="318" t="n">
        <v>-0.075</v>
      </c>
      <c r="BD80" s="318" t="n">
        <v>-0.0475</v>
      </c>
      <c r="BE80" s="318" t="n">
        <v>-0.075</v>
      </c>
      <c r="BF80" s="318" t="n">
        <v>0.15</v>
      </c>
      <c r="BG80" s="318" t="n">
        <v>0.205</v>
      </c>
      <c r="BH80" s="318" t="n">
        <v>0.205</v>
      </c>
      <c r="BI80" s="318" t="n">
        <v>0.155</v>
      </c>
      <c r="BJ80" s="318" t="n">
        <v>0.54</v>
      </c>
      <c r="BK80" s="318" t="n">
        <v>0.0025</v>
      </c>
      <c r="BL80" s="318" t="n">
        <v>-0.02</v>
      </c>
      <c r="BM80" s="318" t="n">
        <v>0.005</v>
      </c>
      <c r="BN80" s="318" t="n">
        <v>0</v>
      </c>
      <c r="BO80" s="318" t="n">
        <v>0</v>
      </c>
      <c r="BP80" s="318" t="n">
        <v>0.005</v>
      </c>
      <c r="BQ80" s="318" t="n">
        <v>0.005</v>
      </c>
      <c r="BR80" s="318" t="n">
        <v>0.1</v>
      </c>
      <c r="BS80" s="0" t="n">
        <v>0.02</v>
      </c>
      <c r="BT80" s="0" t="n">
        <v>0.036</v>
      </c>
      <c r="BU80" s="0" t="n">
        <v>0.036</v>
      </c>
      <c r="BV80" s="0" t="n">
        <v>0.03</v>
      </c>
    </row>
    <row r="81" customFormat="false" ht="12.75" hidden="false" customHeight="false" outlineLevel="0" collapsed="false">
      <c r="A81" s="320" t="e">
        <f aca="false">#REF!-B81</f>
        <v>#REF!</v>
      </c>
      <c r="B81" s="320" t="n">
        <v>3.154</v>
      </c>
      <c r="C81" s="327" t="n">
        <f aca="false">EOMONTH(C80,0)+1</f>
        <v>39569</v>
      </c>
      <c r="D81" s="0" t="n">
        <f aca="false">D69+0.05</f>
        <v>3.234</v>
      </c>
      <c r="E81" s="320" t="n">
        <v>0.23</v>
      </c>
      <c r="F81" s="318" t="n">
        <v>0.0540618653305529</v>
      </c>
      <c r="G81" s="318" t="n">
        <v>-0.13</v>
      </c>
      <c r="H81" s="318" t="n">
        <v>-0.15</v>
      </c>
      <c r="I81" s="330" t="n">
        <v>-0.09</v>
      </c>
      <c r="J81" s="330" t="n">
        <v>-0.13</v>
      </c>
      <c r="K81" s="318" t="n">
        <v>-0.09</v>
      </c>
      <c r="L81" s="318" t="n">
        <v>-0.0525</v>
      </c>
      <c r="M81" s="318" t="n">
        <v>-0.0725</v>
      </c>
      <c r="N81" s="318" t="n">
        <v>-0.12</v>
      </c>
      <c r="O81" s="318" t="n">
        <v>-0.12</v>
      </c>
      <c r="P81" s="318" t="n">
        <v>-0.13</v>
      </c>
      <c r="Q81" s="318" t="n">
        <v>-0.06625</v>
      </c>
      <c r="R81" s="318" t="n">
        <v>-0.0625</v>
      </c>
      <c r="S81" s="318" t="n">
        <v>0.125</v>
      </c>
      <c r="T81" s="318" t="n">
        <v>0.155</v>
      </c>
      <c r="U81" s="318" t="n">
        <v>0.04</v>
      </c>
      <c r="V81" s="318" t="n">
        <v>0.5</v>
      </c>
      <c r="W81" s="318" t="n">
        <v>0.145</v>
      </c>
      <c r="X81" s="318" t="n">
        <v>0.195</v>
      </c>
      <c r="Y81" s="318" t="n">
        <v>-0.0215</v>
      </c>
      <c r="Z81" s="318" t="n">
        <v>-0.05</v>
      </c>
      <c r="AA81" s="318" t="n">
        <v>0.013</v>
      </c>
      <c r="AB81" s="318" t="n">
        <v>-0.0045</v>
      </c>
      <c r="AC81" s="318" t="n">
        <v>0.0025</v>
      </c>
      <c r="AD81" s="318" t="n">
        <v>-0.0225</v>
      </c>
      <c r="AE81" s="318" t="n">
        <v>-0.0725</v>
      </c>
      <c r="AF81" s="318" t="n">
        <v>-0.061</v>
      </c>
      <c r="AG81" s="318" t="n">
        <v>-0.0835</v>
      </c>
      <c r="AH81" s="318" t="n">
        <v>-0.0175</v>
      </c>
      <c r="AI81" s="318" t="n">
        <v>-0.072</v>
      </c>
      <c r="AJ81" s="318" t="n">
        <v>-0.07</v>
      </c>
      <c r="AK81" s="318" t="n">
        <v>-0.017</v>
      </c>
      <c r="AL81" s="318" t="n">
        <v>0.023</v>
      </c>
      <c r="AM81" s="318" t="n">
        <v>0.38</v>
      </c>
      <c r="AN81" s="318" t="n">
        <v>0.02</v>
      </c>
      <c r="AO81" s="318" t="n">
        <v>-0.47</v>
      </c>
      <c r="AP81" s="318" t="n">
        <v>-0.07</v>
      </c>
      <c r="AQ81" s="318" t="n">
        <v>-0.195</v>
      </c>
      <c r="AR81" s="318" t="n">
        <v>-0.25</v>
      </c>
      <c r="AS81" s="318" t="n">
        <v>-0.39</v>
      </c>
      <c r="AT81" s="318" t="n">
        <v>0</v>
      </c>
      <c r="AU81" s="318" t="n">
        <v>0.26</v>
      </c>
      <c r="AV81" s="318" t="n">
        <v>-0.47</v>
      </c>
      <c r="AW81" s="318" t="n">
        <v>-0.212</v>
      </c>
      <c r="AX81" s="318" t="n">
        <v>-0.06</v>
      </c>
      <c r="AY81" s="318" t="n">
        <v>-0.152</v>
      </c>
      <c r="AZ81" s="318" t="n">
        <v>-0.0525</v>
      </c>
      <c r="BA81" s="318" t="n">
        <v>-0.1295</v>
      </c>
      <c r="BB81" s="318" t="n">
        <v>-0.0175</v>
      </c>
      <c r="BC81" s="318" t="n">
        <v>-0.0575</v>
      </c>
      <c r="BD81" s="318" t="n">
        <v>-0.01</v>
      </c>
      <c r="BE81" s="318" t="n">
        <v>-0.0725</v>
      </c>
      <c r="BF81" s="318" t="n">
        <v>0.06</v>
      </c>
      <c r="BG81" s="318" t="n">
        <v>0.155</v>
      </c>
      <c r="BH81" s="318" t="n">
        <v>0.155</v>
      </c>
      <c r="BI81" s="318" t="n">
        <v>0.125</v>
      </c>
      <c r="BJ81" s="318" t="n">
        <v>0.36</v>
      </c>
      <c r="BK81" s="318" t="n">
        <v>0.0025</v>
      </c>
      <c r="BL81" s="318" t="n">
        <v>-0.015</v>
      </c>
      <c r="BM81" s="318" t="n">
        <v>0.005</v>
      </c>
      <c r="BN81" s="318" t="n">
        <v>-0.01</v>
      </c>
      <c r="BO81" s="318" t="n">
        <v>0</v>
      </c>
      <c r="BP81" s="318" t="n">
        <v>0.005</v>
      </c>
      <c r="BQ81" s="318" t="n">
        <v>0.0025</v>
      </c>
      <c r="BR81" s="318" t="n">
        <v>0.02</v>
      </c>
      <c r="BS81" s="0" t="n">
        <v>0.005</v>
      </c>
      <c r="BT81" s="0" t="n">
        <v>0.036</v>
      </c>
      <c r="BU81" s="0" t="n">
        <v>0.036</v>
      </c>
      <c r="BV81" s="0" t="n">
        <v>0.03</v>
      </c>
    </row>
    <row r="82" customFormat="false" ht="12.75" hidden="false" customHeight="false" outlineLevel="0" collapsed="false">
      <c r="A82" s="320" t="e">
        <f aca="false">#REF!-B82</f>
        <v>#REF!</v>
      </c>
      <c r="B82" s="320" t="n">
        <v>3.251</v>
      </c>
      <c r="C82" s="327" t="n">
        <f aca="false">EOMONTH(C81,0)+1</f>
        <v>39600</v>
      </c>
      <c r="D82" s="0" t="n">
        <f aca="false">D70+0.05</f>
        <v>3.274</v>
      </c>
      <c r="E82" s="320" t="n">
        <v>0.23</v>
      </c>
      <c r="F82" s="318" t="n">
        <v>0.0542375238149777</v>
      </c>
      <c r="G82" s="318" t="n">
        <v>-0.13</v>
      </c>
      <c r="H82" s="318" t="n">
        <v>-0.15</v>
      </c>
      <c r="I82" s="330" t="n">
        <v>-0.09</v>
      </c>
      <c r="J82" s="330" t="n">
        <v>-0.13</v>
      </c>
      <c r="K82" s="318" t="n">
        <v>-0.09</v>
      </c>
      <c r="L82" s="318" t="n">
        <v>-0.0525</v>
      </c>
      <c r="M82" s="318" t="n">
        <v>-0.0725</v>
      </c>
      <c r="N82" s="318" t="n">
        <v>-0.12</v>
      </c>
      <c r="O82" s="318" t="n">
        <v>-0.12</v>
      </c>
      <c r="P82" s="318" t="n">
        <v>-0.13</v>
      </c>
      <c r="Q82" s="318" t="n">
        <v>-0.06625</v>
      </c>
      <c r="R82" s="318" t="n">
        <v>-0.0625</v>
      </c>
      <c r="S82" s="318" t="n">
        <v>0.125</v>
      </c>
      <c r="T82" s="318" t="n">
        <v>0.155</v>
      </c>
      <c r="U82" s="318" t="n">
        <v>0.04</v>
      </c>
      <c r="V82" s="318" t="n">
        <v>0.5</v>
      </c>
      <c r="W82" s="318" t="n">
        <v>0.125</v>
      </c>
      <c r="X82" s="318" t="n">
        <v>0.135</v>
      </c>
      <c r="Y82" s="318" t="n">
        <v>-0.0215</v>
      </c>
      <c r="Z82" s="318" t="n">
        <v>-0.05</v>
      </c>
      <c r="AA82" s="318" t="n">
        <v>0.0155</v>
      </c>
      <c r="AB82" s="318" t="n">
        <v>-0.002</v>
      </c>
      <c r="AC82" s="318" t="n">
        <v>0.0025</v>
      </c>
      <c r="AD82" s="318" t="n">
        <v>-0.0225</v>
      </c>
      <c r="AE82" s="318" t="n">
        <v>-0.0725</v>
      </c>
      <c r="AF82" s="318" t="n">
        <v>-0.061</v>
      </c>
      <c r="AG82" s="318" t="n">
        <v>-0.0835</v>
      </c>
      <c r="AH82" s="318" t="n">
        <v>-0.0175</v>
      </c>
      <c r="AI82" s="318" t="n">
        <v>-0.072</v>
      </c>
      <c r="AJ82" s="318" t="n">
        <v>-0.07</v>
      </c>
      <c r="AK82" s="318" t="n">
        <v>-0.017</v>
      </c>
      <c r="AL82" s="318" t="n">
        <v>0.023</v>
      </c>
      <c r="AM82" s="318" t="n">
        <v>0.33</v>
      </c>
      <c r="AN82" s="318" t="n">
        <v>0.02</v>
      </c>
      <c r="AO82" s="318" t="n">
        <v>-0.47</v>
      </c>
      <c r="AP82" s="318" t="n">
        <v>-0.07</v>
      </c>
      <c r="AQ82" s="318" t="n">
        <v>-0.195</v>
      </c>
      <c r="AR82" s="318" t="n">
        <v>-0.25</v>
      </c>
      <c r="AS82" s="318" t="n">
        <v>-0.39</v>
      </c>
      <c r="AT82" s="318" t="n">
        <v>0</v>
      </c>
      <c r="AU82" s="318" t="n">
        <v>0.26</v>
      </c>
      <c r="AV82" s="318" t="n">
        <v>-0.47</v>
      </c>
      <c r="AW82" s="318" t="n">
        <v>-0.1895</v>
      </c>
      <c r="AX82" s="318" t="n">
        <v>-0.06</v>
      </c>
      <c r="AY82" s="318" t="n">
        <v>-0.1295</v>
      </c>
      <c r="AZ82" s="318" t="n">
        <v>-0.0525</v>
      </c>
      <c r="BA82" s="318" t="n">
        <v>-0.122</v>
      </c>
      <c r="BB82" s="318" t="n">
        <v>-0.0175</v>
      </c>
      <c r="BC82" s="318" t="n">
        <v>-0.0575</v>
      </c>
      <c r="BD82" s="318" t="n">
        <v>-0.01</v>
      </c>
      <c r="BE82" s="318" t="n">
        <v>-0.0725</v>
      </c>
      <c r="BF82" s="318" t="n">
        <v>0.06</v>
      </c>
      <c r="BG82" s="318" t="n">
        <v>0.155</v>
      </c>
      <c r="BH82" s="318" t="n">
        <v>0.155</v>
      </c>
      <c r="BI82" s="318" t="n">
        <v>0.125</v>
      </c>
      <c r="BJ82" s="318" t="n">
        <v>0.325</v>
      </c>
      <c r="BK82" s="318" t="n">
        <v>0.0025</v>
      </c>
      <c r="BL82" s="318" t="n">
        <v>-0.015</v>
      </c>
      <c r="BM82" s="318" t="n">
        <v>0.005</v>
      </c>
      <c r="BN82" s="318" t="n">
        <v>-0.01</v>
      </c>
      <c r="BO82" s="318" t="n">
        <v>0</v>
      </c>
      <c r="BP82" s="318" t="n">
        <v>0.005</v>
      </c>
      <c r="BQ82" s="318" t="n">
        <v>0.0025</v>
      </c>
      <c r="BR82" s="318" t="n">
        <v>0.02</v>
      </c>
      <c r="BS82" s="0" t="n">
        <v>0.005</v>
      </c>
      <c r="BT82" s="0" t="n">
        <v>0.036</v>
      </c>
      <c r="BU82" s="0" t="n">
        <v>0.036</v>
      </c>
      <c r="BV82" s="0" t="n">
        <v>0.03</v>
      </c>
    </row>
    <row r="83" customFormat="false" ht="12.75" hidden="false" customHeight="false" outlineLevel="0" collapsed="false">
      <c r="A83" s="320" t="e">
        <f aca="false">#REF!-B83</f>
        <v>#REF!</v>
      </c>
      <c r="B83" s="320" t="n">
        <v>3.351</v>
      </c>
      <c r="C83" s="327" t="n">
        <f aca="false">EOMONTH(C82,0)+1</f>
        <v>39630</v>
      </c>
      <c r="D83" s="0" t="n">
        <f aca="false">D71+0.05</f>
        <v>3.314</v>
      </c>
      <c r="E83" s="320" t="n">
        <v>0.23</v>
      </c>
      <c r="F83" s="318" t="n">
        <v>0.0544190375930174</v>
      </c>
      <c r="G83" s="318" t="n">
        <v>-0.13</v>
      </c>
      <c r="H83" s="318" t="n">
        <v>-0.15</v>
      </c>
      <c r="I83" s="330" t="n">
        <v>-0.09</v>
      </c>
      <c r="J83" s="330" t="n">
        <v>-0.13</v>
      </c>
      <c r="K83" s="318" t="n">
        <v>-0.09</v>
      </c>
      <c r="L83" s="318" t="n">
        <v>-0.0525</v>
      </c>
      <c r="M83" s="318" t="n">
        <v>-0.0725</v>
      </c>
      <c r="N83" s="318" t="n">
        <v>-0.12</v>
      </c>
      <c r="O83" s="318" t="n">
        <v>-0.12</v>
      </c>
      <c r="P83" s="318" t="n">
        <v>-0.13</v>
      </c>
      <c r="Q83" s="318" t="n">
        <v>-0.06375</v>
      </c>
      <c r="R83" s="318" t="n">
        <v>-0.0625</v>
      </c>
      <c r="S83" s="318" t="n">
        <v>0.125</v>
      </c>
      <c r="T83" s="318" t="n">
        <v>0.155</v>
      </c>
      <c r="U83" s="318" t="n">
        <v>0.04</v>
      </c>
      <c r="V83" s="318" t="n">
        <v>0.5</v>
      </c>
      <c r="W83" s="318" t="n">
        <v>0.145</v>
      </c>
      <c r="X83" s="318" t="n">
        <v>0.165</v>
      </c>
      <c r="Y83" s="318" t="n">
        <v>-0.0215</v>
      </c>
      <c r="Z83" s="318" t="n">
        <v>-0.0475</v>
      </c>
      <c r="AA83" s="318" t="n">
        <v>0.0155</v>
      </c>
      <c r="AB83" s="318" t="n">
        <v>-0.002</v>
      </c>
      <c r="AC83" s="318" t="n">
        <v>0.0025</v>
      </c>
      <c r="AD83" s="318" t="n">
        <v>-0.0225</v>
      </c>
      <c r="AE83" s="318" t="n">
        <v>-0.0725</v>
      </c>
      <c r="AF83" s="318" t="n">
        <v>-0.061</v>
      </c>
      <c r="AG83" s="318" t="n">
        <v>-0.0835</v>
      </c>
      <c r="AH83" s="318" t="n">
        <v>-0.0175</v>
      </c>
      <c r="AI83" s="318" t="n">
        <v>-0.072</v>
      </c>
      <c r="AJ83" s="318" t="n">
        <v>-0.065</v>
      </c>
      <c r="AK83" s="318" t="n">
        <v>-0.017</v>
      </c>
      <c r="AL83" s="318" t="n">
        <v>0.023</v>
      </c>
      <c r="AM83" s="318" t="n">
        <v>0.37</v>
      </c>
      <c r="AN83" s="318" t="n">
        <v>0.025</v>
      </c>
      <c r="AO83" s="318" t="n">
        <v>-0.47</v>
      </c>
      <c r="AP83" s="318" t="n">
        <v>-0.07</v>
      </c>
      <c r="AQ83" s="318" t="n">
        <v>-0.195</v>
      </c>
      <c r="AR83" s="318" t="n">
        <v>-0.25</v>
      </c>
      <c r="AS83" s="318" t="n">
        <v>-0.39</v>
      </c>
      <c r="AT83" s="318" t="n">
        <v>0</v>
      </c>
      <c r="AU83" s="318" t="n">
        <v>0.26</v>
      </c>
      <c r="AV83" s="318" t="n">
        <v>-0.47</v>
      </c>
      <c r="AW83" s="318" t="n">
        <v>-0.137</v>
      </c>
      <c r="AX83" s="318" t="n">
        <v>-0.06</v>
      </c>
      <c r="AY83" s="318" t="n">
        <v>-0.077</v>
      </c>
      <c r="AZ83" s="318" t="n">
        <v>-0.0525</v>
      </c>
      <c r="BA83" s="318" t="n">
        <v>-0.0795</v>
      </c>
      <c r="BB83" s="318" t="n">
        <v>-0.0175</v>
      </c>
      <c r="BC83" s="318" t="n">
        <v>-0.0575</v>
      </c>
      <c r="BD83" s="318" t="n">
        <v>-0.005</v>
      </c>
      <c r="BE83" s="318" t="n">
        <v>-0.0725</v>
      </c>
      <c r="BF83" s="318" t="n">
        <v>0.06</v>
      </c>
      <c r="BG83" s="318" t="n">
        <v>0.155</v>
      </c>
      <c r="BH83" s="318" t="n">
        <v>0.155</v>
      </c>
      <c r="BI83" s="318" t="n">
        <v>0.125</v>
      </c>
      <c r="BJ83" s="318" t="n">
        <v>0.335</v>
      </c>
      <c r="BK83" s="318" t="n">
        <v>0.0025</v>
      </c>
      <c r="BL83" s="318" t="n">
        <v>-0.015</v>
      </c>
      <c r="BM83" s="318" t="n">
        <v>0.005</v>
      </c>
      <c r="BN83" s="318" t="n">
        <v>-0.01</v>
      </c>
      <c r="BO83" s="318" t="n">
        <v>0</v>
      </c>
      <c r="BP83" s="318" t="n">
        <v>0.005</v>
      </c>
      <c r="BQ83" s="318" t="n">
        <v>0.0025</v>
      </c>
      <c r="BR83" s="318" t="n">
        <v>0.035</v>
      </c>
      <c r="BS83" s="0" t="n">
        <v>0.005</v>
      </c>
      <c r="BT83" s="0" t="n">
        <v>0.036</v>
      </c>
      <c r="BU83" s="0" t="n">
        <v>0.036</v>
      </c>
      <c r="BV83" s="0" t="n">
        <v>0.03</v>
      </c>
    </row>
    <row r="84" customFormat="false" ht="12.75" hidden="false" customHeight="false" outlineLevel="0" collapsed="false">
      <c r="A84" s="320" t="e">
        <f aca="false">#REF!-B84</f>
        <v>#REF!</v>
      </c>
      <c r="B84" s="320" t="n">
        <v>3.566</v>
      </c>
      <c r="C84" s="327" t="n">
        <f aca="false">EOMONTH(C83,0)+1</f>
        <v>39661</v>
      </c>
      <c r="D84" s="0" t="n">
        <f aca="false">D72+0.05</f>
        <v>3.364</v>
      </c>
      <c r="E84" s="320" t="n">
        <v>0.23</v>
      </c>
      <c r="F84" s="318" t="n">
        <v>0.0545946960983459</v>
      </c>
      <c r="G84" s="318" t="n">
        <v>-0.13</v>
      </c>
      <c r="H84" s="318" t="n">
        <v>-0.15</v>
      </c>
      <c r="I84" s="330" t="n">
        <v>-0.09</v>
      </c>
      <c r="J84" s="330" t="n">
        <v>-0.13</v>
      </c>
      <c r="K84" s="318" t="n">
        <v>-0.09</v>
      </c>
      <c r="L84" s="318" t="n">
        <v>-0.0525</v>
      </c>
      <c r="M84" s="318" t="n">
        <v>-0.0725</v>
      </c>
      <c r="N84" s="318" t="n">
        <v>-0.12</v>
      </c>
      <c r="O84" s="318" t="n">
        <v>-0.12</v>
      </c>
      <c r="P84" s="318" t="n">
        <v>-0.13</v>
      </c>
      <c r="Q84" s="318" t="n">
        <v>-0.0625</v>
      </c>
      <c r="R84" s="318" t="n">
        <v>-0.0625</v>
      </c>
      <c r="S84" s="318" t="n">
        <v>0.125</v>
      </c>
      <c r="T84" s="318" t="n">
        <v>0.155</v>
      </c>
      <c r="U84" s="318" t="n">
        <v>0.04</v>
      </c>
      <c r="V84" s="318" t="n">
        <v>0.5</v>
      </c>
      <c r="W84" s="318" t="n">
        <v>0.15</v>
      </c>
      <c r="X84" s="318" t="n">
        <v>0.205</v>
      </c>
      <c r="Y84" s="318" t="n">
        <v>-0.0215</v>
      </c>
      <c r="Z84" s="318" t="n">
        <v>-0.0475</v>
      </c>
      <c r="AA84" s="318" t="n">
        <v>0.0155</v>
      </c>
      <c r="AB84" s="318" t="n">
        <v>-0.002</v>
      </c>
      <c r="AC84" s="318" t="n">
        <v>0.0025</v>
      </c>
      <c r="AD84" s="318" t="n">
        <v>-0.0225</v>
      </c>
      <c r="AE84" s="318" t="n">
        <v>-0.0725</v>
      </c>
      <c r="AF84" s="318" t="n">
        <v>-0.061</v>
      </c>
      <c r="AG84" s="318" t="n">
        <v>-0.0835</v>
      </c>
      <c r="AH84" s="318" t="n">
        <v>-0.0175</v>
      </c>
      <c r="AI84" s="318" t="n">
        <v>-0.072</v>
      </c>
      <c r="AJ84" s="318" t="n">
        <v>-0.0625</v>
      </c>
      <c r="AK84" s="318" t="n">
        <v>-0.017</v>
      </c>
      <c r="AL84" s="318" t="n">
        <v>0.023</v>
      </c>
      <c r="AM84" s="318" t="n">
        <v>0.41</v>
      </c>
      <c r="AN84" s="318" t="n">
        <v>0.0275</v>
      </c>
      <c r="AO84" s="318" t="n">
        <v>-0.47</v>
      </c>
      <c r="AP84" s="318" t="n">
        <v>-0.07</v>
      </c>
      <c r="AQ84" s="318" t="n">
        <v>-0.195</v>
      </c>
      <c r="AR84" s="318" t="n">
        <v>-0.25</v>
      </c>
      <c r="AS84" s="318" t="n">
        <v>-0.39</v>
      </c>
      <c r="AT84" s="318" t="n">
        <v>0</v>
      </c>
      <c r="AU84" s="318" t="n">
        <v>0.26</v>
      </c>
      <c r="AV84" s="318" t="n">
        <v>-0.47</v>
      </c>
      <c r="AW84" s="318" t="n">
        <v>-0.147</v>
      </c>
      <c r="AX84" s="318" t="n">
        <v>-0.06</v>
      </c>
      <c r="AY84" s="318" t="n">
        <v>-0.087</v>
      </c>
      <c r="AZ84" s="318" t="n">
        <v>-0.0525</v>
      </c>
      <c r="BA84" s="318" t="n">
        <v>-0.077</v>
      </c>
      <c r="BB84" s="318" t="n">
        <v>-0.0175</v>
      </c>
      <c r="BC84" s="318" t="n">
        <v>-0.0575</v>
      </c>
      <c r="BD84" s="318" t="n">
        <v>-0.0025</v>
      </c>
      <c r="BE84" s="318" t="n">
        <v>-0.0725</v>
      </c>
      <c r="BF84" s="318" t="n">
        <v>0.06</v>
      </c>
      <c r="BG84" s="318" t="n">
        <v>0.155</v>
      </c>
      <c r="BH84" s="318" t="n">
        <v>0.155</v>
      </c>
      <c r="BI84" s="318" t="n">
        <v>0.125</v>
      </c>
      <c r="BJ84" s="318" t="n">
        <v>0.35</v>
      </c>
      <c r="BK84" s="318" t="n">
        <v>0.0025</v>
      </c>
      <c r="BL84" s="318" t="n">
        <v>-0.01</v>
      </c>
      <c r="BM84" s="318" t="n">
        <v>0.005</v>
      </c>
      <c r="BN84" s="318" t="n">
        <v>-0.01</v>
      </c>
      <c r="BO84" s="318" t="n">
        <v>0</v>
      </c>
      <c r="BP84" s="318" t="n">
        <v>0.005</v>
      </c>
      <c r="BQ84" s="318" t="n">
        <v>0.0025</v>
      </c>
      <c r="BR84" s="318" t="n">
        <v>0.035</v>
      </c>
      <c r="BS84" s="0" t="n">
        <v>0.005</v>
      </c>
      <c r="BT84" s="0" t="n">
        <v>0.036</v>
      </c>
      <c r="BU84" s="0" t="n">
        <v>0.036</v>
      </c>
      <c r="BV84" s="0" t="n">
        <v>0.03</v>
      </c>
    </row>
    <row r="85" customFormat="false" ht="12.75" hidden="false" customHeight="false" outlineLevel="0" collapsed="false">
      <c r="A85" s="320" t="e">
        <f aca="false">#REF!-B85</f>
        <v>#REF!</v>
      </c>
      <c r="B85" s="320" t="n">
        <v>3.455</v>
      </c>
      <c r="C85" s="327" t="n">
        <f aca="false">EOMONTH(C84,0)+1</f>
        <v>39692</v>
      </c>
      <c r="D85" s="0" t="n">
        <f aca="false">D73+0.05</f>
        <v>3.349</v>
      </c>
      <c r="E85" s="320" t="n">
        <v>0.23</v>
      </c>
      <c r="F85" s="318" t="n">
        <v>0.0547762098979847</v>
      </c>
      <c r="G85" s="318" t="n">
        <v>-0.13</v>
      </c>
      <c r="H85" s="318" t="n">
        <v>-0.15</v>
      </c>
      <c r="I85" s="330" t="n">
        <v>-0.09</v>
      </c>
      <c r="J85" s="330" t="n">
        <v>-0.13</v>
      </c>
      <c r="K85" s="318" t="n">
        <v>-0.09</v>
      </c>
      <c r="L85" s="318" t="n">
        <v>-0.0525</v>
      </c>
      <c r="M85" s="318" t="n">
        <v>-0.0725</v>
      </c>
      <c r="N85" s="318" t="n">
        <v>-0.12</v>
      </c>
      <c r="O85" s="318" t="n">
        <v>-0.12</v>
      </c>
      <c r="P85" s="318" t="n">
        <v>-0.13</v>
      </c>
      <c r="Q85" s="318" t="n">
        <v>-0.06125</v>
      </c>
      <c r="R85" s="318" t="n">
        <v>-0.0625</v>
      </c>
      <c r="S85" s="318" t="n">
        <v>0.125</v>
      </c>
      <c r="T85" s="318" t="n">
        <v>0.155</v>
      </c>
      <c r="U85" s="318" t="n">
        <v>0.04</v>
      </c>
      <c r="V85" s="318" t="n">
        <v>0.5</v>
      </c>
      <c r="W85" s="318" t="n">
        <v>0.15</v>
      </c>
      <c r="X85" s="318" t="n">
        <v>0.205</v>
      </c>
      <c r="Y85" s="318" t="n">
        <v>-0.0215</v>
      </c>
      <c r="Z85" s="318" t="n">
        <v>-0.0475</v>
      </c>
      <c r="AA85" s="318" t="n">
        <v>0.0105</v>
      </c>
      <c r="AB85" s="318" t="n">
        <v>-0.007</v>
      </c>
      <c r="AC85" s="318" t="n">
        <v>0.0025</v>
      </c>
      <c r="AD85" s="318" t="n">
        <v>-0.0225</v>
      </c>
      <c r="AE85" s="318" t="n">
        <v>-0.0725</v>
      </c>
      <c r="AF85" s="318" t="n">
        <v>-0.061</v>
      </c>
      <c r="AG85" s="318" t="n">
        <v>-0.0835</v>
      </c>
      <c r="AH85" s="318" t="n">
        <v>-0.0175</v>
      </c>
      <c r="AI85" s="318" t="n">
        <v>-0.072</v>
      </c>
      <c r="AJ85" s="318" t="n">
        <v>-0.06</v>
      </c>
      <c r="AK85" s="318" t="n">
        <v>-0.017</v>
      </c>
      <c r="AL85" s="318" t="n">
        <v>0.023</v>
      </c>
      <c r="AM85" s="318" t="n">
        <v>0.41</v>
      </c>
      <c r="AN85" s="318" t="n">
        <v>0.03</v>
      </c>
      <c r="AO85" s="318" t="n">
        <v>-0.47</v>
      </c>
      <c r="AP85" s="318" t="n">
        <v>-0.07</v>
      </c>
      <c r="AQ85" s="318" t="n">
        <v>-0.195</v>
      </c>
      <c r="AR85" s="318" t="n">
        <v>-0.25</v>
      </c>
      <c r="AS85" s="318" t="n">
        <v>-0.39</v>
      </c>
      <c r="AT85" s="318" t="n">
        <v>0</v>
      </c>
      <c r="AU85" s="318" t="n">
        <v>0.26</v>
      </c>
      <c r="AV85" s="318" t="n">
        <v>-0.47</v>
      </c>
      <c r="AW85" s="318" t="n">
        <v>-0.142</v>
      </c>
      <c r="AX85" s="318" t="n">
        <v>-0.06</v>
      </c>
      <c r="AY85" s="318" t="n">
        <v>-0.082</v>
      </c>
      <c r="AZ85" s="318" t="n">
        <v>-0.0525</v>
      </c>
      <c r="BA85" s="318" t="n">
        <v>-0.0745</v>
      </c>
      <c r="BB85" s="318" t="n">
        <v>-0.0175</v>
      </c>
      <c r="BC85" s="318" t="n">
        <v>-0.0575</v>
      </c>
      <c r="BD85" s="318" t="n">
        <v>0</v>
      </c>
      <c r="BE85" s="318" t="n">
        <v>-0.0725</v>
      </c>
      <c r="BF85" s="318" t="n">
        <v>0.06</v>
      </c>
      <c r="BG85" s="318" t="n">
        <v>0.155</v>
      </c>
      <c r="BH85" s="318" t="n">
        <v>0.155</v>
      </c>
      <c r="BI85" s="318" t="n">
        <v>0.125</v>
      </c>
      <c r="BJ85" s="318" t="n">
        <v>0.35</v>
      </c>
      <c r="BK85" s="318" t="n">
        <v>0.0025</v>
      </c>
      <c r="BL85" s="318" t="n">
        <v>-0.01</v>
      </c>
      <c r="BM85" s="318" t="n">
        <v>0.005</v>
      </c>
      <c r="BN85" s="318" t="n">
        <v>-0.01</v>
      </c>
      <c r="BO85" s="318" t="n">
        <v>0</v>
      </c>
      <c r="BP85" s="318" t="n">
        <v>0.005</v>
      </c>
      <c r="BQ85" s="318" t="n">
        <v>0.0025</v>
      </c>
      <c r="BR85" s="318" t="n">
        <v>0.01</v>
      </c>
      <c r="BS85" s="0" t="n">
        <v>0.005</v>
      </c>
      <c r="BT85" s="0" t="n">
        <v>0.036</v>
      </c>
      <c r="BU85" s="0" t="n">
        <v>0.036</v>
      </c>
      <c r="BV85" s="0" t="n">
        <v>0.03</v>
      </c>
    </row>
    <row r="86" customFormat="false" ht="12.75" hidden="false" customHeight="false" outlineLevel="0" collapsed="false">
      <c r="A86" s="320" t="e">
        <f aca="false">#REF!-B86</f>
        <v>#REF!</v>
      </c>
      <c r="B86" s="320" t="n">
        <v>3.309</v>
      </c>
      <c r="C86" s="327" t="n">
        <f aca="false">EOMONTH(C85,0)+1</f>
        <v>39722</v>
      </c>
      <c r="D86" s="0" t="n">
        <f aca="false">D74+0.05</f>
        <v>3.364</v>
      </c>
      <c r="E86" s="320" t="n">
        <v>0.23</v>
      </c>
      <c r="F86" s="318" t="n">
        <v>0.0549577237085983</v>
      </c>
      <c r="G86" s="318" t="n">
        <v>-0.13</v>
      </c>
      <c r="H86" s="318" t="n">
        <v>-0.15</v>
      </c>
      <c r="I86" s="330" t="n">
        <v>-0.09</v>
      </c>
      <c r="J86" s="330" t="n">
        <v>-0.13</v>
      </c>
      <c r="K86" s="318" t="n">
        <v>-0.09</v>
      </c>
      <c r="L86" s="318" t="n">
        <v>-0.0525</v>
      </c>
      <c r="M86" s="318" t="n">
        <v>-0.0725</v>
      </c>
      <c r="N86" s="318" t="n">
        <v>-0.12</v>
      </c>
      <c r="O86" s="318" t="n">
        <v>-0.12</v>
      </c>
      <c r="P86" s="318" t="n">
        <v>-0.13</v>
      </c>
      <c r="Q86" s="318" t="n">
        <v>-0.065</v>
      </c>
      <c r="R86" s="318" t="n">
        <v>-0.0625</v>
      </c>
      <c r="S86" s="318" t="n">
        <v>0.125</v>
      </c>
      <c r="T86" s="318" t="n">
        <v>0.155</v>
      </c>
      <c r="U86" s="318" t="n">
        <v>0.04</v>
      </c>
      <c r="V86" s="318" t="n">
        <v>0.5</v>
      </c>
      <c r="W86" s="318" t="n">
        <v>0.125</v>
      </c>
      <c r="X86" s="318" t="n">
        <v>0.145</v>
      </c>
      <c r="Y86" s="318" t="n">
        <v>-0.0215</v>
      </c>
      <c r="Z86" s="318" t="n">
        <v>-0.0525</v>
      </c>
      <c r="AA86" s="318" t="n">
        <v>0.0105</v>
      </c>
      <c r="AB86" s="318" t="n">
        <v>-0.007</v>
      </c>
      <c r="AC86" s="318" t="n">
        <v>0.0025</v>
      </c>
      <c r="AD86" s="318" t="n">
        <v>-0.0225</v>
      </c>
      <c r="AE86" s="318" t="n">
        <v>-0.0725</v>
      </c>
      <c r="AF86" s="318" t="n">
        <v>-0.061</v>
      </c>
      <c r="AG86" s="318" t="n">
        <v>-0.0835</v>
      </c>
      <c r="AH86" s="318" t="n">
        <v>-0.0175</v>
      </c>
      <c r="AI86" s="318" t="n">
        <v>-0.072</v>
      </c>
      <c r="AJ86" s="318" t="n">
        <v>-0.0675</v>
      </c>
      <c r="AK86" s="318" t="n">
        <v>-0.017</v>
      </c>
      <c r="AL86" s="318" t="n">
        <v>0.023</v>
      </c>
      <c r="AM86" s="318" t="n">
        <v>0.36</v>
      </c>
      <c r="AN86" s="318" t="n">
        <v>0.0225</v>
      </c>
      <c r="AO86" s="318" t="n">
        <v>-0.47</v>
      </c>
      <c r="AP86" s="318" t="n">
        <v>-0.07</v>
      </c>
      <c r="AQ86" s="318" t="n">
        <v>-0.195</v>
      </c>
      <c r="AR86" s="318" t="n">
        <v>-0.25</v>
      </c>
      <c r="AS86" s="318" t="n">
        <v>-0.39</v>
      </c>
      <c r="AT86" s="318" t="n">
        <v>0</v>
      </c>
      <c r="AU86" s="318" t="n">
        <v>0.26</v>
      </c>
      <c r="AV86" s="318" t="n">
        <v>-0.47</v>
      </c>
      <c r="AW86" s="318" t="n">
        <v>-0.152</v>
      </c>
      <c r="AX86" s="318" t="n">
        <v>-0.06</v>
      </c>
      <c r="AY86" s="318" t="n">
        <v>-0.092</v>
      </c>
      <c r="AZ86" s="318" t="n">
        <v>-0.0525</v>
      </c>
      <c r="BA86" s="318" t="n">
        <v>-0.0795</v>
      </c>
      <c r="BB86" s="318" t="n">
        <v>-0.0175</v>
      </c>
      <c r="BC86" s="318" t="n">
        <v>-0.0575</v>
      </c>
      <c r="BD86" s="318" t="n">
        <v>-0.0075</v>
      </c>
      <c r="BE86" s="318" t="n">
        <v>-0.0725</v>
      </c>
      <c r="BF86" s="318" t="n">
        <v>0.06</v>
      </c>
      <c r="BG86" s="318" t="n">
        <v>0.155</v>
      </c>
      <c r="BH86" s="318" t="n">
        <v>0.155</v>
      </c>
      <c r="BI86" s="318" t="n">
        <v>0.125</v>
      </c>
      <c r="BJ86" s="318" t="n">
        <v>0.315</v>
      </c>
      <c r="BK86" s="318" t="n">
        <v>0.0025</v>
      </c>
      <c r="BL86" s="318" t="n">
        <v>-0.01</v>
      </c>
      <c r="BM86" s="318" t="n">
        <v>0.005</v>
      </c>
      <c r="BN86" s="318" t="n">
        <v>-0.01</v>
      </c>
      <c r="BO86" s="318" t="n">
        <v>0</v>
      </c>
      <c r="BP86" s="318" t="n">
        <v>0.005</v>
      </c>
      <c r="BQ86" s="318" t="n">
        <v>0.0025</v>
      </c>
      <c r="BR86" s="318" t="n">
        <v>0.01</v>
      </c>
      <c r="BS86" s="0" t="n">
        <v>0.005</v>
      </c>
      <c r="BT86" s="0" t="n">
        <v>0.036</v>
      </c>
      <c r="BU86" s="0" t="n">
        <v>0.036</v>
      </c>
      <c r="BV86" s="0" t="n">
        <v>0.03</v>
      </c>
    </row>
    <row r="87" customFormat="false" ht="12.75" hidden="false" customHeight="false" outlineLevel="0" collapsed="false">
      <c r="A87" s="320" t="e">
        <f aca="false">#REF!-B87</f>
        <v>#REF!</v>
      </c>
      <c r="B87" s="320" t="n">
        <v>3.166</v>
      </c>
      <c r="C87" s="327" t="n">
        <f aca="false">EOMONTH(C86,0)+1</f>
        <v>39753</v>
      </c>
      <c r="D87" s="0" t="n">
        <f aca="false">D75+0.05</f>
        <v>3.509</v>
      </c>
      <c r="E87" s="320" t="n">
        <v>0.23</v>
      </c>
      <c r="F87" s="318" t="n">
        <v>0.0551333822454474</v>
      </c>
      <c r="G87" s="318" t="n">
        <v>-0.13</v>
      </c>
      <c r="H87" s="318" t="n">
        <v>-0.15</v>
      </c>
      <c r="I87" s="330" t="n">
        <v>-0.09</v>
      </c>
      <c r="J87" s="330" t="n">
        <v>-0.13</v>
      </c>
      <c r="K87" s="318" t="n">
        <v>-0.09</v>
      </c>
      <c r="L87" s="318" t="n">
        <v>-0.0525</v>
      </c>
      <c r="M87" s="318" t="n">
        <v>-0.0725</v>
      </c>
      <c r="N87" s="318" t="n">
        <v>-0.12</v>
      </c>
      <c r="O87" s="318" t="n">
        <v>-0.12</v>
      </c>
      <c r="P87" s="318" t="n">
        <v>-0.13</v>
      </c>
      <c r="Q87" s="318" t="n">
        <v>-0.07</v>
      </c>
      <c r="R87" s="318" t="n">
        <v>-0.0625</v>
      </c>
      <c r="S87" s="318" t="n">
        <v>0.125</v>
      </c>
      <c r="T87" s="318" t="n">
        <v>0.155</v>
      </c>
      <c r="U87" s="318" t="n">
        <v>0.04</v>
      </c>
      <c r="V87" s="318" t="n">
        <v>0.5</v>
      </c>
      <c r="W87" s="318" t="n">
        <v>0.145</v>
      </c>
      <c r="X87" s="318" t="n">
        <v>0.175</v>
      </c>
      <c r="Y87" s="318" t="n">
        <v>-0.0215</v>
      </c>
      <c r="Z87" s="318" t="n">
        <v>-0.0525</v>
      </c>
      <c r="AA87" s="318" t="n">
        <v>0.0055</v>
      </c>
      <c r="AB87" s="318" t="n">
        <v>-0.012</v>
      </c>
      <c r="AC87" s="318" t="n">
        <v>0.0025</v>
      </c>
      <c r="AD87" s="318" t="n">
        <v>-0.0225</v>
      </c>
      <c r="AE87" s="318" t="n">
        <v>-0.0725</v>
      </c>
      <c r="AF87" s="318" t="n">
        <v>-0.061</v>
      </c>
      <c r="AG87" s="318" t="n">
        <v>-0.0835</v>
      </c>
      <c r="AH87" s="318" t="n">
        <v>-0.0175</v>
      </c>
      <c r="AI87" s="318" t="n">
        <v>-0.072</v>
      </c>
      <c r="AJ87" s="318" t="n">
        <v>-0.0775</v>
      </c>
      <c r="AK87" s="318" t="n">
        <v>-0.017</v>
      </c>
      <c r="AL87" s="318" t="n">
        <v>0.023</v>
      </c>
      <c r="AM87" s="318" t="n">
        <v>0.4</v>
      </c>
      <c r="AN87" s="318" t="n">
        <v>0.0125</v>
      </c>
      <c r="AO87" s="318" t="n">
        <v>-0.47</v>
      </c>
      <c r="AP87" s="318" t="n">
        <v>-0.07</v>
      </c>
      <c r="AQ87" s="318" t="n">
        <v>-0.195</v>
      </c>
      <c r="AR87" s="318" t="n">
        <v>-0.25</v>
      </c>
      <c r="AS87" s="318" t="n">
        <v>-0.39</v>
      </c>
      <c r="AT87" s="318" t="n">
        <v>0</v>
      </c>
      <c r="AU87" s="318" t="n">
        <v>0.26</v>
      </c>
      <c r="AV87" s="318" t="n">
        <v>-0.47</v>
      </c>
      <c r="AW87" s="318" t="n">
        <v>-0.1395</v>
      </c>
      <c r="AX87" s="318" t="n">
        <v>-0.06</v>
      </c>
      <c r="AY87" s="318" t="n">
        <v>-0.0795</v>
      </c>
      <c r="AZ87" s="318" t="n">
        <v>-0.0525</v>
      </c>
      <c r="BA87" s="318" t="n">
        <v>-0.082</v>
      </c>
      <c r="BB87" s="318" t="n">
        <v>-0.0175</v>
      </c>
      <c r="BC87" s="318" t="n">
        <v>-0.0575</v>
      </c>
      <c r="BD87" s="318" t="n">
        <v>-0.0175</v>
      </c>
      <c r="BE87" s="318" t="n">
        <v>-0.0725</v>
      </c>
      <c r="BF87" s="318" t="n">
        <v>0.06</v>
      </c>
      <c r="BG87" s="318" t="n">
        <v>0.155</v>
      </c>
      <c r="BH87" s="318" t="n">
        <v>0.155</v>
      </c>
      <c r="BI87" s="318" t="n">
        <v>0.125</v>
      </c>
      <c r="BJ87" s="318" t="n">
        <v>0.36</v>
      </c>
      <c r="BK87" s="318" t="n">
        <v>0.0025</v>
      </c>
      <c r="BL87" s="318" t="n">
        <v>-0.015</v>
      </c>
      <c r="BM87" s="318" t="n">
        <v>0.005</v>
      </c>
      <c r="BN87" s="318" t="n">
        <v>-0.01</v>
      </c>
      <c r="BO87" s="318" t="n">
        <v>0</v>
      </c>
      <c r="BP87" s="318" t="n">
        <v>0.005</v>
      </c>
      <c r="BQ87" s="318" t="n">
        <v>0.0025</v>
      </c>
      <c r="BR87" s="318" t="n">
        <v>0.01</v>
      </c>
      <c r="BS87" s="0" t="n">
        <v>0.005</v>
      </c>
      <c r="BT87" s="0" t="n">
        <v>0.036</v>
      </c>
      <c r="BU87" s="0" t="n">
        <v>0.036</v>
      </c>
      <c r="BV87" s="0" t="n">
        <v>0.03</v>
      </c>
    </row>
    <row r="88" customFormat="false" ht="12.75" hidden="false" customHeight="false" outlineLevel="0" collapsed="false">
      <c r="A88" s="320" t="e">
        <f aca="false">#REF!-B88</f>
        <v>#REF!</v>
      </c>
      <c r="B88" s="320" t="n">
        <v>3.142</v>
      </c>
      <c r="C88" s="327" t="n">
        <f aca="false">EOMONTH(C87,0)+1</f>
        <v>39783</v>
      </c>
      <c r="D88" s="0" t="n">
        <f aca="false">D76+0.05</f>
        <v>3.644</v>
      </c>
      <c r="E88" s="320" t="n">
        <v>0.23</v>
      </c>
      <c r="F88" s="318" t="n">
        <v>0.0553148960776539</v>
      </c>
      <c r="G88" s="318" t="n">
        <v>-0.13</v>
      </c>
      <c r="H88" s="318" t="n">
        <v>-0.15</v>
      </c>
      <c r="I88" s="330" t="n">
        <v>-0.01</v>
      </c>
      <c r="J88" s="330" t="n">
        <v>-0.13</v>
      </c>
      <c r="K88" s="318" t="n">
        <v>0</v>
      </c>
      <c r="L88" s="318" t="n">
        <v>-0.0525</v>
      </c>
      <c r="M88" s="318" t="n">
        <v>-0.0875</v>
      </c>
      <c r="N88" s="318" t="n">
        <v>-0.12</v>
      </c>
      <c r="O88" s="318" t="n">
        <v>-0.12</v>
      </c>
      <c r="P88" s="318" t="n">
        <v>-0.13</v>
      </c>
      <c r="Q88" s="318" t="n">
        <v>-0.0825</v>
      </c>
      <c r="R88" s="318" t="n">
        <v>-0.0525</v>
      </c>
      <c r="S88" s="318" t="n">
        <v>0.155</v>
      </c>
      <c r="T88" s="318" t="n">
        <v>0.175</v>
      </c>
      <c r="U88" s="318" t="n">
        <v>0.13</v>
      </c>
      <c r="V88" s="318" t="n">
        <v>0.5</v>
      </c>
      <c r="W88" s="318" t="n">
        <v>0.195</v>
      </c>
      <c r="X88" s="318" t="n">
        <v>0.21</v>
      </c>
      <c r="Y88" s="318" t="n">
        <v>-0.019</v>
      </c>
      <c r="Z88" s="318" t="n">
        <v>-0.035</v>
      </c>
      <c r="AA88" s="318" t="n">
        <v>0.0065</v>
      </c>
      <c r="AB88" s="318" t="n">
        <v>-0.0135</v>
      </c>
      <c r="AC88" s="318" t="n">
        <v>0.0025</v>
      </c>
      <c r="AD88" s="318" t="n">
        <v>-0.0225</v>
      </c>
      <c r="AE88" s="318" t="n">
        <v>-0.075</v>
      </c>
      <c r="AF88" s="318" t="n">
        <v>-0.0635</v>
      </c>
      <c r="AG88" s="318" t="n">
        <v>-0.086</v>
      </c>
      <c r="AH88" s="318" t="n">
        <v>-0.014</v>
      </c>
      <c r="AI88" s="318" t="n">
        <v>-0.064</v>
      </c>
      <c r="AJ88" s="318" t="n">
        <v>-0.1125</v>
      </c>
      <c r="AK88" s="318" t="n">
        <v>-0.008999999</v>
      </c>
      <c r="AL88" s="318" t="n">
        <v>0.031</v>
      </c>
      <c r="AM88" s="318" t="n">
        <v>0.65</v>
      </c>
      <c r="AN88" s="318" t="n">
        <v>-0.0225</v>
      </c>
      <c r="AO88" s="318" t="n">
        <v>-0.34</v>
      </c>
      <c r="AP88" s="318" t="n">
        <v>-0.07</v>
      </c>
      <c r="AQ88" s="318" t="n">
        <v>-0.13</v>
      </c>
      <c r="AR88" s="318" t="n">
        <v>0.248</v>
      </c>
      <c r="AS88" s="318" t="n">
        <v>-0.26</v>
      </c>
      <c r="AT88" s="318" t="n">
        <v>0</v>
      </c>
      <c r="AU88" s="318" t="n">
        <v>0.24</v>
      </c>
      <c r="AV88" s="318" t="n">
        <v>-0.34</v>
      </c>
      <c r="AW88" s="318" t="n">
        <v>-0.147</v>
      </c>
      <c r="AX88" s="318" t="n">
        <v>-0.06</v>
      </c>
      <c r="AY88" s="318" t="n">
        <v>-0.087</v>
      </c>
      <c r="AZ88" s="318" t="n">
        <v>-0.0525</v>
      </c>
      <c r="BA88" s="318" t="n">
        <v>-0.077</v>
      </c>
      <c r="BB88" s="318" t="n">
        <v>-0.019</v>
      </c>
      <c r="BC88" s="318" t="n">
        <v>-0.0725</v>
      </c>
      <c r="BD88" s="318" t="n">
        <v>-0.0525</v>
      </c>
      <c r="BE88" s="318" t="n">
        <v>-0.075</v>
      </c>
      <c r="BF88" s="318" t="n">
        <v>0</v>
      </c>
      <c r="BG88" s="318" t="n">
        <v>0.17</v>
      </c>
      <c r="BH88" s="318" t="n">
        <v>0.175</v>
      </c>
      <c r="BI88" s="318" t="n">
        <v>0.155</v>
      </c>
      <c r="BJ88" s="318" t="n">
        <v>0.46</v>
      </c>
      <c r="BK88" s="318" t="n">
        <v>0.0025</v>
      </c>
      <c r="BL88" s="318" t="n">
        <v>-0.02</v>
      </c>
      <c r="BM88" s="318" t="n">
        <v>0.005</v>
      </c>
      <c r="BN88" s="318" t="n">
        <v>0</v>
      </c>
      <c r="BO88" s="318" t="n">
        <v>0</v>
      </c>
      <c r="BP88" s="318" t="n">
        <v>0.005</v>
      </c>
      <c r="BQ88" s="318" t="n">
        <v>0.005</v>
      </c>
      <c r="BR88" s="318" t="n">
        <v>0.055</v>
      </c>
      <c r="BS88" s="0" t="n">
        <v>0.02</v>
      </c>
      <c r="BT88" s="0" t="n">
        <v>0.038</v>
      </c>
      <c r="BU88" s="0" t="n">
        <v>0.038</v>
      </c>
      <c r="BV88" s="0" t="n">
        <v>0.03</v>
      </c>
    </row>
    <row r="89" customFormat="false" ht="12.75" hidden="false" customHeight="false" outlineLevel="0" collapsed="false">
      <c r="A89" s="320" t="e">
        <f aca="false">#REF!-B89</f>
        <v>#REF!</v>
      </c>
      <c r="B89" s="320" t="n">
        <v>3.126</v>
      </c>
      <c r="C89" s="327" t="n">
        <f aca="false">EOMONTH(C88,0)+1</f>
        <v>39814</v>
      </c>
      <c r="D89" s="0" t="n">
        <f aca="false">D77+0.05</f>
        <v>3.699</v>
      </c>
      <c r="E89" s="320" t="n">
        <v>0.23</v>
      </c>
      <c r="F89" s="318" t="n">
        <v>0.0554905546353979</v>
      </c>
      <c r="G89" s="318" t="n">
        <v>-0.1325</v>
      </c>
      <c r="H89" s="318" t="n">
        <v>-0.1525</v>
      </c>
      <c r="I89" s="330" t="n">
        <v>-0.005</v>
      </c>
      <c r="J89" s="330" t="n">
        <v>-0.13</v>
      </c>
      <c r="K89" s="318" t="n">
        <v>0.005</v>
      </c>
      <c r="L89" s="318" t="n">
        <v>-0.0525</v>
      </c>
      <c r="M89" s="318" t="n">
        <v>-0.0875</v>
      </c>
      <c r="N89" s="318" t="n">
        <v>-0.1225</v>
      </c>
      <c r="O89" s="318" t="n">
        <v>-0.1225</v>
      </c>
      <c r="P89" s="318" t="n">
        <v>-0.1325</v>
      </c>
      <c r="Q89" s="318" t="n">
        <v>-0.09375</v>
      </c>
      <c r="R89" s="318" t="n">
        <v>-0.0525</v>
      </c>
      <c r="S89" s="318" t="n">
        <v>0.155</v>
      </c>
      <c r="T89" s="318" t="n">
        <v>0.175</v>
      </c>
      <c r="U89" s="318" t="n">
        <v>0.13</v>
      </c>
      <c r="V89" s="318" t="n">
        <v>0.5</v>
      </c>
      <c r="W89" s="318" t="n">
        <v>0.215</v>
      </c>
      <c r="X89" s="318" t="n">
        <v>0.29</v>
      </c>
      <c r="Y89" s="318" t="n">
        <v>-0.019</v>
      </c>
      <c r="Z89" s="318" t="n">
        <v>-0.035</v>
      </c>
      <c r="AA89" s="318" t="n">
        <v>0.0065</v>
      </c>
      <c r="AB89" s="318" t="n">
        <v>-0.0135</v>
      </c>
      <c r="AC89" s="318" t="n">
        <v>0.0025</v>
      </c>
      <c r="AD89" s="318" t="n">
        <v>-0.0225</v>
      </c>
      <c r="AE89" s="318" t="n">
        <v>-0.075</v>
      </c>
      <c r="AF89" s="318" t="n">
        <v>-0.0615</v>
      </c>
      <c r="AG89" s="318" t="n">
        <v>-0.084</v>
      </c>
      <c r="AH89" s="318" t="n">
        <v>-0.0115</v>
      </c>
      <c r="AI89" s="318" t="n">
        <v>-0.064</v>
      </c>
      <c r="AJ89" s="318" t="n">
        <v>-0.135</v>
      </c>
      <c r="AK89" s="318" t="n">
        <v>-0.008999999</v>
      </c>
      <c r="AL89" s="318" t="n">
        <v>0.031</v>
      </c>
      <c r="AM89" s="318" t="n">
        <v>0.98</v>
      </c>
      <c r="AN89" s="318" t="n">
        <v>-0.045</v>
      </c>
      <c r="AO89" s="318" t="n">
        <v>-0.34</v>
      </c>
      <c r="AP89" s="318" t="n">
        <v>-0.07</v>
      </c>
      <c r="AQ89" s="318" t="n">
        <v>-0.13</v>
      </c>
      <c r="AR89" s="318" t="n">
        <v>0.308</v>
      </c>
      <c r="AS89" s="318" t="n">
        <v>-0.26</v>
      </c>
      <c r="AT89" s="318" t="n">
        <v>0</v>
      </c>
      <c r="AU89" s="318" t="n">
        <v>0.24</v>
      </c>
      <c r="AV89" s="318" t="n">
        <v>-0.34</v>
      </c>
      <c r="AW89" s="318" t="n">
        <v>-0.1745</v>
      </c>
      <c r="AX89" s="318" t="n">
        <v>-0.06</v>
      </c>
      <c r="AY89" s="318" t="n">
        <v>-0.1145</v>
      </c>
      <c r="AZ89" s="318" t="n">
        <v>-0.0525</v>
      </c>
      <c r="BA89" s="318" t="n">
        <v>-0.1045</v>
      </c>
      <c r="BB89" s="318" t="n">
        <v>-0.0165</v>
      </c>
      <c r="BC89" s="318" t="n">
        <v>-0.0725</v>
      </c>
      <c r="BD89" s="318" t="n">
        <v>-0.075</v>
      </c>
      <c r="BE89" s="318" t="n">
        <v>-0.075</v>
      </c>
      <c r="BF89" s="318" t="n">
        <v>0</v>
      </c>
      <c r="BG89" s="318" t="n">
        <v>0.17</v>
      </c>
      <c r="BH89" s="318" t="n">
        <v>0.175</v>
      </c>
      <c r="BI89" s="318" t="n">
        <v>0.155</v>
      </c>
      <c r="BJ89" s="318" t="n">
        <v>0.77</v>
      </c>
      <c r="BK89" s="318" t="n">
        <v>0.0025</v>
      </c>
      <c r="BL89" s="318" t="n">
        <v>-0.025</v>
      </c>
      <c r="BM89" s="318" t="n">
        <v>0.005</v>
      </c>
      <c r="BN89" s="318" t="n">
        <v>0</v>
      </c>
      <c r="BO89" s="318" t="n">
        <v>0</v>
      </c>
      <c r="BP89" s="318" t="n">
        <v>0.005</v>
      </c>
      <c r="BQ89" s="318" t="n">
        <v>0.005</v>
      </c>
      <c r="BR89" s="318" t="n">
        <v>0.25</v>
      </c>
      <c r="BS89" s="0" t="n">
        <v>0.02</v>
      </c>
      <c r="BT89" s="0" t="n">
        <v>0.038</v>
      </c>
      <c r="BU89" s="0" t="n">
        <v>0.038</v>
      </c>
      <c r="BV89" s="0" t="n">
        <v>0.03</v>
      </c>
    </row>
    <row r="90" customFormat="false" ht="12.75" hidden="false" customHeight="false" outlineLevel="0" collapsed="false">
      <c r="A90" s="320" t="e">
        <f aca="false">#REF!-B90</f>
        <v>#REF!</v>
      </c>
      <c r="B90" s="320" t="n">
        <v>3.191</v>
      </c>
      <c r="C90" s="327" t="n">
        <f aca="false">EOMONTH(C89,0)+1</f>
        <v>39845</v>
      </c>
      <c r="D90" s="0" t="n">
        <f aca="false">D78+0.05</f>
        <v>3.551</v>
      </c>
      <c r="E90" s="320" t="n">
        <v>0.23</v>
      </c>
      <c r="F90" s="318" t="n">
        <v>0.0556292858091121</v>
      </c>
      <c r="G90" s="318" t="n">
        <v>-0.135</v>
      </c>
      <c r="H90" s="318" t="n">
        <v>-0.155</v>
      </c>
      <c r="I90" s="330" t="n">
        <v>0.015</v>
      </c>
      <c r="J90" s="330" t="n">
        <v>-0.13</v>
      </c>
      <c r="K90" s="318" t="n">
        <v>0.025</v>
      </c>
      <c r="L90" s="318" t="n">
        <v>-0.0525</v>
      </c>
      <c r="M90" s="318" t="n">
        <v>-0.0875</v>
      </c>
      <c r="N90" s="318" t="n">
        <v>-0.125</v>
      </c>
      <c r="O90" s="318" t="n">
        <v>-0.125</v>
      </c>
      <c r="P90" s="318" t="n">
        <v>-0.135</v>
      </c>
      <c r="Q90" s="318" t="n">
        <v>-0.095</v>
      </c>
      <c r="R90" s="318" t="n">
        <v>-0.0525</v>
      </c>
      <c r="S90" s="318" t="n">
        <v>0.155</v>
      </c>
      <c r="T90" s="318" t="n">
        <v>0.175</v>
      </c>
      <c r="U90" s="318" t="n">
        <v>0.13</v>
      </c>
      <c r="V90" s="318" t="n">
        <v>0.5</v>
      </c>
      <c r="W90" s="318" t="n">
        <v>0.235</v>
      </c>
      <c r="X90" s="318" t="n">
        <v>0.34</v>
      </c>
      <c r="Y90" s="318" t="n">
        <v>-0.017</v>
      </c>
      <c r="Z90" s="318" t="n">
        <v>-0.035</v>
      </c>
      <c r="AA90" s="318" t="n">
        <v>0.0065</v>
      </c>
      <c r="AB90" s="318" t="n">
        <v>-0.0135</v>
      </c>
      <c r="AC90" s="318" t="n">
        <v>0.0025</v>
      </c>
      <c r="AD90" s="318" t="n">
        <v>-0.0225</v>
      </c>
      <c r="AE90" s="318" t="n">
        <v>-0.075</v>
      </c>
      <c r="AF90" s="318" t="n">
        <v>-0.0615</v>
      </c>
      <c r="AG90" s="318" t="n">
        <v>-0.084</v>
      </c>
      <c r="AH90" s="318" t="n">
        <v>-0.0115</v>
      </c>
      <c r="AI90" s="318" t="n">
        <v>-0.064</v>
      </c>
      <c r="AJ90" s="318" t="n">
        <v>-0.1375</v>
      </c>
      <c r="AK90" s="318" t="n">
        <v>-0.008999999</v>
      </c>
      <c r="AL90" s="318" t="n">
        <v>0.031</v>
      </c>
      <c r="AM90" s="318" t="n">
        <v>1.6</v>
      </c>
      <c r="AN90" s="318" t="n">
        <v>-0.0475</v>
      </c>
      <c r="AO90" s="318" t="n">
        <v>-0.34</v>
      </c>
      <c r="AP90" s="318" t="n">
        <v>-0.07</v>
      </c>
      <c r="AQ90" s="318" t="n">
        <v>-0.13</v>
      </c>
      <c r="AR90" s="318" t="n">
        <v>0.378</v>
      </c>
      <c r="AS90" s="318" t="n">
        <v>-0.26</v>
      </c>
      <c r="AT90" s="318" t="n">
        <v>0</v>
      </c>
      <c r="AU90" s="318" t="n">
        <v>0.24</v>
      </c>
      <c r="AV90" s="318" t="n">
        <v>-0.34</v>
      </c>
      <c r="AW90" s="318" t="n">
        <v>-0.1895</v>
      </c>
      <c r="AX90" s="318" t="n">
        <v>-0.06</v>
      </c>
      <c r="AY90" s="318" t="n">
        <v>-0.1295</v>
      </c>
      <c r="AZ90" s="318" t="n">
        <v>-0.0525</v>
      </c>
      <c r="BA90" s="318" t="n">
        <v>-0.105</v>
      </c>
      <c r="BB90" s="318" t="n">
        <v>-0.0165</v>
      </c>
      <c r="BC90" s="318" t="n">
        <v>-0.0725</v>
      </c>
      <c r="BD90" s="318" t="n">
        <v>-0.0775</v>
      </c>
      <c r="BE90" s="318" t="n">
        <v>-0.075</v>
      </c>
      <c r="BF90" s="318" t="n">
        <v>0</v>
      </c>
      <c r="BG90" s="318" t="n">
        <v>0.17</v>
      </c>
      <c r="BH90" s="318" t="n">
        <v>0.175</v>
      </c>
      <c r="BI90" s="318" t="n">
        <v>0.155</v>
      </c>
      <c r="BJ90" s="318" t="n">
        <v>1.04</v>
      </c>
      <c r="BK90" s="318" t="n">
        <v>0.0025</v>
      </c>
      <c r="BL90" s="318" t="n">
        <v>-0.025</v>
      </c>
      <c r="BM90" s="318" t="n">
        <v>0.005</v>
      </c>
      <c r="BN90" s="318" t="n">
        <v>0</v>
      </c>
      <c r="BO90" s="318" t="n">
        <v>0</v>
      </c>
      <c r="BP90" s="318" t="n">
        <v>0.005</v>
      </c>
      <c r="BQ90" s="318" t="n">
        <v>0.005</v>
      </c>
      <c r="BR90" s="318" t="n">
        <v>0.45</v>
      </c>
      <c r="BS90" s="0" t="n">
        <v>0.02</v>
      </c>
      <c r="BT90" s="0" t="n">
        <v>0.038</v>
      </c>
      <c r="BU90" s="0" t="n">
        <v>0.038</v>
      </c>
      <c r="BV90" s="0" t="n">
        <v>0.03</v>
      </c>
    </row>
    <row r="91" customFormat="false" ht="12.75" hidden="false" customHeight="false" outlineLevel="0" collapsed="false">
      <c r="A91" s="320" t="e">
        <f aca="false">#REF!-B91</f>
        <v>#REF!</v>
      </c>
      <c r="B91" s="320" t="n">
        <v>3.186</v>
      </c>
      <c r="C91" s="327" t="n">
        <f aca="false">EOMONTH(C90,0)+1</f>
        <v>39873</v>
      </c>
      <c r="D91" s="0" t="n">
        <f aca="false">D79+0.05</f>
        <v>3.5</v>
      </c>
      <c r="E91" s="320" t="n">
        <v>0.2275</v>
      </c>
      <c r="F91" s="318" t="n">
        <v>0.055732784192704</v>
      </c>
      <c r="G91" s="318" t="n">
        <v>-0.1275</v>
      </c>
      <c r="H91" s="318" t="n">
        <v>-0.1475</v>
      </c>
      <c r="I91" s="330" t="n">
        <v>0.01</v>
      </c>
      <c r="J91" s="330" t="n">
        <v>-0.13</v>
      </c>
      <c r="K91" s="318" t="n">
        <v>0.02</v>
      </c>
      <c r="L91" s="318" t="n">
        <v>-0.0525</v>
      </c>
      <c r="M91" s="318" t="n">
        <v>-0.0875</v>
      </c>
      <c r="N91" s="318" t="n">
        <v>-0.1175</v>
      </c>
      <c r="O91" s="318" t="n">
        <v>-0.1175</v>
      </c>
      <c r="P91" s="318" t="n">
        <v>-0.1275</v>
      </c>
      <c r="Q91" s="318" t="n">
        <v>-0.08625</v>
      </c>
      <c r="R91" s="318" t="n">
        <v>-0.0525</v>
      </c>
      <c r="S91" s="318" t="n">
        <v>0.155</v>
      </c>
      <c r="T91" s="318" t="n">
        <v>0.175</v>
      </c>
      <c r="U91" s="318" t="n">
        <v>0.13</v>
      </c>
      <c r="V91" s="318" t="n">
        <v>0.5</v>
      </c>
      <c r="W91" s="318" t="n">
        <v>0.235</v>
      </c>
      <c r="X91" s="318" t="n">
        <v>0.34</v>
      </c>
      <c r="Y91" s="318" t="n">
        <v>-0.017</v>
      </c>
      <c r="Z91" s="318" t="n">
        <v>-0.035</v>
      </c>
      <c r="AA91" s="318" t="n">
        <v>0.0065</v>
      </c>
      <c r="AB91" s="318" t="n">
        <v>-0.0135</v>
      </c>
      <c r="AC91" s="318" t="n">
        <v>0.0025</v>
      </c>
      <c r="AD91" s="318" t="n">
        <v>-0.0225</v>
      </c>
      <c r="AE91" s="318" t="n">
        <v>-0.075</v>
      </c>
      <c r="AF91" s="318" t="n">
        <v>-0.0615</v>
      </c>
      <c r="AG91" s="318" t="n">
        <v>-0.084</v>
      </c>
      <c r="AH91" s="318" t="n">
        <v>-0.0115</v>
      </c>
      <c r="AI91" s="318" t="n">
        <v>-0.064</v>
      </c>
      <c r="AJ91" s="318" t="n">
        <v>-0.12</v>
      </c>
      <c r="AK91" s="318" t="n">
        <v>-0.008999999</v>
      </c>
      <c r="AL91" s="318" t="n">
        <v>0.031</v>
      </c>
      <c r="AM91" s="318" t="n">
        <v>1.6</v>
      </c>
      <c r="AN91" s="318" t="n">
        <v>-0.03</v>
      </c>
      <c r="AO91" s="318" t="n">
        <v>-0.34</v>
      </c>
      <c r="AP91" s="318" t="n">
        <v>-0.07</v>
      </c>
      <c r="AQ91" s="318" t="n">
        <v>-0.13</v>
      </c>
      <c r="AR91" s="318" t="n">
        <v>0.248</v>
      </c>
      <c r="AS91" s="318" t="n">
        <v>-0.26</v>
      </c>
      <c r="AT91" s="318" t="n">
        <v>0</v>
      </c>
      <c r="AU91" s="318" t="n">
        <v>0.24</v>
      </c>
      <c r="AV91" s="318" t="n">
        <v>-0.34</v>
      </c>
      <c r="AW91" s="318" t="n">
        <v>-0.1795</v>
      </c>
      <c r="AX91" s="318" t="n">
        <v>-0.06</v>
      </c>
      <c r="AY91" s="318" t="n">
        <v>-0.1195</v>
      </c>
      <c r="AZ91" s="318" t="n">
        <v>-0.0525</v>
      </c>
      <c r="BA91" s="318" t="n">
        <v>-0.105</v>
      </c>
      <c r="BB91" s="318" t="n">
        <v>-0.0165</v>
      </c>
      <c r="BC91" s="318" t="n">
        <v>-0.0725</v>
      </c>
      <c r="BD91" s="318" t="n">
        <v>-0.06</v>
      </c>
      <c r="BE91" s="318" t="n">
        <v>-0.075</v>
      </c>
      <c r="BF91" s="318" t="n">
        <v>0</v>
      </c>
      <c r="BG91" s="318" t="n">
        <v>0.17</v>
      </c>
      <c r="BH91" s="318" t="n">
        <v>0.175</v>
      </c>
      <c r="BI91" s="318" t="n">
        <v>0.155</v>
      </c>
      <c r="BJ91" s="318" t="n">
        <v>1.04</v>
      </c>
      <c r="BK91" s="318" t="n">
        <v>0.0025</v>
      </c>
      <c r="BL91" s="318" t="n">
        <v>-0.025</v>
      </c>
      <c r="BM91" s="318" t="n">
        <v>0.005</v>
      </c>
      <c r="BN91" s="318" t="n">
        <v>0</v>
      </c>
      <c r="BO91" s="318" t="n">
        <v>0</v>
      </c>
      <c r="BP91" s="318" t="n">
        <v>0.005</v>
      </c>
      <c r="BQ91" s="318" t="n">
        <v>0.005</v>
      </c>
      <c r="BR91" s="318" t="n">
        <v>0.45</v>
      </c>
      <c r="BS91" s="0" t="n">
        <v>0.02</v>
      </c>
      <c r="BT91" s="0" t="n">
        <v>0.038</v>
      </c>
      <c r="BU91" s="0" t="n">
        <v>0.038</v>
      </c>
      <c r="BV91" s="0" t="n">
        <v>0.03</v>
      </c>
    </row>
    <row r="92" customFormat="false" ht="12.75" hidden="false" customHeight="false" outlineLevel="0" collapsed="false">
      <c r="A92" s="320" t="e">
        <f aca="false">#REF!-B92</f>
        <v>#REF!</v>
      </c>
      <c r="B92" s="320" t="n">
        <v>3.172</v>
      </c>
      <c r="C92" s="327" t="n">
        <f aca="false">EOMONTH(C91,0)+1</f>
        <v>39904</v>
      </c>
      <c r="D92" s="0" t="n">
        <f aca="false">D80+0.05</f>
        <v>3.281</v>
      </c>
      <c r="E92" s="320" t="n">
        <v>0.22</v>
      </c>
      <c r="F92" s="318" t="n">
        <v>0.0558262666067555</v>
      </c>
      <c r="G92" s="318" t="n">
        <v>-0.125</v>
      </c>
      <c r="H92" s="318" t="n">
        <v>-0.145</v>
      </c>
      <c r="I92" s="330" t="n">
        <v>-0.01</v>
      </c>
      <c r="J92" s="330" t="n">
        <v>-0.13</v>
      </c>
      <c r="K92" s="318" t="n">
        <v>0</v>
      </c>
      <c r="L92" s="318" t="n">
        <v>-0.0525</v>
      </c>
      <c r="M92" s="318" t="n">
        <v>-0.0875</v>
      </c>
      <c r="N92" s="318" t="n">
        <v>-0.115</v>
      </c>
      <c r="O92" s="318" t="n">
        <v>-0.115</v>
      </c>
      <c r="P92" s="318" t="n">
        <v>-0.125</v>
      </c>
      <c r="Q92" s="318" t="n">
        <v>-0.08</v>
      </c>
      <c r="R92" s="318" t="n">
        <v>-0.0525</v>
      </c>
      <c r="S92" s="318" t="n">
        <v>0.155</v>
      </c>
      <c r="T92" s="318" t="n">
        <v>0.175</v>
      </c>
      <c r="U92" s="318" t="n">
        <v>0.13</v>
      </c>
      <c r="V92" s="318" t="n">
        <v>0.5</v>
      </c>
      <c r="W92" s="318" t="n">
        <v>0.195</v>
      </c>
      <c r="X92" s="318" t="n">
        <v>0.29</v>
      </c>
      <c r="Y92" s="318" t="n">
        <v>-0.017</v>
      </c>
      <c r="Z92" s="318" t="n">
        <v>-0.035</v>
      </c>
      <c r="AA92" s="318" t="n">
        <v>0.014</v>
      </c>
      <c r="AB92" s="318" t="n">
        <v>-0.006</v>
      </c>
      <c r="AC92" s="318" t="n">
        <v>0.0025</v>
      </c>
      <c r="AD92" s="318" t="n">
        <v>-0.0225</v>
      </c>
      <c r="AE92" s="318" t="n">
        <v>-0.075</v>
      </c>
      <c r="AF92" s="318" t="n">
        <v>-0.0615</v>
      </c>
      <c r="AG92" s="318" t="n">
        <v>-0.084</v>
      </c>
      <c r="AH92" s="318" t="n">
        <v>-0.0115</v>
      </c>
      <c r="AI92" s="318" t="n">
        <v>-0.064</v>
      </c>
      <c r="AJ92" s="318" t="n">
        <v>-0.1075</v>
      </c>
      <c r="AK92" s="318" t="n">
        <v>-0.008999999</v>
      </c>
      <c r="AL92" s="318" t="n">
        <v>0.031</v>
      </c>
      <c r="AM92" s="318" t="n">
        <v>0.64</v>
      </c>
      <c r="AN92" s="318" t="n">
        <v>-0.0175</v>
      </c>
      <c r="AO92" s="318" t="n">
        <v>-0.34</v>
      </c>
      <c r="AP92" s="318" t="n">
        <v>-0.07</v>
      </c>
      <c r="AQ92" s="318" t="n">
        <v>-0.13</v>
      </c>
      <c r="AR92" s="318" t="n">
        <v>0.068</v>
      </c>
      <c r="AS92" s="318" t="n">
        <v>-0.26</v>
      </c>
      <c r="AT92" s="318" t="n">
        <v>0</v>
      </c>
      <c r="AU92" s="318" t="n">
        <v>0.24</v>
      </c>
      <c r="AV92" s="318" t="n">
        <v>-0.34</v>
      </c>
      <c r="AW92" s="318" t="n">
        <v>-0.1695</v>
      </c>
      <c r="AX92" s="318" t="n">
        <v>-0.06</v>
      </c>
      <c r="AY92" s="318" t="n">
        <v>-0.1095</v>
      </c>
      <c r="AZ92" s="318" t="n">
        <v>-0.0525</v>
      </c>
      <c r="BA92" s="318" t="n">
        <v>-0.105</v>
      </c>
      <c r="BB92" s="318" t="n">
        <v>-0.0165</v>
      </c>
      <c r="BC92" s="318" t="n">
        <v>-0.0725</v>
      </c>
      <c r="BD92" s="318" t="n">
        <v>-0.0475</v>
      </c>
      <c r="BE92" s="318" t="n">
        <v>-0.075</v>
      </c>
      <c r="BF92" s="318" t="n">
        <v>0</v>
      </c>
      <c r="BG92" s="318" t="n">
        <v>0.17</v>
      </c>
      <c r="BH92" s="318" t="n">
        <v>0.175</v>
      </c>
      <c r="BI92" s="318" t="n">
        <v>0.155</v>
      </c>
      <c r="BJ92" s="318" t="n">
        <v>0.54</v>
      </c>
      <c r="BK92" s="318" t="n">
        <v>0.0025</v>
      </c>
      <c r="BL92" s="318" t="n">
        <v>-0.02</v>
      </c>
      <c r="BM92" s="318" t="n">
        <v>0.005</v>
      </c>
      <c r="BN92" s="318" t="n">
        <v>0</v>
      </c>
      <c r="BO92" s="318" t="n">
        <v>0</v>
      </c>
      <c r="BP92" s="318" t="n">
        <v>0.005</v>
      </c>
      <c r="BQ92" s="318" t="n">
        <v>0.005</v>
      </c>
      <c r="BR92" s="318" t="n">
        <v>0.1</v>
      </c>
      <c r="BS92" s="0" t="n">
        <v>0.02</v>
      </c>
      <c r="BT92" s="0" t="n">
        <v>0.038</v>
      </c>
      <c r="BU92" s="0" t="n">
        <v>0.038</v>
      </c>
      <c r="BV92" s="0" t="n">
        <v>0.03</v>
      </c>
    </row>
    <row r="93" customFormat="false" ht="12.75" hidden="false" customHeight="false" outlineLevel="0" collapsed="false">
      <c r="A93" s="320" t="e">
        <f aca="false">#REF!-B93</f>
        <v>#REF!</v>
      </c>
      <c r="B93" s="320" t="n">
        <v>3.186</v>
      </c>
      <c r="C93" s="327" t="n">
        <f aca="false">EOMONTH(C92,0)+1</f>
        <v>39934</v>
      </c>
      <c r="D93" s="0" t="n">
        <f aca="false">D81+0.05</f>
        <v>3.284</v>
      </c>
      <c r="E93" s="320" t="n">
        <v>0.2025</v>
      </c>
      <c r="F93" s="318" t="n">
        <v>0.0559297649971344</v>
      </c>
      <c r="G93" s="318" t="n">
        <v>-0.13</v>
      </c>
      <c r="H93" s="318" t="n">
        <v>-0.15</v>
      </c>
      <c r="I93" s="330" t="n">
        <v>-0.09</v>
      </c>
      <c r="J93" s="330" t="n">
        <v>-0.13</v>
      </c>
      <c r="K93" s="318" t="n">
        <v>-0.09</v>
      </c>
      <c r="L93" s="318" t="n">
        <v>-0.05</v>
      </c>
      <c r="M93" s="318" t="n">
        <v>-0.07</v>
      </c>
      <c r="N93" s="318" t="n">
        <v>-0.12</v>
      </c>
      <c r="O93" s="318" t="n">
        <v>-0.12</v>
      </c>
      <c r="P93" s="318" t="n">
        <v>-0.13</v>
      </c>
      <c r="Q93" s="318" t="n">
        <v>-0.06</v>
      </c>
      <c r="R93" s="318" t="n">
        <v>-0.05</v>
      </c>
      <c r="S93" s="318" t="n">
        <v>0.125</v>
      </c>
      <c r="T93" s="318" t="n">
        <v>0.145</v>
      </c>
      <c r="U93" s="318" t="n">
        <v>0.04</v>
      </c>
      <c r="V93" s="318" t="n">
        <v>0.5</v>
      </c>
      <c r="W93" s="318" t="n">
        <v>0.145</v>
      </c>
      <c r="X93" s="318" t="n">
        <v>0.195</v>
      </c>
      <c r="Y93" s="318" t="n">
        <v>-0.0195</v>
      </c>
      <c r="Z93" s="318" t="n">
        <v>-0.05</v>
      </c>
      <c r="AA93" s="318" t="n">
        <v>0.014</v>
      </c>
      <c r="AB93" s="318" t="n">
        <v>-0.006</v>
      </c>
      <c r="AC93" s="318" t="n">
        <v>0.0025</v>
      </c>
      <c r="AD93" s="318" t="n">
        <v>-0.0225</v>
      </c>
      <c r="AE93" s="318" t="n">
        <v>-0.0725</v>
      </c>
      <c r="AF93" s="318" t="n">
        <v>-0.059</v>
      </c>
      <c r="AG93" s="318" t="n">
        <v>-0.0815</v>
      </c>
      <c r="AH93" s="318" t="n">
        <v>-0.0165</v>
      </c>
      <c r="AI93" s="318" t="n">
        <v>-0.072</v>
      </c>
      <c r="AJ93" s="318" t="n">
        <v>-0.07</v>
      </c>
      <c r="AK93" s="318" t="n">
        <v>-0.017</v>
      </c>
      <c r="AL93" s="318" t="n">
        <v>0.023</v>
      </c>
      <c r="AM93" s="318" t="n">
        <v>0.38</v>
      </c>
      <c r="AN93" s="318" t="n">
        <v>0.02</v>
      </c>
      <c r="AO93" s="318" t="n">
        <v>-0.47</v>
      </c>
      <c r="AP93" s="318" t="n">
        <v>-0.07</v>
      </c>
      <c r="AQ93" s="318" t="n">
        <v>-0.195</v>
      </c>
      <c r="AR93" s="318" t="n">
        <v>-0.25</v>
      </c>
      <c r="AS93" s="318" t="n">
        <v>-0.39</v>
      </c>
      <c r="AT93" s="318" t="n">
        <v>0</v>
      </c>
      <c r="AU93" s="318" t="n">
        <v>0.26</v>
      </c>
      <c r="AV93" s="318" t="n">
        <v>-0.47</v>
      </c>
      <c r="AW93" s="318" t="n">
        <v>-0.21</v>
      </c>
      <c r="AX93" s="318" t="n">
        <v>-0.06</v>
      </c>
      <c r="AY93" s="318" t="n">
        <v>-0.15</v>
      </c>
      <c r="AZ93" s="318" t="n">
        <v>-0.05</v>
      </c>
      <c r="BA93" s="318" t="n">
        <v>-0.1275</v>
      </c>
      <c r="BB93" s="318" t="n">
        <v>-0.0165</v>
      </c>
      <c r="BC93" s="318" t="n">
        <v>-0.055</v>
      </c>
      <c r="BD93" s="318" t="n">
        <v>-0.01</v>
      </c>
      <c r="BE93" s="318" t="n">
        <v>-0.0725</v>
      </c>
      <c r="BF93" s="318" t="n">
        <v>0</v>
      </c>
      <c r="BG93" s="318" t="n">
        <v>0.14</v>
      </c>
      <c r="BH93" s="318" t="n">
        <v>0.145</v>
      </c>
      <c r="BI93" s="318" t="n">
        <v>0.125</v>
      </c>
      <c r="BJ93" s="318" t="n">
        <v>0.36</v>
      </c>
      <c r="BK93" s="318" t="n">
        <v>0.0025</v>
      </c>
      <c r="BL93" s="318" t="n">
        <v>-0.015</v>
      </c>
      <c r="BM93" s="318" t="n">
        <v>0.005</v>
      </c>
      <c r="BN93" s="318" t="n">
        <v>-0.01</v>
      </c>
      <c r="BO93" s="318" t="n">
        <v>0</v>
      </c>
      <c r="BP93" s="318" t="n">
        <v>0.005</v>
      </c>
      <c r="BQ93" s="318" t="n">
        <v>0.0025</v>
      </c>
      <c r="BR93" s="318" t="n">
        <v>0.02</v>
      </c>
      <c r="BS93" s="0" t="n">
        <v>0.005</v>
      </c>
      <c r="BT93" s="0" t="n">
        <v>0.038</v>
      </c>
      <c r="BU93" s="0" t="n">
        <v>0.038</v>
      </c>
      <c r="BV93" s="0" t="n">
        <v>0.03</v>
      </c>
    </row>
    <row r="94" customFormat="false" ht="12.75" hidden="false" customHeight="false" outlineLevel="0" collapsed="false">
      <c r="A94" s="320" t="e">
        <f aca="false">#REF!-B94</f>
        <v>#REF!</v>
      </c>
      <c r="B94" s="320" t="n">
        <v>3.278</v>
      </c>
      <c r="C94" s="327" t="n">
        <f aca="false">EOMONTH(C93,0)+1</f>
        <v>39965</v>
      </c>
      <c r="D94" s="0" t="n">
        <f aca="false">D82+0.05</f>
        <v>3.324</v>
      </c>
      <c r="E94" s="320" t="n">
        <v>0.2025</v>
      </c>
      <c r="F94" s="318" t="n">
        <v>0.0560299247331555</v>
      </c>
      <c r="G94" s="318" t="n">
        <v>-0.13</v>
      </c>
      <c r="H94" s="318" t="n">
        <v>-0.15</v>
      </c>
      <c r="I94" s="330" t="n">
        <v>-0.09</v>
      </c>
      <c r="J94" s="330" t="n">
        <v>-0.13</v>
      </c>
      <c r="K94" s="318" t="n">
        <v>-0.09</v>
      </c>
      <c r="L94" s="318" t="n">
        <v>-0.05</v>
      </c>
      <c r="M94" s="318" t="n">
        <v>-0.07</v>
      </c>
      <c r="N94" s="318" t="n">
        <v>-0.12</v>
      </c>
      <c r="O94" s="318" t="n">
        <v>-0.12</v>
      </c>
      <c r="P94" s="318" t="n">
        <v>-0.13</v>
      </c>
      <c r="Q94" s="318" t="n">
        <v>-0.06</v>
      </c>
      <c r="R94" s="318" t="n">
        <v>-0.05</v>
      </c>
      <c r="S94" s="318" t="n">
        <v>0.125</v>
      </c>
      <c r="T94" s="318" t="n">
        <v>0.145</v>
      </c>
      <c r="U94" s="318" t="n">
        <v>0.04</v>
      </c>
      <c r="V94" s="318" t="n">
        <v>0.5</v>
      </c>
      <c r="W94" s="318" t="n">
        <v>0.125</v>
      </c>
      <c r="X94" s="318" t="n">
        <v>0.135</v>
      </c>
      <c r="Y94" s="318" t="n">
        <v>-0.0195</v>
      </c>
      <c r="Z94" s="318" t="n">
        <v>-0.05</v>
      </c>
      <c r="AA94" s="318" t="n">
        <v>0.0165</v>
      </c>
      <c r="AB94" s="318" t="n">
        <v>-0.0035</v>
      </c>
      <c r="AC94" s="318" t="n">
        <v>0.0025</v>
      </c>
      <c r="AD94" s="318" t="n">
        <v>-0.0225</v>
      </c>
      <c r="AE94" s="318" t="n">
        <v>-0.0725</v>
      </c>
      <c r="AF94" s="318" t="n">
        <v>-0.059</v>
      </c>
      <c r="AG94" s="318" t="n">
        <v>-0.0815</v>
      </c>
      <c r="AH94" s="318" t="n">
        <v>-0.0165</v>
      </c>
      <c r="AI94" s="318" t="n">
        <v>-0.072</v>
      </c>
      <c r="AJ94" s="318" t="n">
        <v>-0.07</v>
      </c>
      <c r="AK94" s="318" t="n">
        <v>-0.017</v>
      </c>
      <c r="AL94" s="318" t="n">
        <v>0.023</v>
      </c>
      <c r="AM94" s="318" t="n">
        <v>0.33</v>
      </c>
      <c r="AN94" s="318" t="n">
        <v>0.02</v>
      </c>
      <c r="AO94" s="318" t="n">
        <v>-0.47</v>
      </c>
      <c r="AP94" s="318" t="n">
        <v>-0.07</v>
      </c>
      <c r="AQ94" s="318" t="n">
        <v>-0.195</v>
      </c>
      <c r="AR94" s="318" t="n">
        <v>-0.25</v>
      </c>
      <c r="AS94" s="318" t="n">
        <v>-0.39</v>
      </c>
      <c r="AT94" s="318" t="n">
        <v>0</v>
      </c>
      <c r="AU94" s="318" t="n">
        <v>0.26</v>
      </c>
      <c r="AV94" s="318" t="n">
        <v>-0.47</v>
      </c>
      <c r="AW94" s="318" t="n">
        <v>-0.1875</v>
      </c>
      <c r="AX94" s="318" t="n">
        <v>-0.06</v>
      </c>
      <c r="AY94" s="318" t="n">
        <v>-0.1275</v>
      </c>
      <c r="AZ94" s="318" t="n">
        <v>-0.05</v>
      </c>
      <c r="BA94" s="318" t="n">
        <v>-0.12</v>
      </c>
      <c r="BB94" s="318" t="n">
        <v>-0.0165</v>
      </c>
      <c r="BC94" s="318" t="n">
        <v>-0.055</v>
      </c>
      <c r="BD94" s="318" t="n">
        <v>-0.01</v>
      </c>
      <c r="BE94" s="318" t="n">
        <v>-0.0725</v>
      </c>
      <c r="BF94" s="318" t="n">
        <v>0</v>
      </c>
      <c r="BG94" s="318" t="n">
        <v>0.14</v>
      </c>
      <c r="BH94" s="318" t="n">
        <v>0.145</v>
      </c>
      <c r="BI94" s="318" t="n">
        <v>0.125</v>
      </c>
      <c r="BJ94" s="318" t="n">
        <v>0.325</v>
      </c>
      <c r="BK94" s="318" t="n">
        <v>0.0025</v>
      </c>
      <c r="BL94" s="318" t="n">
        <v>-0.015</v>
      </c>
      <c r="BM94" s="318" t="n">
        <v>0.005</v>
      </c>
      <c r="BN94" s="318" t="n">
        <v>-0.01</v>
      </c>
      <c r="BO94" s="318" t="n">
        <v>0</v>
      </c>
      <c r="BP94" s="318" t="n">
        <v>0.005</v>
      </c>
      <c r="BQ94" s="318" t="n">
        <v>0.0025</v>
      </c>
      <c r="BR94" s="318" t="n">
        <v>0.02</v>
      </c>
      <c r="BS94" s="0" t="n">
        <v>0.005</v>
      </c>
      <c r="BT94" s="0" t="n">
        <v>0.038</v>
      </c>
      <c r="BU94" s="0" t="n">
        <v>0.038</v>
      </c>
      <c r="BV94" s="0" t="n">
        <v>0.03</v>
      </c>
    </row>
    <row r="95" customFormat="false" ht="12.75" hidden="false" customHeight="false" outlineLevel="0" collapsed="false">
      <c r="A95" s="320" t="e">
        <f aca="false">#REF!-B95</f>
        <v>#REF!</v>
      </c>
      <c r="B95" s="320" t="n">
        <v>3.375</v>
      </c>
      <c r="C95" s="327" t="n">
        <f aca="false">EOMONTH(C94,0)+1</f>
        <v>39995</v>
      </c>
      <c r="D95" s="0" t="n">
        <f aca="false">D83+0.05</f>
        <v>3.364</v>
      </c>
      <c r="E95" s="320" t="n">
        <v>0.2025</v>
      </c>
      <c r="F95" s="318" t="n">
        <v>0.0561334231305515</v>
      </c>
      <c r="G95" s="318" t="n">
        <v>-0.13</v>
      </c>
      <c r="H95" s="318" t="n">
        <v>-0.15</v>
      </c>
      <c r="I95" s="330" t="n">
        <v>-0.09</v>
      </c>
      <c r="J95" s="330" t="n">
        <v>-0.13</v>
      </c>
      <c r="K95" s="318" t="n">
        <v>-0.09</v>
      </c>
      <c r="L95" s="318" t="n">
        <v>-0.05</v>
      </c>
      <c r="M95" s="318" t="n">
        <v>-0.07</v>
      </c>
      <c r="N95" s="318" t="n">
        <v>-0.12</v>
      </c>
      <c r="O95" s="318" t="n">
        <v>-0.12</v>
      </c>
      <c r="P95" s="318" t="n">
        <v>-0.13</v>
      </c>
      <c r="Q95" s="318" t="n">
        <v>-0.0575</v>
      </c>
      <c r="R95" s="318" t="n">
        <v>-0.05</v>
      </c>
      <c r="S95" s="318" t="n">
        <v>0.125</v>
      </c>
      <c r="T95" s="318" t="n">
        <v>0.145</v>
      </c>
      <c r="U95" s="318" t="n">
        <v>0.04</v>
      </c>
      <c r="V95" s="318" t="n">
        <v>0.5</v>
      </c>
      <c r="W95" s="318" t="n">
        <v>0.145</v>
      </c>
      <c r="X95" s="318" t="n">
        <v>0.165</v>
      </c>
      <c r="Y95" s="318" t="n">
        <v>-0.0195</v>
      </c>
      <c r="Z95" s="318" t="n">
        <v>-0.0475</v>
      </c>
      <c r="AA95" s="318" t="n">
        <v>0.0165</v>
      </c>
      <c r="AB95" s="318" t="n">
        <v>-0.0035</v>
      </c>
      <c r="AC95" s="318" t="n">
        <v>0.0025</v>
      </c>
      <c r="AD95" s="318" t="n">
        <v>-0.0225</v>
      </c>
      <c r="AE95" s="318" t="n">
        <v>-0.0725</v>
      </c>
      <c r="AF95" s="318" t="n">
        <v>-0.059</v>
      </c>
      <c r="AG95" s="318" t="n">
        <v>-0.0815</v>
      </c>
      <c r="AH95" s="318" t="n">
        <v>-0.0165</v>
      </c>
      <c r="AI95" s="318" t="n">
        <v>-0.072</v>
      </c>
      <c r="AJ95" s="318" t="n">
        <v>-0.065</v>
      </c>
      <c r="AK95" s="318" t="n">
        <v>-0.017</v>
      </c>
      <c r="AL95" s="318" t="n">
        <v>0.023</v>
      </c>
      <c r="AM95" s="318" t="n">
        <v>0.37</v>
      </c>
      <c r="AN95" s="318" t="n">
        <v>0.025</v>
      </c>
      <c r="AO95" s="318" t="n">
        <v>-0.47</v>
      </c>
      <c r="AP95" s="318" t="n">
        <v>-0.07</v>
      </c>
      <c r="AQ95" s="318" t="n">
        <v>-0.195</v>
      </c>
      <c r="AR95" s="318" t="n">
        <v>-0.25</v>
      </c>
      <c r="AS95" s="318" t="n">
        <v>-0.39</v>
      </c>
      <c r="AT95" s="318" t="n">
        <v>0</v>
      </c>
      <c r="AU95" s="318" t="n">
        <v>0.26</v>
      </c>
      <c r="AV95" s="318" t="n">
        <v>-0.47</v>
      </c>
      <c r="AW95" s="318" t="n">
        <v>-0.135</v>
      </c>
      <c r="AX95" s="318" t="n">
        <v>-0.06</v>
      </c>
      <c r="AY95" s="318" t="n">
        <v>-0.075</v>
      </c>
      <c r="AZ95" s="318" t="n">
        <v>-0.05</v>
      </c>
      <c r="BA95" s="318" t="n">
        <v>-0.0775</v>
      </c>
      <c r="BB95" s="318" t="n">
        <v>-0.0165</v>
      </c>
      <c r="BC95" s="318" t="n">
        <v>-0.055</v>
      </c>
      <c r="BD95" s="318" t="n">
        <v>-0.005</v>
      </c>
      <c r="BE95" s="318" t="n">
        <v>-0.0725</v>
      </c>
      <c r="BF95" s="318" t="n">
        <v>0</v>
      </c>
      <c r="BG95" s="318" t="n">
        <v>0.14</v>
      </c>
      <c r="BH95" s="318" t="n">
        <v>0.145</v>
      </c>
      <c r="BI95" s="318" t="n">
        <v>0.125</v>
      </c>
      <c r="BJ95" s="318" t="n">
        <v>0.335</v>
      </c>
      <c r="BK95" s="318" t="n">
        <v>0.0025</v>
      </c>
      <c r="BL95" s="318" t="n">
        <v>-0.015</v>
      </c>
      <c r="BM95" s="318" t="n">
        <v>0.005</v>
      </c>
      <c r="BN95" s="318" t="n">
        <v>-0.01</v>
      </c>
      <c r="BO95" s="318" t="n">
        <v>0</v>
      </c>
      <c r="BP95" s="318" t="n">
        <v>0.005</v>
      </c>
      <c r="BQ95" s="318" t="n">
        <v>0.0025</v>
      </c>
      <c r="BR95" s="318" t="n">
        <v>0.035</v>
      </c>
      <c r="BS95" s="0" t="n">
        <v>0.005</v>
      </c>
      <c r="BT95" s="0" t="n">
        <v>0.038</v>
      </c>
      <c r="BU95" s="0" t="n">
        <v>0.038</v>
      </c>
      <c r="BV95" s="0" t="n">
        <v>0.03</v>
      </c>
    </row>
    <row r="96" customFormat="false" ht="12.75" hidden="false" customHeight="false" outlineLevel="0" collapsed="false">
      <c r="A96" s="320" t="e">
        <f aca="false">#REF!-B96</f>
        <v>#REF!</v>
      </c>
      <c r="B96" s="320" t="n">
        <v>3.603</v>
      </c>
      <c r="C96" s="327" t="n">
        <f aca="false">EOMONTH(C95,0)+1</f>
        <v>40026</v>
      </c>
      <c r="D96" s="0" t="n">
        <f aca="false">D84+0.05</f>
        <v>3.414</v>
      </c>
      <c r="E96" s="320" t="n">
        <v>0.2025</v>
      </c>
      <c r="F96" s="318" t="n">
        <v>0.0562335828733631</v>
      </c>
      <c r="G96" s="318" t="n">
        <v>-0.13</v>
      </c>
      <c r="H96" s="318" t="n">
        <v>-0.15</v>
      </c>
      <c r="I96" s="330" t="n">
        <v>-0.09</v>
      </c>
      <c r="J96" s="330" t="n">
        <v>-0.13</v>
      </c>
      <c r="K96" s="318" t="n">
        <v>-0.09</v>
      </c>
      <c r="L96" s="318" t="n">
        <v>-0.05</v>
      </c>
      <c r="M96" s="318" t="n">
        <v>-0.07</v>
      </c>
      <c r="N96" s="318" t="n">
        <v>-0.12</v>
      </c>
      <c r="O96" s="318" t="n">
        <v>-0.12</v>
      </c>
      <c r="P96" s="318" t="n">
        <v>-0.13</v>
      </c>
      <c r="Q96" s="318" t="n">
        <v>-0.05625</v>
      </c>
      <c r="R96" s="318" t="n">
        <v>-0.05</v>
      </c>
      <c r="S96" s="318" t="n">
        <v>0.125</v>
      </c>
      <c r="T96" s="318" t="n">
        <v>0.145</v>
      </c>
      <c r="U96" s="318" t="n">
        <v>0.04</v>
      </c>
      <c r="V96" s="318" t="n">
        <v>0.5</v>
      </c>
      <c r="W96" s="318" t="n">
        <v>0.15</v>
      </c>
      <c r="X96" s="318" t="n">
        <v>0.205</v>
      </c>
      <c r="Y96" s="318" t="n">
        <v>-0.0195</v>
      </c>
      <c r="Z96" s="318" t="n">
        <v>-0.0475</v>
      </c>
      <c r="AA96" s="318" t="n">
        <v>0.0165</v>
      </c>
      <c r="AB96" s="318" t="n">
        <v>-0.0035</v>
      </c>
      <c r="AC96" s="318" t="n">
        <v>0.0025</v>
      </c>
      <c r="AD96" s="318" t="n">
        <v>-0.0225</v>
      </c>
      <c r="AE96" s="318" t="n">
        <v>-0.0725</v>
      </c>
      <c r="AF96" s="318" t="n">
        <v>-0.059</v>
      </c>
      <c r="AG96" s="318" t="n">
        <v>-0.0815</v>
      </c>
      <c r="AH96" s="318" t="n">
        <v>-0.0165</v>
      </c>
      <c r="AI96" s="318" t="n">
        <v>-0.072</v>
      </c>
      <c r="AJ96" s="318" t="n">
        <v>-0.0625</v>
      </c>
      <c r="AK96" s="318" t="n">
        <v>-0.017</v>
      </c>
      <c r="AL96" s="318" t="n">
        <v>0.023</v>
      </c>
      <c r="AM96" s="318" t="n">
        <v>0.41</v>
      </c>
      <c r="AN96" s="318" t="n">
        <v>0.0275</v>
      </c>
      <c r="AO96" s="318" t="n">
        <v>-0.47</v>
      </c>
      <c r="AP96" s="318" t="n">
        <v>-0.07</v>
      </c>
      <c r="AQ96" s="318" t="n">
        <v>-0.195</v>
      </c>
      <c r="AR96" s="318" t="n">
        <v>-0.25</v>
      </c>
      <c r="AS96" s="318" t="n">
        <v>-0.39</v>
      </c>
      <c r="AT96" s="318" t="n">
        <v>0</v>
      </c>
      <c r="AU96" s="318" t="n">
        <v>0.26</v>
      </c>
      <c r="AV96" s="318" t="n">
        <v>-0.47</v>
      </c>
      <c r="AW96" s="318" t="n">
        <v>-0.145</v>
      </c>
      <c r="AX96" s="318" t="n">
        <v>-0.06</v>
      </c>
      <c r="AY96" s="318" t="n">
        <v>-0.085</v>
      </c>
      <c r="AZ96" s="318" t="n">
        <v>-0.05</v>
      </c>
      <c r="BA96" s="318" t="n">
        <v>-0.075</v>
      </c>
      <c r="BB96" s="318" t="n">
        <v>-0.0165</v>
      </c>
      <c r="BC96" s="318" t="n">
        <v>-0.055</v>
      </c>
      <c r="BD96" s="318" t="n">
        <v>-0.0025</v>
      </c>
      <c r="BE96" s="318" t="n">
        <v>-0.0725</v>
      </c>
      <c r="BF96" s="318" t="n">
        <v>0</v>
      </c>
      <c r="BG96" s="318" t="n">
        <v>0.14</v>
      </c>
      <c r="BH96" s="318" t="n">
        <v>0.145</v>
      </c>
      <c r="BI96" s="318" t="n">
        <v>0.125</v>
      </c>
      <c r="BJ96" s="318" t="n">
        <v>0.35</v>
      </c>
      <c r="BK96" s="318" t="n">
        <v>0.0025</v>
      </c>
      <c r="BL96" s="318" t="n">
        <v>-0.01</v>
      </c>
      <c r="BM96" s="318" t="n">
        <v>0.005</v>
      </c>
      <c r="BN96" s="318" t="n">
        <v>-0.01</v>
      </c>
      <c r="BO96" s="318" t="n">
        <v>0</v>
      </c>
      <c r="BP96" s="318" t="n">
        <v>0.005</v>
      </c>
      <c r="BQ96" s="318" t="n">
        <v>0.0025</v>
      </c>
      <c r="BR96" s="318" t="n">
        <v>0.035</v>
      </c>
      <c r="BS96" s="0" t="n">
        <v>0.005</v>
      </c>
      <c r="BT96" s="0" t="n">
        <v>0.038</v>
      </c>
      <c r="BU96" s="0" t="n">
        <v>0.038</v>
      </c>
      <c r="BV96" s="0" t="n">
        <v>0.03</v>
      </c>
    </row>
    <row r="97" customFormat="false" ht="12.75" hidden="false" customHeight="false" outlineLevel="0" collapsed="false">
      <c r="A97" s="320" t="e">
        <f aca="false">#REF!-B97</f>
        <v>#REF!</v>
      </c>
      <c r="B97" s="320" t="n">
        <v>3.496</v>
      </c>
      <c r="C97" s="327" t="n">
        <f aca="false">EOMONTH(C96,0)+1</f>
        <v>40057</v>
      </c>
      <c r="D97" s="0" t="n">
        <f aca="false">D85+0.05</f>
        <v>3.399</v>
      </c>
      <c r="E97" s="320" t="n">
        <v>0.2025</v>
      </c>
      <c r="F97" s="318" t="n">
        <v>0.0563370812777757</v>
      </c>
      <c r="G97" s="318" t="n">
        <v>-0.13</v>
      </c>
      <c r="H97" s="318" t="n">
        <v>-0.15</v>
      </c>
      <c r="I97" s="330" t="n">
        <v>-0.09</v>
      </c>
      <c r="J97" s="330" t="n">
        <v>-0.13</v>
      </c>
      <c r="K97" s="318" t="n">
        <v>-0.09</v>
      </c>
      <c r="L97" s="318" t="n">
        <v>-0.05</v>
      </c>
      <c r="M97" s="318" t="n">
        <v>-0.07</v>
      </c>
      <c r="N97" s="318" t="n">
        <v>-0.12</v>
      </c>
      <c r="O97" s="318" t="n">
        <v>-0.12</v>
      </c>
      <c r="P97" s="318" t="n">
        <v>-0.13</v>
      </c>
      <c r="Q97" s="318" t="n">
        <v>-0.055</v>
      </c>
      <c r="R97" s="318" t="n">
        <v>-0.05</v>
      </c>
      <c r="S97" s="318" t="n">
        <v>0.125</v>
      </c>
      <c r="T97" s="318" t="n">
        <v>0.145</v>
      </c>
      <c r="U97" s="318" t="n">
        <v>0.04</v>
      </c>
      <c r="V97" s="318" t="n">
        <v>0.5</v>
      </c>
      <c r="W97" s="318" t="n">
        <v>0.15</v>
      </c>
      <c r="X97" s="318" t="n">
        <v>0.205</v>
      </c>
      <c r="Y97" s="318" t="n">
        <v>-0.0195</v>
      </c>
      <c r="Z97" s="318" t="n">
        <v>-0.0475</v>
      </c>
      <c r="AA97" s="318" t="n">
        <v>0.0115</v>
      </c>
      <c r="AB97" s="318" t="n">
        <v>-0.0085</v>
      </c>
      <c r="AC97" s="318" t="n">
        <v>0.0025</v>
      </c>
      <c r="AD97" s="318" t="n">
        <v>-0.0225</v>
      </c>
      <c r="AE97" s="318" t="n">
        <v>-0.0725</v>
      </c>
      <c r="AF97" s="318" t="n">
        <v>-0.059</v>
      </c>
      <c r="AG97" s="318" t="n">
        <v>-0.0815</v>
      </c>
      <c r="AH97" s="318" t="n">
        <v>-0.0165</v>
      </c>
      <c r="AI97" s="318" t="n">
        <v>-0.072</v>
      </c>
      <c r="AJ97" s="318" t="n">
        <v>-0.06</v>
      </c>
      <c r="AK97" s="318" t="n">
        <v>-0.017</v>
      </c>
      <c r="AL97" s="318" t="n">
        <v>0.023</v>
      </c>
      <c r="AM97" s="318" t="n">
        <v>0.41</v>
      </c>
      <c r="AN97" s="318" t="n">
        <v>0.03</v>
      </c>
      <c r="AO97" s="318" t="n">
        <v>-0.47</v>
      </c>
      <c r="AP97" s="318" t="n">
        <v>-0.07</v>
      </c>
      <c r="AQ97" s="318" t="n">
        <v>-0.195</v>
      </c>
      <c r="AR97" s="318" t="n">
        <v>-0.25</v>
      </c>
      <c r="AS97" s="318" t="n">
        <v>-0.39</v>
      </c>
      <c r="AT97" s="318" t="n">
        <v>0</v>
      </c>
      <c r="AU97" s="318" t="n">
        <v>0.26</v>
      </c>
      <c r="AV97" s="318" t="n">
        <v>-0.47</v>
      </c>
      <c r="AW97" s="318" t="n">
        <v>-0.14</v>
      </c>
      <c r="AX97" s="318" t="n">
        <v>-0.06</v>
      </c>
      <c r="AY97" s="318" t="n">
        <v>-0.08</v>
      </c>
      <c r="AZ97" s="318" t="n">
        <v>-0.05</v>
      </c>
      <c r="BA97" s="318" t="n">
        <v>-0.0725</v>
      </c>
      <c r="BB97" s="318" t="n">
        <v>-0.0165</v>
      </c>
      <c r="BC97" s="318" t="n">
        <v>-0.055</v>
      </c>
      <c r="BD97" s="318" t="n">
        <v>0</v>
      </c>
      <c r="BE97" s="318" t="n">
        <v>-0.0725</v>
      </c>
      <c r="BF97" s="318" t="n">
        <v>0</v>
      </c>
      <c r="BG97" s="318" t="n">
        <v>0.14</v>
      </c>
      <c r="BH97" s="318" t="n">
        <v>0.145</v>
      </c>
      <c r="BI97" s="318" t="n">
        <v>0.125</v>
      </c>
      <c r="BJ97" s="318" t="n">
        <v>0.35</v>
      </c>
      <c r="BK97" s="318" t="n">
        <v>0.0025</v>
      </c>
      <c r="BL97" s="318" t="n">
        <v>-0.01</v>
      </c>
      <c r="BM97" s="318" t="n">
        <v>0.005</v>
      </c>
      <c r="BN97" s="318" t="n">
        <v>-0.01</v>
      </c>
      <c r="BO97" s="318" t="n">
        <v>0</v>
      </c>
      <c r="BP97" s="318" t="n">
        <v>0.005</v>
      </c>
      <c r="BQ97" s="318" t="n">
        <v>0.0025</v>
      </c>
      <c r="BR97" s="318" t="n">
        <v>0.01</v>
      </c>
      <c r="BS97" s="0" t="n">
        <v>0.005</v>
      </c>
      <c r="BT97" s="0" t="n">
        <v>0.038</v>
      </c>
      <c r="BU97" s="0" t="n">
        <v>0.038</v>
      </c>
      <c r="BV97" s="0" t="n">
        <v>0.03</v>
      </c>
    </row>
    <row r="98" customFormat="false" ht="12.75" hidden="false" customHeight="false" outlineLevel="0" collapsed="false">
      <c r="A98" s="320" t="e">
        <f aca="false">#REF!-B98</f>
        <v>#REF!</v>
      </c>
      <c r="B98" s="320" t="n">
        <v>3.353</v>
      </c>
      <c r="C98" s="327" t="n">
        <f aca="false">EOMONTH(C97,0)+1</f>
        <v>40087</v>
      </c>
      <c r="D98" s="0" t="n">
        <f aca="false">D86+0.05</f>
        <v>3.414</v>
      </c>
      <c r="E98" s="320" t="n">
        <v>0.2025</v>
      </c>
      <c r="F98" s="318" t="n">
        <v>0.0564405796857548</v>
      </c>
      <c r="G98" s="318" t="n">
        <v>-0.13</v>
      </c>
      <c r="H98" s="318" t="n">
        <v>-0.15</v>
      </c>
      <c r="I98" s="330" t="n">
        <v>-0.09</v>
      </c>
      <c r="J98" s="330" t="n">
        <v>-0.13</v>
      </c>
      <c r="K98" s="318" t="n">
        <v>-0.09</v>
      </c>
      <c r="L98" s="318" t="n">
        <v>-0.05</v>
      </c>
      <c r="M98" s="318" t="n">
        <v>-0.07</v>
      </c>
      <c r="N98" s="318" t="n">
        <v>-0.12</v>
      </c>
      <c r="O98" s="318" t="n">
        <v>-0.12</v>
      </c>
      <c r="P98" s="318" t="n">
        <v>-0.13</v>
      </c>
      <c r="Q98" s="318" t="n">
        <v>-0.05875</v>
      </c>
      <c r="R98" s="318" t="n">
        <v>-0.05</v>
      </c>
      <c r="S98" s="318" t="n">
        <v>0.125</v>
      </c>
      <c r="T98" s="318" t="n">
        <v>0.145</v>
      </c>
      <c r="U98" s="318" t="n">
        <v>0.04</v>
      </c>
      <c r="V98" s="318" t="n">
        <v>0.5</v>
      </c>
      <c r="W98" s="318" t="n">
        <v>0.125</v>
      </c>
      <c r="X98" s="318" t="n">
        <v>0.145</v>
      </c>
      <c r="Y98" s="318" t="n">
        <v>-0.0195</v>
      </c>
      <c r="Z98" s="318" t="n">
        <v>-0.0525</v>
      </c>
      <c r="AA98" s="318" t="n">
        <v>0.0115</v>
      </c>
      <c r="AB98" s="318" t="n">
        <v>-0.0085</v>
      </c>
      <c r="AC98" s="318" t="n">
        <v>0.0025</v>
      </c>
      <c r="AD98" s="318" t="n">
        <v>-0.0225</v>
      </c>
      <c r="AE98" s="318" t="n">
        <v>-0.0725</v>
      </c>
      <c r="AF98" s="318" t="n">
        <v>-0.059</v>
      </c>
      <c r="AG98" s="318" t="n">
        <v>-0.0815</v>
      </c>
      <c r="AH98" s="318" t="n">
        <v>-0.0165</v>
      </c>
      <c r="AI98" s="318" t="n">
        <v>-0.072</v>
      </c>
      <c r="AJ98" s="318" t="n">
        <v>-0.0675</v>
      </c>
      <c r="AK98" s="318" t="n">
        <v>-0.017</v>
      </c>
      <c r="AL98" s="318" t="n">
        <v>0.023</v>
      </c>
      <c r="AM98" s="318" t="n">
        <v>0.36</v>
      </c>
      <c r="AN98" s="318" t="n">
        <v>0.0225</v>
      </c>
      <c r="AO98" s="318" t="n">
        <v>-0.47</v>
      </c>
      <c r="AP98" s="318" t="n">
        <v>-0.07</v>
      </c>
      <c r="AQ98" s="318" t="n">
        <v>-0.195</v>
      </c>
      <c r="AR98" s="318" t="n">
        <v>-0.25</v>
      </c>
      <c r="AS98" s="318" t="n">
        <v>-0.39</v>
      </c>
      <c r="AT98" s="318" t="n">
        <v>0</v>
      </c>
      <c r="AU98" s="318" t="n">
        <v>0.26</v>
      </c>
      <c r="AV98" s="318" t="n">
        <v>-0.47</v>
      </c>
      <c r="AW98" s="318" t="n">
        <v>-0.15</v>
      </c>
      <c r="AX98" s="318" t="n">
        <v>-0.06</v>
      </c>
      <c r="AY98" s="318" t="n">
        <v>-0.09</v>
      </c>
      <c r="AZ98" s="318" t="n">
        <v>-0.05</v>
      </c>
      <c r="BA98" s="318" t="n">
        <v>-0.0775</v>
      </c>
      <c r="BB98" s="318" t="n">
        <v>-0.0165</v>
      </c>
      <c r="BC98" s="318" t="n">
        <v>-0.055</v>
      </c>
      <c r="BD98" s="318" t="n">
        <v>-0.0075</v>
      </c>
      <c r="BE98" s="318" t="n">
        <v>-0.0725</v>
      </c>
      <c r="BF98" s="318" t="n">
        <v>0</v>
      </c>
      <c r="BG98" s="318" t="n">
        <v>0.14</v>
      </c>
      <c r="BH98" s="318" t="n">
        <v>0.145</v>
      </c>
      <c r="BI98" s="318" t="n">
        <v>0.125</v>
      </c>
      <c r="BJ98" s="318" t="n">
        <v>0.315</v>
      </c>
      <c r="BK98" s="318" t="n">
        <v>0.0025</v>
      </c>
      <c r="BL98" s="318" t="n">
        <v>-0.01</v>
      </c>
      <c r="BM98" s="318" t="n">
        <v>0.005</v>
      </c>
      <c r="BN98" s="318" t="n">
        <v>-0.01</v>
      </c>
      <c r="BO98" s="318" t="n">
        <v>0</v>
      </c>
      <c r="BP98" s="318" t="n">
        <v>0.005</v>
      </c>
      <c r="BQ98" s="318" t="n">
        <v>0.0025</v>
      </c>
      <c r="BR98" s="318" t="n">
        <v>0.01</v>
      </c>
      <c r="BS98" s="0" t="n">
        <v>0.005</v>
      </c>
      <c r="BT98" s="0" t="n">
        <v>0.038</v>
      </c>
      <c r="BU98" s="0" t="n">
        <v>0.038</v>
      </c>
      <c r="BV98" s="0" t="n">
        <v>0.03</v>
      </c>
    </row>
    <row r="99" customFormat="false" ht="12.75" hidden="false" customHeight="false" outlineLevel="0" collapsed="false">
      <c r="A99" s="320" t="e">
        <f aca="false">#REF!-B99</f>
        <v>#REF!</v>
      </c>
      <c r="B99" s="320" t="n">
        <v>3.213</v>
      </c>
      <c r="C99" s="327" t="n">
        <f aca="false">EOMONTH(C98,0)+1</f>
        <v>40118</v>
      </c>
      <c r="D99" s="0" t="n">
        <f aca="false">D87+0.05</f>
        <v>3.559</v>
      </c>
      <c r="E99" s="320" t="n">
        <v>0.2025</v>
      </c>
      <c r="F99" s="318" t="n">
        <v>0.0565407394388062</v>
      </c>
      <c r="G99" s="318" t="n">
        <v>-0.13</v>
      </c>
      <c r="H99" s="318" t="n">
        <v>-0.15</v>
      </c>
      <c r="I99" s="330" t="n">
        <v>-0.09</v>
      </c>
      <c r="J99" s="330" t="n">
        <v>-0.13</v>
      </c>
      <c r="K99" s="318" t="n">
        <v>-0.09</v>
      </c>
      <c r="L99" s="318" t="n">
        <v>-0.05</v>
      </c>
      <c r="M99" s="318" t="n">
        <v>-0.07</v>
      </c>
      <c r="N99" s="318" t="n">
        <v>-0.12</v>
      </c>
      <c r="O99" s="318" t="n">
        <v>-0.12</v>
      </c>
      <c r="P99" s="318" t="n">
        <v>-0.13</v>
      </c>
      <c r="Q99" s="318" t="n">
        <v>-0.06375</v>
      </c>
      <c r="R99" s="318" t="n">
        <v>-0.05</v>
      </c>
      <c r="S99" s="318" t="n">
        <v>0.125</v>
      </c>
      <c r="T99" s="318" t="n">
        <v>0.145</v>
      </c>
      <c r="U99" s="318" t="n">
        <v>0.04</v>
      </c>
      <c r="V99" s="318" t="n">
        <v>0.5</v>
      </c>
      <c r="W99" s="318" t="n">
        <v>0.145</v>
      </c>
      <c r="X99" s="318" t="n">
        <v>0.175</v>
      </c>
      <c r="Y99" s="318" t="n">
        <v>-0.0195</v>
      </c>
      <c r="Z99" s="318" t="n">
        <v>-0.0525</v>
      </c>
      <c r="AA99" s="318" t="n">
        <v>0.0065</v>
      </c>
      <c r="AB99" s="318" t="n">
        <v>-0.0135</v>
      </c>
      <c r="AC99" s="318" t="n">
        <v>0.0025</v>
      </c>
      <c r="AD99" s="318" t="n">
        <v>-0.0225</v>
      </c>
      <c r="AE99" s="318" t="n">
        <v>-0.0725</v>
      </c>
      <c r="AF99" s="318" t="n">
        <v>-0.059</v>
      </c>
      <c r="AG99" s="318" t="n">
        <v>-0.0815</v>
      </c>
      <c r="AH99" s="318" t="n">
        <v>-0.0165</v>
      </c>
      <c r="AI99" s="318" t="n">
        <v>-0.072</v>
      </c>
      <c r="AJ99" s="318" t="n">
        <v>-0.0775</v>
      </c>
      <c r="AK99" s="318" t="n">
        <v>-0.017</v>
      </c>
      <c r="AL99" s="318" t="n">
        <v>0.023</v>
      </c>
      <c r="AM99" s="318" t="n">
        <v>0.4</v>
      </c>
      <c r="AN99" s="318" t="n">
        <v>0.0125</v>
      </c>
      <c r="AO99" s="318" t="n">
        <v>-0.47</v>
      </c>
      <c r="AP99" s="318" t="n">
        <v>-0.07</v>
      </c>
      <c r="AQ99" s="318" t="n">
        <v>-0.195</v>
      </c>
      <c r="AR99" s="318" t="n">
        <v>-0.25</v>
      </c>
      <c r="AS99" s="318" t="n">
        <v>-0.39</v>
      </c>
      <c r="AT99" s="318" t="n">
        <v>0</v>
      </c>
      <c r="AU99" s="318" t="n">
        <v>0.26</v>
      </c>
      <c r="AV99" s="318" t="n">
        <v>-0.47</v>
      </c>
      <c r="AW99" s="318" t="n">
        <v>-0.1375</v>
      </c>
      <c r="AX99" s="318" t="n">
        <v>-0.06</v>
      </c>
      <c r="AY99" s="318" t="n">
        <v>-0.0775</v>
      </c>
      <c r="AZ99" s="318" t="n">
        <v>-0.05</v>
      </c>
      <c r="BA99" s="318" t="n">
        <v>-0.08</v>
      </c>
      <c r="BB99" s="318" t="n">
        <v>-0.0165</v>
      </c>
      <c r="BC99" s="318" t="n">
        <v>-0.055</v>
      </c>
      <c r="BD99" s="318" t="n">
        <v>-0.0175</v>
      </c>
      <c r="BE99" s="318" t="n">
        <v>-0.0725</v>
      </c>
      <c r="BF99" s="318" t="n">
        <v>0</v>
      </c>
      <c r="BG99" s="318" t="n">
        <v>0.14</v>
      </c>
      <c r="BH99" s="318" t="n">
        <v>0.145</v>
      </c>
      <c r="BI99" s="318" t="n">
        <v>0.125</v>
      </c>
      <c r="BJ99" s="318" t="n">
        <v>0.36</v>
      </c>
      <c r="BK99" s="318" t="n">
        <v>0.0025</v>
      </c>
      <c r="BL99" s="318" t="n">
        <v>-0.015</v>
      </c>
      <c r="BM99" s="318" t="n">
        <v>0.005</v>
      </c>
      <c r="BN99" s="318" t="n">
        <v>-0.01</v>
      </c>
      <c r="BO99" s="318" t="n">
        <v>0</v>
      </c>
      <c r="BP99" s="318" t="n">
        <v>0.005</v>
      </c>
      <c r="BQ99" s="318" t="n">
        <v>0.0025</v>
      </c>
      <c r="BR99" s="318" t="n">
        <v>0.01</v>
      </c>
      <c r="BS99" s="0" t="n">
        <v>0.005</v>
      </c>
      <c r="BT99" s="0" t="n">
        <v>0.038</v>
      </c>
      <c r="BU99" s="0" t="n">
        <v>0.038</v>
      </c>
      <c r="BV99" s="0" t="n">
        <v>0.03</v>
      </c>
    </row>
    <row r="100" customFormat="false" ht="12.75" hidden="false" customHeight="false" outlineLevel="0" collapsed="false">
      <c r="A100" s="320" t="e">
        <f aca="false">#REF!-B100</f>
        <v>#REF!</v>
      </c>
      <c r="B100" s="320" t="n">
        <v>3.19</v>
      </c>
      <c r="C100" s="327" t="n">
        <f aca="false">EOMONTH(C99,0)+1</f>
        <v>40148</v>
      </c>
      <c r="D100" s="0" t="n">
        <f aca="false">D88+0.05</f>
        <v>3.694</v>
      </c>
      <c r="E100" s="320" t="n">
        <v>0.2025</v>
      </c>
      <c r="F100" s="318" t="n">
        <v>0.0566442378538001</v>
      </c>
      <c r="G100" s="318" t="n">
        <v>-0.13</v>
      </c>
      <c r="H100" s="318" t="n">
        <v>-0.15</v>
      </c>
      <c r="I100" s="330" t="n">
        <v>-0.01</v>
      </c>
      <c r="J100" s="330" t="n">
        <v>-0.13</v>
      </c>
      <c r="K100" s="318" t="n">
        <v>0</v>
      </c>
      <c r="L100" s="318" t="n">
        <v>-0.0495</v>
      </c>
      <c r="M100" s="318" t="n">
        <v>-0.0845</v>
      </c>
      <c r="N100" s="318" t="n">
        <v>-0.12</v>
      </c>
      <c r="O100" s="318" t="n">
        <v>-0.12</v>
      </c>
      <c r="P100" s="318" t="n">
        <v>-0.13</v>
      </c>
      <c r="Q100" s="318" t="n">
        <v>-0.081</v>
      </c>
      <c r="R100" s="318" t="n">
        <v>-0.0495</v>
      </c>
      <c r="S100" s="318" t="n">
        <v>0.155</v>
      </c>
      <c r="T100" s="318" t="n">
        <v>0.175</v>
      </c>
      <c r="U100" s="318" t="n">
        <v>0.13</v>
      </c>
      <c r="V100" s="318" t="n">
        <v>0.5</v>
      </c>
      <c r="W100" s="318" t="n">
        <v>0.195</v>
      </c>
      <c r="X100" s="318" t="n">
        <v>0.21</v>
      </c>
      <c r="Y100" s="318" t="n">
        <v>-0.017</v>
      </c>
      <c r="Z100" s="318" t="n">
        <v>-0.0335</v>
      </c>
      <c r="AA100" s="318" t="n">
        <v>0.0075</v>
      </c>
      <c r="AB100" s="318" t="n">
        <v>-0.01</v>
      </c>
      <c r="AC100" s="318" t="n">
        <v>0.0025</v>
      </c>
      <c r="AD100" s="318" t="n">
        <v>-0.0225</v>
      </c>
      <c r="AE100" s="318" t="n">
        <v>-0.075</v>
      </c>
      <c r="AF100" s="318" t="n">
        <v>-0.0615</v>
      </c>
      <c r="AG100" s="318" t="n">
        <v>-0.084</v>
      </c>
      <c r="AH100" s="318" t="n">
        <v>-0.013</v>
      </c>
      <c r="AI100" s="318" t="n">
        <v>-0.064</v>
      </c>
      <c r="AJ100" s="318" t="n">
        <v>-0.1125</v>
      </c>
      <c r="AK100" s="318" t="n">
        <v>-0.008999999</v>
      </c>
      <c r="AL100" s="318" t="n">
        <v>0.031</v>
      </c>
      <c r="AM100" s="318" t="n">
        <v>0.65</v>
      </c>
      <c r="AN100" s="318" t="n">
        <v>-0.0225</v>
      </c>
      <c r="AO100" s="318" t="n">
        <v>-0.34</v>
      </c>
      <c r="AP100" s="318" t="n">
        <v>-0.07</v>
      </c>
      <c r="AQ100" s="318" t="n">
        <v>-0.13</v>
      </c>
      <c r="AR100" s="318" t="n">
        <v>0.248</v>
      </c>
      <c r="AS100" s="318" t="n">
        <v>-0.26</v>
      </c>
      <c r="AT100" s="318" t="n">
        <v>0</v>
      </c>
      <c r="AU100" s="318" t="n">
        <v>0.24</v>
      </c>
      <c r="AV100" s="318" t="n">
        <v>-0.34</v>
      </c>
      <c r="AW100" s="318" t="n">
        <v>-0.145</v>
      </c>
      <c r="AX100" s="318" t="n">
        <v>-0.06</v>
      </c>
      <c r="AY100" s="318" t="n">
        <v>-0.085</v>
      </c>
      <c r="AZ100" s="318" t="n">
        <v>-0.0495</v>
      </c>
      <c r="BA100" s="318" t="n">
        <v>-0.075</v>
      </c>
      <c r="BB100" s="318" t="n">
        <v>-0.018</v>
      </c>
      <c r="BC100" s="318" t="n">
        <v>-0.0695</v>
      </c>
      <c r="BD100" s="318" t="n">
        <v>-0.0525</v>
      </c>
      <c r="BE100" s="318" t="n">
        <v>-0.075</v>
      </c>
      <c r="BF100" s="318" t="n">
        <v>0</v>
      </c>
      <c r="BG100" s="318" t="n">
        <v>0.17</v>
      </c>
      <c r="BH100" s="318" t="n">
        <v>0.175</v>
      </c>
      <c r="BI100" s="318" t="n">
        <v>0.155</v>
      </c>
      <c r="BJ100" s="318" t="n">
        <v>0.46</v>
      </c>
      <c r="BK100" s="318" t="n">
        <v>0.0025</v>
      </c>
      <c r="BL100" s="318" t="n">
        <v>-0.02</v>
      </c>
      <c r="BM100" s="318" t="n">
        <v>0.005</v>
      </c>
      <c r="BN100" s="318" t="n">
        <v>0</v>
      </c>
      <c r="BO100" s="318" t="n">
        <v>0</v>
      </c>
      <c r="BP100" s="318" t="n">
        <v>0.005</v>
      </c>
      <c r="BQ100" s="318" t="n">
        <v>0.005</v>
      </c>
      <c r="BR100" s="318" t="n">
        <v>0.055</v>
      </c>
      <c r="BS100" s="0" t="n">
        <v>0.02</v>
      </c>
      <c r="BT100" s="0" t="n">
        <v>0.04</v>
      </c>
      <c r="BU100" s="0" t="n">
        <v>0.04</v>
      </c>
      <c r="BV100" s="0" t="n">
        <v>0.03</v>
      </c>
    </row>
    <row r="101" customFormat="false" ht="12.75" hidden="false" customHeight="false" outlineLevel="0" collapsed="false">
      <c r="A101" s="320" t="e">
        <f aca="false">#REF!-B101</f>
        <v>#REF!</v>
      </c>
      <c r="B101" s="320" t="n">
        <v>3.175</v>
      </c>
      <c r="C101" s="327" t="n">
        <f aca="false">EOMONTH(C100,0)+1</f>
        <v>40179</v>
      </c>
      <c r="D101" s="0" t="n">
        <f aca="false">D89+0.05</f>
        <v>3.749</v>
      </c>
      <c r="E101" s="320" t="n">
        <v>0.2025</v>
      </c>
      <c r="F101" s="318" t="n">
        <v>0.0567443976136408</v>
      </c>
      <c r="G101" s="318" t="n">
        <v>-0.1325</v>
      </c>
      <c r="H101" s="318" t="n">
        <v>-0.1525</v>
      </c>
      <c r="I101" s="330" t="n">
        <v>-0.005</v>
      </c>
      <c r="J101" s="330" t="n">
        <v>-0.13</v>
      </c>
      <c r="K101" s="318" t="n">
        <v>0.005</v>
      </c>
      <c r="L101" s="318" t="n">
        <v>-0.0495</v>
      </c>
      <c r="M101" s="318" t="n">
        <v>-0.0845</v>
      </c>
      <c r="N101" s="318" t="n">
        <v>-0.1225</v>
      </c>
      <c r="O101" s="318" t="n">
        <v>-0.1225</v>
      </c>
      <c r="P101" s="318" t="n">
        <v>-0.1325</v>
      </c>
      <c r="Q101" s="318" t="n">
        <v>-0.09225</v>
      </c>
      <c r="R101" s="318" t="n">
        <v>-0.0495</v>
      </c>
      <c r="S101" s="318" t="n">
        <v>0.155</v>
      </c>
      <c r="T101" s="318" t="n">
        <v>0.175</v>
      </c>
      <c r="U101" s="318" t="n">
        <v>0.13</v>
      </c>
      <c r="V101" s="318" t="n">
        <v>0.5</v>
      </c>
      <c r="W101" s="318" t="n">
        <v>0.215</v>
      </c>
      <c r="X101" s="318" t="n">
        <v>0.29</v>
      </c>
      <c r="Y101" s="318" t="n">
        <v>-0.017</v>
      </c>
      <c r="Z101" s="318" t="n">
        <v>-0.0335</v>
      </c>
      <c r="AA101" s="318" t="n">
        <v>0.0075</v>
      </c>
      <c r="AB101" s="318" t="n">
        <v>-0.01</v>
      </c>
      <c r="AC101" s="318" t="n">
        <v>0.0025</v>
      </c>
      <c r="AD101" s="318" t="n">
        <v>-0.0225</v>
      </c>
      <c r="AE101" s="318" t="n">
        <v>-0.075</v>
      </c>
      <c r="AF101" s="318" t="n">
        <v>-0.0595</v>
      </c>
      <c r="AG101" s="318" t="n">
        <v>-0.082</v>
      </c>
      <c r="AH101" s="318" t="n">
        <v>-0.0105</v>
      </c>
      <c r="AI101" s="318" t="n">
        <v>-0.064</v>
      </c>
      <c r="AJ101" s="318" t="n">
        <v>-0.135</v>
      </c>
      <c r="AK101" s="318" t="n">
        <v>-0.008999999</v>
      </c>
      <c r="AL101" s="318" t="n">
        <v>0.031</v>
      </c>
      <c r="AM101" s="318" t="n">
        <v>0.98</v>
      </c>
      <c r="AN101" s="318" t="n">
        <v>-0.045</v>
      </c>
      <c r="AO101" s="318" t="n">
        <v>-0.34</v>
      </c>
      <c r="AP101" s="318" t="n">
        <v>-0.07</v>
      </c>
      <c r="AQ101" s="318" t="n">
        <v>-0.13</v>
      </c>
      <c r="AR101" s="318" t="n">
        <v>0.308</v>
      </c>
      <c r="AS101" s="318" t="n">
        <v>-0.26</v>
      </c>
      <c r="AT101" s="318" t="n">
        <v>0</v>
      </c>
      <c r="AU101" s="318" t="n">
        <v>0.24</v>
      </c>
      <c r="AV101" s="318" t="n">
        <v>-0.34</v>
      </c>
      <c r="AW101" s="318" t="n">
        <v>-0.1725</v>
      </c>
      <c r="AX101" s="318" t="n">
        <v>-0.06</v>
      </c>
      <c r="AY101" s="318" t="n">
        <v>-0.1125</v>
      </c>
      <c r="AZ101" s="318" t="n">
        <v>-0.0495</v>
      </c>
      <c r="BA101" s="318" t="n">
        <v>-0.1025</v>
      </c>
      <c r="BB101" s="318" t="n">
        <v>-0.0155</v>
      </c>
      <c r="BC101" s="318" t="n">
        <v>-0.0695</v>
      </c>
      <c r="BD101" s="318" t="n">
        <v>-0.075</v>
      </c>
      <c r="BE101" s="318" t="n">
        <v>-0.075</v>
      </c>
      <c r="BF101" s="318" t="n">
        <v>0</v>
      </c>
      <c r="BG101" s="318" t="n">
        <v>0.17</v>
      </c>
      <c r="BH101" s="318" t="n">
        <v>0.175</v>
      </c>
      <c r="BI101" s="318" t="n">
        <v>0.155</v>
      </c>
      <c r="BJ101" s="318" t="n">
        <v>0.77</v>
      </c>
      <c r="BK101" s="318" t="n">
        <v>0.0025</v>
      </c>
      <c r="BL101" s="318" t="n">
        <v>-0.025</v>
      </c>
      <c r="BM101" s="318" t="n">
        <v>0.005</v>
      </c>
      <c r="BN101" s="318" t="n">
        <v>0</v>
      </c>
      <c r="BO101" s="318" t="n">
        <v>0</v>
      </c>
      <c r="BP101" s="318" t="n">
        <v>0.005</v>
      </c>
      <c r="BQ101" s="318" t="n">
        <v>0.005</v>
      </c>
      <c r="BR101" s="318" t="n">
        <v>0.25</v>
      </c>
      <c r="BS101" s="0" t="n">
        <v>0.02</v>
      </c>
      <c r="BT101" s="0" t="n">
        <v>0.04</v>
      </c>
      <c r="BU101" s="0" t="n">
        <v>0.04</v>
      </c>
      <c r="BV101" s="0" t="n">
        <v>0.03</v>
      </c>
    </row>
    <row r="102" customFormat="false" ht="12.75" hidden="false" customHeight="false" outlineLevel="0" collapsed="false">
      <c r="A102" s="320" t="e">
        <f aca="false">#REF!-B102</f>
        <v>#REF!</v>
      </c>
      <c r="B102" s="320" t="n">
        <v>3.24</v>
      </c>
      <c r="C102" s="327" t="n">
        <f aca="false">EOMONTH(C101,0)+1</f>
        <v>40210</v>
      </c>
      <c r="D102" s="0" t="n">
        <f aca="false">D90+0.05</f>
        <v>3.601</v>
      </c>
      <c r="E102" s="320" t="n">
        <v>0.2025</v>
      </c>
      <c r="F102" s="318" t="n">
        <v>0.0568478960356496</v>
      </c>
      <c r="G102" s="318" t="n">
        <v>-0.135</v>
      </c>
      <c r="H102" s="318" t="n">
        <v>-0.155</v>
      </c>
      <c r="I102" s="330" t="n">
        <v>0.015</v>
      </c>
      <c r="J102" s="330" t="n">
        <v>-0.13</v>
      </c>
      <c r="K102" s="318" t="n">
        <v>0.025</v>
      </c>
      <c r="L102" s="318" t="n">
        <v>-0.0495</v>
      </c>
      <c r="M102" s="318" t="n">
        <v>-0.0845</v>
      </c>
      <c r="N102" s="318" t="n">
        <v>-0.125</v>
      </c>
      <c r="O102" s="318" t="n">
        <v>-0.125</v>
      </c>
      <c r="P102" s="318" t="n">
        <v>-0.135</v>
      </c>
      <c r="Q102" s="318" t="n">
        <v>-0.0935</v>
      </c>
      <c r="R102" s="318" t="n">
        <v>-0.0495</v>
      </c>
      <c r="S102" s="318" t="n">
        <v>0.155</v>
      </c>
      <c r="T102" s="318" t="n">
        <v>0.175</v>
      </c>
      <c r="U102" s="318" t="n">
        <v>0.13</v>
      </c>
      <c r="V102" s="318" t="n">
        <v>0.5</v>
      </c>
      <c r="W102" s="318" t="n">
        <v>0.235</v>
      </c>
      <c r="X102" s="318" t="n">
        <v>0.34</v>
      </c>
      <c r="Y102" s="318" t="n">
        <v>-0.015</v>
      </c>
      <c r="Z102" s="318" t="n">
        <v>-0.0335</v>
      </c>
      <c r="AA102" s="318" t="n">
        <v>0.0075</v>
      </c>
      <c r="AB102" s="318" t="n">
        <v>-0.01</v>
      </c>
      <c r="AC102" s="318" t="n">
        <v>0.0025</v>
      </c>
      <c r="AD102" s="318" t="n">
        <v>-0.0225</v>
      </c>
      <c r="AE102" s="318" t="n">
        <v>-0.075</v>
      </c>
      <c r="AF102" s="318" t="n">
        <v>-0.0595</v>
      </c>
      <c r="AG102" s="318" t="n">
        <v>-0.082</v>
      </c>
      <c r="AH102" s="318" t="n">
        <v>-0.0105</v>
      </c>
      <c r="AI102" s="318" t="n">
        <v>-0.064</v>
      </c>
      <c r="AJ102" s="318" t="n">
        <v>-0.1375</v>
      </c>
      <c r="AK102" s="318" t="n">
        <v>-0.008999999</v>
      </c>
      <c r="AL102" s="318" t="n">
        <v>0.031</v>
      </c>
      <c r="AM102" s="318" t="n">
        <v>1.6</v>
      </c>
      <c r="AN102" s="318" t="n">
        <v>-0.0475</v>
      </c>
      <c r="AO102" s="318" t="n">
        <v>-0.34</v>
      </c>
      <c r="AP102" s="318" t="n">
        <v>-0.07</v>
      </c>
      <c r="AQ102" s="318" t="n">
        <v>-0.13</v>
      </c>
      <c r="AR102" s="318" t="n">
        <v>0.378</v>
      </c>
      <c r="AS102" s="318" t="n">
        <v>-0.26</v>
      </c>
      <c r="AT102" s="318" t="n">
        <v>0</v>
      </c>
      <c r="AU102" s="318" t="n">
        <v>0.24</v>
      </c>
      <c r="AV102" s="318" t="n">
        <v>-0.34</v>
      </c>
      <c r="AW102" s="318" t="n">
        <v>-0.1875</v>
      </c>
      <c r="AX102" s="318" t="n">
        <v>-0.06</v>
      </c>
      <c r="AY102" s="318" t="n">
        <v>-0.1275</v>
      </c>
      <c r="AZ102" s="318" t="n">
        <v>-0.0495</v>
      </c>
      <c r="BA102" s="318" t="n">
        <v>-0.103</v>
      </c>
      <c r="BB102" s="318" t="n">
        <v>-0.0155</v>
      </c>
      <c r="BC102" s="318" t="n">
        <v>-0.0695</v>
      </c>
      <c r="BD102" s="318" t="n">
        <v>-0.0775</v>
      </c>
      <c r="BE102" s="318" t="n">
        <v>-0.075</v>
      </c>
      <c r="BF102" s="318" t="n">
        <v>0</v>
      </c>
      <c r="BG102" s="318" t="n">
        <v>0.17</v>
      </c>
      <c r="BH102" s="318" t="n">
        <v>0.175</v>
      </c>
      <c r="BI102" s="318" t="n">
        <v>0.155</v>
      </c>
      <c r="BJ102" s="318" t="n">
        <v>1.04</v>
      </c>
      <c r="BK102" s="318" t="n">
        <v>0.0025</v>
      </c>
      <c r="BL102" s="318" t="n">
        <v>-0.025</v>
      </c>
      <c r="BM102" s="318" t="n">
        <v>0.005</v>
      </c>
      <c r="BN102" s="318" t="n">
        <v>0</v>
      </c>
      <c r="BO102" s="318" t="n">
        <v>0</v>
      </c>
      <c r="BP102" s="318" t="n">
        <v>0.005</v>
      </c>
      <c r="BQ102" s="318" t="n">
        <v>0.005</v>
      </c>
      <c r="BR102" s="318" t="n">
        <v>0.45</v>
      </c>
      <c r="BS102" s="0" t="n">
        <v>0.02</v>
      </c>
      <c r="BT102" s="0" t="n">
        <v>0.04</v>
      </c>
      <c r="BU102" s="0" t="n">
        <v>0.04</v>
      </c>
      <c r="BV102" s="0" t="n">
        <v>0.03</v>
      </c>
    </row>
    <row r="103" customFormat="false" ht="12.75" hidden="false" customHeight="false" outlineLevel="0" collapsed="false">
      <c r="A103" s="320" t="e">
        <f aca="false">#REF!-B103</f>
        <v>#REF!</v>
      </c>
      <c r="B103" s="320" t="n">
        <v>3.235</v>
      </c>
      <c r="C103" s="327" t="n">
        <f aca="false">EOMONTH(C102,0)+1</f>
        <v>40238</v>
      </c>
      <c r="D103" s="0" t="n">
        <f aca="false">D91+0.05</f>
        <v>3.55</v>
      </c>
      <c r="E103" s="320" t="n">
        <v>0.2</v>
      </c>
      <c r="F103" s="318" t="n">
        <v>0.056951394461223</v>
      </c>
      <c r="G103" s="318" t="n">
        <v>-0.1275</v>
      </c>
      <c r="H103" s="318" t="n">
        <v>-0.1475</v>
      </c>
      <c r="I103" s="330" t="n">
        <v>0.01</v>
      </c>
      <c r="J103" s="330" t="n">
        <v>-0.13</v>
      </c>
      <c r="K103" s="318" t="n">
        <v>0.02</v>
      </c>
      <c r="L103" s="318" t="n">
        <v>-0.0495</v>
      </c>
      <c r="M103" s="318" t="n">
        <v>-0.0845</v>
      </c>
      <c r="N103" s="318" t="n">
        <v>-0.1175</v>
      </c>
      <c r="O103" s="318" t="n">
        <v>-0.1175</v>
      </c>
      <c r="P103" s="318" t="n">
        <v>-0.1275</v>
      </c>
      <c r="Q103" s="318" t="n">
        <v>-0.08475</v>
      </c>
      <c r="R103" s="318" t="n">
        <v>-0.0495</v>
      </c>
      <c r="S103" s="318" t="n">
        <v>0.155</v>
      </c>
      <c r="T103" s="318" t="n">
        <v>0.175</v>
      </c>
      <c r="U103" s="318" t="n">
        <v>0.13</v>
      </c>
      <c r="V103" s="318" t="n">
        <v>0.5</v>
      </c>
      <c r="W103" s="318" t="n">
        <v>0.235</v>
      </c>
      <c r="X103" s="318" t="n">
        <v>0.34</v>
      </c>
      <c r="Y103" s="318" t="n">
        <v>-0.015</v>
      </c>
      <c r="Z103" s="318" t="n">
        <v>-0.0335</v>
      </c>
      <c r="AA103" s="318" t="n">
        <v>0.0075</v>
      </c>
      <c r="AB103" s="318" t="n">
        <v>-0.01</v>
      </c>
      <c r="AC103" s="318" t="n">
        <v>0.0025</v>
      </c>
      <c r="AD103" s="318" t="n">
        <v>-0.0225</v>
      </c>
      <c r="AE103" s="318" t="n">
        <v>-0.075</v>
      </c>
      <c r="AF103" s="318" t="n">
        <v>-0.0595</v>
      </c>
      <c r="AG103" s="318" t="n">
        <v>-0.082</v>
      </c>
      <c r="AH103" s="318" t="n">
        <v>-0.0105</v>
      </c>
      <c r="AI103" s="318" t="n">
        <v>-0.064</v>
      </c>
      <c r="AJ103" s="318" t="n">
        <v>-0.12</v>
      </c>
      <c r="AK103" s="318" t="n">
        <v>-0.008999999</v>
      </c>
      <c r="AL103" s="318" t="n">
        <v>0.031</v>
      </c>
      <c r="AM103" s="318" t="n">
        <v>1.6</v>
      </c>
      <c r="AN103" s="318" t="n">
        <v>-0.03</v>
      </c>
      <c r="AO103" s="318" t="n">
        <v>-0.34</v>
      </c>
      <c r="AP103" s="318" t="n">
        <v>-0.07</v>
      </c>
      <c r="AQ103" s="318" t="n">
        <v>-0.13</v>
      </c>
      <c r="AR103" s="318" t="n">
        <v>0.248</v>
      </c>
      <c r="AS103" s="318" t="n">
        <v>-0.26</v>
      </c>
      <c r="AT103" s="318" t="n">
        <v>0</v>
      </c>
      <c r="AU103" s="318" t="n">
        <v>0.24</v>
      </c>
      <c r="AV103" s="318" t="n">
        <v>-0.34</v>
      </c>
      <c r="AW103" s="318" t="n">
        <v>-0.1775</v>
      </c>
      <c r="AX103" s="318" t="n">
        <v>-0.06</v>
      </c>
      <c r="AY103" s="318" t="n">
        <v>-0.1175</v>
      </c>
      <c r="AZ103" s="318" t="n">
        <v>-0.0495</v>
      </c>
      <c r="BA103" s="318" t="n">
        <v>-0.103</v>
      </c>
      <c r="BB103" s="318" t="n">
        <v>-0.0155</v>
      </c>
      <c r="BC103" s="318" t="n">
        <v>-0.0695</v>
      </c>
      <c r="BD103" s="318" t="n">
        <v>-0.06</v>
      </c>
      <c r="BE103" s="318" t="n">
        <v>-0.075</v>
      </c>
      <c r="BF103" s="318" t="n">
        <v>0</v>
      </c>
      <c r="BG103" s="318" t="n">
        <v>0.17</v>
      </c>
      <c r="BH103" s="318" t="n">
        <v>0.175</v>
      </c>
      <c r="BI103" s="318" t="n">
        <v>0.155</v>
      </c>
      <c r="BJ103" s="318" t="n">
        <v>1.04</v>
      </c>
      <c r="BK103" s="318" t="n">
        <v>0.0025</v>
      </c>
      <c r="BL103" s="318" t="n">
        <v>-0.025</v>
      </c>
      <c r="BM103" s="318" t="n">
        <v>0.005</v>
      </c>
      <c r="BN103" s="318" t="n">
        <v>0</v>
      </c>
      <c r="BO103" s="318" t="n">
        <v>0</v>
      </c>
      <c r="BP103" s="318" t="n">
        <v>0.005</v>
      </c>
      <c r="BQ103" s="318" t="n">
        <v>0.005</v>
      </c>
      <c r="BR103" s="318" t="n">
        <v>0.45</v>
      </c>
      <c r="BS103" s="0" t="n">
        <v>0.02</v>
      </c>
      <c r="BT103" s="0" t="n">
        <v>0.04</v>
      </c>
      <c r="BU103" s="0" t="n">
        <v>0.04</v>
      </c>
      <c r="BV103" s="0" t="n">
        <v>0.03</v>
      </c>
    </row>
    <row r="104" customFormat="false" ht="12.75" hidden="false" customHeight="false" outlineLevel="0" collapsed="false">
      <c r="A104" s="320" t="e">
        <f aca="false">#REF!-B104</f>
        <v>#REF!</v>
      </c>
      <c r="B104" s="320" t="n">
        <v>3.22</v>
      </c>
      <c r="C104" s="327" t="n">
        <f aca="false">EOMONTH(C103,0)+1</f>
        <v>40269</v>
      </c>
      <c r="D104" s="0" t="n">
        <f aca="false">D92+0.05</f>
        <v>3.331</v>
      </c>
      <c r="E104" s="320" t="n">
        <v>0.195</v>
      </c>
      <c r="F104" s="318" t="n">
        <v>0.0570448769131922</v>
      </c>
      <c r="G104" s="318" t="n">
        <v>-0.125</v>
      </c>
      <c r="H104" s="318" t="n">
        <v>-0.145</v>
      </c>
      <c r="I104" s="330" t="n">
        <v>-0.01</v>
      </c>
      <c r="J104" s="330" t="n">
        <v>-0.13</v>
      </c>
      <c r="K104" s="318" t="n">
        <v>0</v>
      </c>
      <c r="L104" s="318" t="n">
        <v>-0.0495</v>
      </c>
      <c r="M104" s="318" t="n">
        <v>-0.0845</v>
      </c>
      <c r="N104" s="318" t="n">
        <v>-0.115</v>
      </c>
      <c r="O104" s="318" t="n">
        <v>-0.115</v>
      </c>
      <c r="P104" s="318" t="n">
        <v>-0.125</v>
      </c>
      <c r="Q104" s="318" t="n">
        <v>-0.0785</v>
      </c>
      <c r="R104" s="318" t="n">
        <v>-0.0495</v>
      </c>
      <c r="S104" s="318" t="n">
        <v>0.155</v>
      </c>
      <c r="T104" s="318" t="n">
        <v>0.175</v>
      </c>
      <c r="U104" s="318" t="n">
        <v>0.13</v>
      </c>
      <c r="V104" s="318" t="n">
        <v>0.5</v>
      </c>
      <c r="W104" s="318" t="n">
        <v>0.195</v>
      </c>
      <c r="X104" s="318" t="n">
        <v>0.29</v>
      </c>
      <c r="Y104" s="318" t="n">
        <v>-0.015</v>
      </c>
      <c r="Z104" s="318" t="n">
        <v>-0.0335</v>
      </c>
      <c r="AA104" s="318" t="n">
        <v>0.015</v>
      </c>
      <c r="AB104" s="318" t="n">
        <v>-0.0025</v>
      </c>
      <c r="AC104" s="318" t="n">
        <v>0.0025</v>
      </c>
      <c r="AD104" s="318" t="n">
        <v>-0.0225</v>
      </c>
      <c r="AE104" s="318" t="n">
        <v>-0.075</v>
      </c>
      <c r="AF104" s="318" t="n">
        <v>-0.0595</v>
      </c>
      <c r="AG104" s="318" t="n">
        <v>-0.082</v>
      </c>
      <c r="AH104" s="318" t="n">
        <v>-0.0105</v>
      </c>
      <c r="AI104" s="318" t="n">
        <v>-0.064</v>
      </c>
      <c r="AJ104" s="318" t="n">
        <v>-0.1075</v>
      </c>
      <c r="AK104" s="318" t="n">
        <v>-0.008999999</v>
      </c>
      <c r="AL104" s="318" t="n">
        <v>0.031</v>
      </c>
      <c r="AM104" s="318" t="n">
        <v>0.64</v>
      </c>
      <c r="AN104" s="318" t="n">
        <v>-0.0175</v>
      </c>
      <c r="AO104" s="318" t="n">
        <v>-0.34</v>
      </c>
      <c r="AP104" s="318" t="n">
        <v>-0.07</v>
      </c>
      <c r="AQ104" s="318" t="n">
        <v>-0.13</v>
      </c>
      <c r="AR104" s="318" t="n">
        <v>0.068</v>
      </c>
      <c r="AS104" s="318" t="n">
        <v>-0.26</v>
      </c>
      <c r="AT104" s="318" t="n">
        <v>0</v>
      </c>
      <c r="AU104" s="318" t="n">
        <v>0.24</v>
      </c>
      <c r="AV104" s="318" t="n">
        <v>-0.34</v>
      </c>
      <c r="AW104" s="318" t="n">
        <v>-0.1675</v>
      </c>
      <c r="AX104" s="318" t="n">
        <v>-0.06</v>
      </c>
      <c r="AY104" s="318" t="n">
        <v>-0.1075</v>
      </c>
      <c r="AZ104" s="318" t="n">
        <v>-0.0495</v>
      </c>
      <c r="BA104" s="318" t="n">
        <v>-0.103</v>
      </c>
      <c r="BB104" s="318" t="n">
        <v>-0.0155</v>
      </c>
      <c r="BC104" s="318" t="n">
        <v>-0.0695</v>
      </c>
      <c r="BD104" s="318" t="n">
        <v>-0.0475</v>
      </c>
      <c r="BE104" s="318" t="n">
        <v>-0.075</v>
      </c>
      <c r="BF104" s="318" t="n">
        <v>0</v>
      </c>
      <c r="BG104" s="318" t="n">
        <v>0.17</v>
      </c>
      <c r="BH104" s="318" t="n">
        <v>0.175</v>
      </c>
      <c r="BI104" s="318" t="n">
        <v>0.155</v>
      </c>
      <c r="BJ104" s="318" t="n">
        <v>0.54</v>
      </c>
      <c r="BK104" s="318" t="n">
        <v>0.0025</v>
      </c>
      <c r="BL104" s="318" t="n">
        <v>-0.02</v>
      </c>
      <c r="BM104" s="318" t="n">
        <v>0.005</v>
      </c>
      <c r="BN104" s="318" t="n">
        <v>0</v>
      </c>
      <c r="BO104" s="318" t="n">
        <v>0</v>
      </c>
      <c r="BP104" s="318" t="n">
        <v>0.005</v>
      </c>
      <c r="BQ104" s="318" t="n">
        <v>0.005</v>
      </c>
      <c r="BR104" s="318" t="n">
        <v>0.1</v>
      </c>
      <c r="BS104" s="0" t="n">
        <v>0.02</v>
      </c>
      <c r="BT104" s="0" t="n">
        <v>0.04</v>
      </c>
      <c r="BU104" s="0" t="n">
        <v>0.04</v>
      </c>
      <c r="BV104" s="0" t="n">
        <v>0.03</v>
      </c>
    </row>
    <row r="105" customFormat="false" ht="12.75" hidden="false" customHeight="false" outlineLevel="0" collapsed="false">
      <c r="A105" s="320" t="e">
        <f aca="false">#REF!-B105</f>
        <v>#REF!</v>
      </c>
      <c r="B105" s="320" t="n">
        <v>3.233</v>
      </c>
      <c r="C105" s="327" t="n">
        <f aca="false">EOMONTH(C104,0)+1</f>
        <v>40299</v>
      </c>
      <c r="D105" s="0" t="n">
        <f aca="false">D93+0.05</f>
        <v>3.334</v>
      </c>
      <c r="E105" s="320" t="n">
        <v>0.19</v>
      </c>
      <c r="F105" s="318" t="n">
        <v>0.0571483753455491</v>
      </c>
      <c r="G105" s="318" t="n">
        <v>-0.13</v>
      </c>
      <c r="H105" s="318" t="n">
        <v>-0.15</v>
      </c>
      <c r="I105" s="330" t="n">
        <v>-0.09</v>
      </c>
      <c r="J105" s="330" t="n">
        <v>-0.13</v>
      </c>
      <c r="K105" s="318" t="n">
        <v>-0.09</v>
      </c>
      <c r="L105" s="318" t="n">
        <v>-0.047</v>
      </c>
      <c r="M105" s="318" t="n">
        <v>-0.067</v>
      </c>
      <c r="N105" s="318" t="n">
        <v>-0.12</v>
      </c>
      <c r="O105" s="318" t="n">
        <v>-0.12</v>
      </c>
      <c r="P105" s="318" t="n">
        <v>-0.13</v>
      </c>
      <c r="Q105" s="318" t="n">
        <v>-0.0585</v>
      </c>
      <c r="R105" s="318" t="n">
        <v>-0.047</v>
      </c>
      <c r="S105" s="318" t="n">
        <v>0.125</v>
      </c>
      <c r="T105" s="318" t="n">
        <v>0.145</v>
      </c>
      <c r="U105" s="318" t="n">
        <v>0.04</v>
      </c>
      <c r="V105" s="318" t="n">
        <v>0.5</v>
      </c>
      <c r="W105" s="318" t="n">
        <v>0.145</v>
      </c>
      <c r="X105" s="318" t="n">
        <v>0.195</v>
      </c>
      <c r="Y105" s="318" t="n">
        <v>-0.0175</v>
      </c>
      <c r="Z105" s="318" t="n">
        <v>-0.0485</v>
      </c>
      <c r="AA105" s="318" t="n">
        <v>0.015</v>
      </c>
      <c r="AB105" s="318" t="n">
        <v>-0.0025</v>
      </c>
      <c r="AC105" s="318" t="n">
        <v>0.0025</v>
      </c>
      <c r="AD105" s="318" t="n">
        <v>-0.0225</v>
      </c>
      <c r="AE105" s="318" t="n">
        <v>-0.0725</v>
      </c>
      <c r="AF105" s="318" t="n">
        <v>-0.057</v>
      </c>
      <c r="AG105" s="318" t="n">
        <v>-0.0795</v>
      </c>
      <c r="AH105" s="318" t="n">
        <v>-0.0155</v>
      </c>
      <c r="AI105" s="318" t="n">
        <v>-0.072</v>
      </c>
      <c r="AJ105" s="318" t="n">
        <v>-0.07</v>
      </c>
      <c r="AK105" s="318" t="n">
        <v>-0.017</v>
      </c>
      <c r="AL105" s="318" t="n">
        <v>0.023</v>
      </c>
      <c r="AM105" s="318" t="n">
        <v>0.38</v>
      </c>
      <c r="AN105" s="318" t="n">
        <v>0.02</v>
      </c>
      <c r="AO105" s="318" t="n">
        <v>-0.45</v>
      </c>
      <c r="AP105" s="318" t="n">
        <v>-0.07</v>
      </c>
      <c r="AQ105" s="318" t="n">
        <v>-0.195</v>
      </c>
      <c r="AR105" s="318" t="n">
        <v>-0.25</v>
      </c>
      <c r="AS105" s="318" t="n">
        <v>-0.37</v>
      </c>
      <c r="AT105" s="318" t="n">
        <v>0</v>
      </c>
      <c r="AU105" s="318" t="n">
        <v>0.26</v>
      </c>
      <c r="AV105" s="318" t="n">
        <v>-0.45</v>
      </c>
      <c r="AW105" s="318" t="n">
        <v>-0.208</v>
      </c>
      <c r="AX105" s="318" t="n">
        <v>-0.06</v>
      </c>
      <c r="AY105" s="318" t="n">
        <v>-0.148</v>
      </c>
      <c r="AZ105" s="318" t="n">
        <v>-0.047</v>
      </c>
      <c r="BA105" s="318" t="n">
        <v>-0.1255</v>
      </c>
      <c r="BB105" s="318" t="n">
        <v>-0.0155</v>
      </c>
      <c r="BC105" s="318" t="n">
        <v>-0.052</v>
      </c>
      <c r="BD105" s="318" t="n">
        <v>-0.01</v>
      </c>
      <c r="BE105" s="318" t="n">
        <v>-0.0725</v>
      </c>
      <c r="BF105" s="318" t="n">
        <v>0</v>
      </c>
      <c r="BG105" s="318" t="n">
        <v>0.14</v>
      </c>
      <c r="BH105" s="318" t="n">
        <v>0.145</v>
      </c>
      <c r="BI105" s="318" t="n">
        <v>0.125</v>
      </c>
      <c r="BJ105" s="318" t="n">
        <v>0.36</v>
      </c>
      <c r="BK105" s="318" t="n">
        <v>0.0025</v>
      </c>
      <c r="BL105" s="318" t="n">
        <v>-0.015</v>
      </c>
      <c r="BM105" s="318" t="n">
        <v>0.005</v>
      </c>
      <c r="BN105" s="318" t="n">
        <v>-0.01</v>
      </c>
      <c r="BO105" s="318" t="n">
        <v>0</v>
      </c>
      <c r="BP105" s="318" t="n">
        <v>0.005</v>
      </c>
      <c r="BQ105" s="318" t="n">
        <v>0.0025</v>
      </c>
      <c r="BR105" s="318" t="n">
        <v>0.02</v>
      </c>
      <c r="BS105" s="0" t="n">
        <v>0.005</v>
      </c>
      <c r="BT105" s="0" t="n">
        <v>0.04</v>
      </c>
      <c r="BU105" s="0" t="n">
        <v>0.04</v>
      </c>
      <c r="BV105" s="0" t="n">
        <v>0.03</v>
      </c>
    </row>
    <row r="106" customFormat="false" ht="12.75" hidden="false" customHeight="false" outlineLevel="0" collapsed="false">
      <c r="A106" s="320" t="e">
        <f aca="false">#REF!-B106</f>
        <v>#REF!</v>
      </c>
      <c r="B106" s="320" t="n">
        <v>3.32</v>
      </c>
      <c r="C106" s="327" t="n">
        <f aca="false">EOMONTH(C105,0)+1</f>
        <v>40330</v>
      </c>
      <c r="D106" s="0" t="n">
        <f aca="false">D94+0.05</f>
        <v>3.374</v>
      </c>
      <c r="E106" s="320" t="n">
        <v>0.185</v>
      </c>
      <c r="F106" s="318" t="n">
        <v>0.0572485351221919</v>
      </c>
      <c r="G106" s="318" t="n">
        <v>-0.13</v>
      </c>
      <c r="H106" s="318" t="n">
        <v>-0.15</v>
      </c>
      <c r="I106" s="330" t="n">
        <v>-0.09</v>
      </c>
      <c r="J106" s="330" t="n">
        <v>-0.13</v>
      </c>
      <c r="K106" s="318" t="n">
        <v>-0.09</v>
      </c>
      <c r="L106" s="318" t="n">
        <v>-0.047</v>
      </c>
      <c r="M106" s="318" t="n">
        <v>-0.067</v>
      </c>
      <c r="N106" s="318" t="n">
        <v>-0.12</v>
      </c>
      <c r="O106" s="318" t="n">
        <v>-0.12</v>
      </c>
      <c r="P106" s="318" t="n">
        <v>-0.13</v>
      </c>
      <c r="Q106" s="318" t="n">
        <v>-0.0585</v>
      </c>
      <c r="R106" s="318" t="n">
        <v>-0.047</v>
      </c>
      <c r="S106" s="318" t="n">
        <v>0.125</v>
      </c>
      <c r="T106" s="318" t="n">
        <v>0.145</v>
      </c>
      <c r="U106" s="318" t="n">
        <v>0.04</v>
      </c>
      <c r="V106" s="318" t="n">
        <v>0.5</v>
      </c>
      <c r="W106" s="318" t="n">
        <v>0.125</v>
      </c>
      <c r="X106" s="318" t="n">
        <v>0.135</v>
      </c>
      <c r="Y106" s="318" t="n">
        <v>-0.0175</v>
      </c>
      <c r="Z106" s="318" t="n">
        <v>-0.0485</v>
      </c>
      <c r="AA106" s="318" t="n">
        <v>0.0175</v>
      </c>
      <c r="AB106" s="318" t="n">
        <v>0.002</v>
      </c>
      <c r="AC106" s="318" t="n">
        <v>0.0025</v>
      </c>
      <c r="AD106" s="318" t="n">
        <v>-0.0225</v>
      </c>
      <c r="AE106" s="318" t="n">
        <v>-0.0725</v>
      </c>
      <c r="AF106" s="318" t="n">
        <v>-0.057</v>
      </c>
      <c r="AG106" s="318" t="n">
        <v>-0.0795</v>
      </c>
      <c r="AH106" s="318" t="n">
        <v>-0.0155</v>
      </c>
      <c r="AI106" s="318" t="n">
        <v>-0.072</v>
      </c>
      <c r="AJ106" s="318" t="n">
        <v>-0.07</v>
      </c>
      <c r="AK106" s="318" t="n">
        <v>-0.017</v>
      </c>
      <c r="AL106" s="318" t="n">
        <v>0.023</v>
      </c>
      <c r="AM106" s="318" t="n">
        <v>0.33</v>
      </c>
      <c r="AN106" s="318" t="n">
        <v>0.02</v>
      </c>
      <c r="AO106" s="318" t="n">
        <v>-0.45</v>
      </c>
      <c r="AP106" s="318" t="n">
        <v>-0.07</v>
      </c>
      <c r="AQ106" s="318" t="n">
        <v>-0.195</v>
      </c>
      <c r="AR106" s="318" t="n">
        <v>-0.25</v>
      </c>
      <c r="AS106" s="318" t="n">
        <v>-0.37</v>
      </c>
      <c r="AT106" s="318" t="n">
        <v>0</v>
      </c>
      <c r="AU106" s="318" t="n">
        <v>0.26</v>
      </c>
      <c r="AV106" s="318" t="n">
        <v>-0.45</v>
      </c>
      <c r="AW106" s="318" t="n">
        <v>-0.1855</v>
      </c>
      <c r="AX106" s="318" t="n">
        <v>-0.06</v>
      </c>
      <c r="AY106" s="318" t="n">
        <v>-0.1255</v>
      </c>
      <c r="AZ106" s="318" t="n">
        <v>-0.047</v>
      </c>
      <c r="BA106" s="318" t="n">
        <v>-0.118</v>
      </c>
      <c r="BB106" s="318" t="n">
        <v>-0.0155</v>
      </c>
      <c r="BC106" s="318" t="n">
        <v>-0.052</v>
      </c>
      <c r="BD106" s="318" t="n">
        <v>-0.01</v>
      </c>
      <c r="BE106" s="318" t="n">
        <v>-0.0725</v>
      </c>
      <c r="BF106" s="318" t="n">
        <v>0</v>
      </c>
      <c r="BG106" s="318" t="n">
        <v>0.14</v>
      </c>
      <c r="BH106" s="318" t="n">
        <v>0.145</v>
      </c>
      <c r="BI106" s="318" t="n">
        <v>0.125</v>
      </c>
      <c r="BJ106" s="318" t="n">
        <v>0.325</v>
      </c>
      <c r="BK106" s="318" t="n">
        <v>0.0025</v>
      </c>
      <c r="BL106" s="318" t="n">
        <v>-0.015</v>
      </c>
      <c r="BM106" s="318" t="n">
        <v>0.005</v>
      </c>
      <c r="BN106" s="318" t="n">
        <v>-0.01</v>
      </c>
      <c r="BO106" s="318" t="n">
        <v>0</v>
      </c>
      <c r="BP106" s="318" t="n">
        <v>0.005</v>
      </c>
      <c r="BQ106" s="318" t="n">
        <v>0.0025</v>
      </c>
      <c r="BR106" s="318" t="n">
        <v>0.02</v>
      </c>
      <c r="BS106" s="0" t="n">
        <v>0.005</v>
      </c>
      <c r="BT106" s="0" t="n">
        <v>0.04</v>
      </c>
      <c r="BU106" s="0" t="n">
        <v>0.04</v>
      </c>
      <c r="BV106" s="0" t="n">
        <v>0.03</v>
      </c>
    </row>
    <row r="107" customFormat="false" ht="12.75" hidden="false" customHeight="false" outlineLevel="0" collapsed="false">
      <c r="A107" s="320" t="e">
        <f aca="false">#REF!-B107</f>
        <v>#REF!</v>
      </c>
      <c r="B107" s="320" t="n">
        <v>3.414</v>
      </c>
      <c r="C107" s="327" t="n">
        <f aca="false">EOMONTH(C106,0)+1</f>
        <v>40360</v>
      </c>
      <c r="D107" s="0" t="n">
        <f aca="false">D95+0.05</f>
        <v>3.414</v>
      </c>
      <c r="E107" s="320" t="n">
        <v>0.185</v>
      </c>
      <c r="F107" s="318" t="n">
        <v>0.0573520335615627</v>
      </c>
      <c r="G107" s="318" t="n">
        <v>-0.13</v>
      </c>
      <c r="H107" s="318" t="n">
        <v>-0.15</v>
      </c>
      <c r="I107" s="330" t="n">
        <v>-0.09</v>
      </c>
      <c r="J107" s="330" t="n">
        <v>-0.13</v>
      </c>
      <c r="K107" s="318" t="n">
        <v>-0.09</v>
      </c>
      <c r="L107" s="318" t="n">
        <v>-0.047</v>
      </c>
      <c r="M107" s="318" t="n">
        <v>-0.067</v>
      </c>
      <c r="N107" s="318" t="n">
        <v>-0.12</v>
      </c>
      <c r="O107" s="318" t="n">
        <v>-0.12</v>
      </c>
      <c r="P107" s="318" t="n">
        <v>-0.13</v>
      </c>
      <c r="Q107" s="318" t="n">
        <v>-0.056</v>
      </c>
      <c r="R107" s="318" t="n">
        <v>-0.047</v>
      </c>
      <c r="S107" s="318" t="n">
        <v>0.125</v>
      </c>
      <c r="T107" s="318" t="n">
        <v>0.145</v>
      </c>
      <c r="U107" s="318" t="n">
        <v>0.04</v>
      </c>
      <c r="V107" s="318" t="n">
        <v>0.5</v>
      </c>
      <c r="W107" s="318" t="n">
        <v>0.145</v>
      </c>
      <c r="X107" s="318" t="n">
        <v>0.165</v>
      </c>
      <c r="Y107" s="318" t="n">
        <v>-0.0175</v>
      </c>
      <c r="Z107" s="318" t="n">
        <v>-0.046</v>
      </c>
      <c r="AA107" s="318" t="n">
        <v>0.0175</v>
      </c>
      <c r="AB107" s="318" t="n">
        <v>0</v>
      </c>
      <c r="AC107" s="318" t="n">
        <v>0.0025</v>
      </c>
      <c r="AD107" s="318" t="n">
        <v>-0.0225</v>
      </c>
      <c r="AE107" s="318" t="n">
        <v>-0.0725</v>
      </c>
      <c r="AF107" s="318" t="n">
        <v>-0.057</v>
      </c>
      <c r="AG107" s="318" t="n">
        <v>-0.0795</v>
      </c>
      <c r="AH107" s="318" t="n">
        <v>-0.0155</v>
      </c>
      <c r="AI107" s="318" t="n">
        <v>-0.072</v>
      </c>
      <c r="AJ107" s="318" t="n">
        <v>-0.065</v>
      </c>
      <c r="AK107" s="318" t="n">
        <v>-0.017</v>
      </c>
      <c r="AL107" s="318" t="n">
        <v>0.023</v>
      </c>
      <c r="AM107" s="318" t="n">
        <v>0.37</v>
      </c>
      <c r="AN107" s="318" t="n">
        <v>0.025</v>
      </c>
      <c r="AO107" s="318" t="n">
        <v>-0.45</v>
      </c>
      <c r="AP107" s="318" t="n">
        <v>-0.07</v>
      </c>
      <c r="AQ107" s="318" t="n">
        <v>-0.195</v>
      </c>
      <c r="AR107" s="318" t="n">
        <v>-0.25</v>
      </c>
      <c r="AS107" s="318" t="n">
        <v>-0.37</v>
      </c>
      <c r="AT107" s="318" t="n">
        <v>0</v>
      </c>
      <c r="AU107" s="318" t="n">
        <v>0.26</v>
      </c>
      <c r="AV107" s="318" t="n">
        <v>-0.45</v>
      </c>
      <c r="AW107" s="318" t="n">
        <v>-0.133</v>
      </c>
      <c r="AX107" s="318" t="n">
        <v>-0.06</v>
      </c>
      <c r="AY107" s="318" t="n">
        <v>-0.073</v>
      </c>
      <c r="AZ107" s="318" t="n">
        <v>-0.047</v>
      </c>
      <c r="BA107" s="318" t="n">
        <v>-0.0755</v>
      </c>
      <c r="BB107" s="318" t="n">
        <v>-0.0155</v>
      </c>
      <c r="BC107" s="318" t="n">
        <v>-0.052</v>
      </c>
      <c r="BD107" s="318" t="n">
        <v>-0.005</v>
      </c>
      <c r="BE107" s="318" t="n">
        <v>-0.0725</v>
      </c>
      <c r="BF107" s="318" t="n">
        <v>0</v>
      </c>
      <c r="BG107" s="318" t="n">
        <v>0.14</v>
      </c>
      <c r="BH107" s="318" t="n">
        <v>0.145</v>
      </c>
      <c r="BI107" s="318" t="n">
        <v>0.125</v>
      </c>
      <c r="BJ107" s="318" t="n">
        <v>0.335</v>
      </c>
      <c r="BK107" s="318" t="n">
        <v>0.0025</v>
      </c>
      <c r="BL107" s="318" t="n">
        <v>-0.015</v>
      </c>
      <c r="BM107" s="318" t="n">
        <v>0.005</v>
      </c>
      <c r="BN107" s="318" t="n">
        <v>-0.01</v>
      </c>
      <c r="BO107" s="318" t="n">
        <v>0</v>
      </c>
      <c r="BP107" s="318" t="n">
        <v>0.005</v>
      </c>
      <c r="BQ107" s="318" t="n">
        <v>0.0025</v>
      </c>
      <c r="BR107" s="318" t="n">
        <v>0.035</v>
      </c>
      <c r="BS107" s="0" t="n">
        <v>0.005</v>
      </c>
      <c r="BT107" s="0" t="n">
        <v>0.04</v>
      </c>
      <c r="BU107" s="0" t="n">
        <v>0.04</v>
      </c>
      <c r="BV107" s="0" t="n">
        <v>0.03</v>
      </c>
    </row>
    <row r="108" customFormat="false" ht="12.75" hidden="false" customHeight="false" outlineLevel="0" collapsed="false">
      <c r="A108" s="320" t="e">
        <f aca="false">#REF!-B108</f>
        <v>#REF!</v>
      </c>
      <c r="B108" s="320" t="n">
        <v>3.655</v>
      </c>
      <c r="C108" s="327" t="n">
        <f aca="false">EOMONTH(C107,0)+1</f>
        <v>40391</v>
      </c>
      <c r="D108" s="0" t="n">
        <f aca="false">D96+0.05</f>
        <v>3.464</v>
      </c>
      <c r="E108" s="320" t="n">
        <v>0.185</v>
      </c>
      <c r="F108" s="318" t="n">
        <v>0.0574521933449916</v>
      </c>
      <c r="G108" s="318" t="n">
        <v>-0.13</v>
      </c>
      <c r="H108" s="318" t="n">
        <v>-0.15</v>
      </c>
      <c r="I108" s="330" t="n">
        <v>-0.09</v>
      </c>
      <c r="J108" s="330" t="n">
        <v>-0.13</v>
      </c>
      <c r="K108" s="318" t="n">
        <v>-0.09</v>
      </c>
      <c r="L108" s="318" t="n">
        <v>-0.047</v>
      </c>
      <c r="M108" s="318" t="n">
        <v>-0.067</v>
      </c>
      <c r="N108" s="318" t="n">
        <v>-0.12</v>
      </c>
      <c r="O108" s="318" t="n">
        <v>-0.12</v>
      </c>
      <c r="P108" s="318" t="n">
        <v>-0.13</v>
      </c>
      <c r="Q108" s="318" t="n">
        <v>-0.05475</v>
      </c>
      <c r="R108" s="318" t="n">
        <v>-0.047</v>
      </c>
      <c r="S108" s="318" t="n">
        <v>0.125</v>
      </c>
      <c r="T108" s="318" t="n">
        <v>0.145</v>
      </c>
      <c r="U108" s="318" t="n">
        <v>0.04</v>
      </c>
      <c r="V108" s="318" t="n">
        <v>0.5</v>
      </c>
      <c r="W108" s="318" t="n">
        <v>0.15</v>
      </c>
      <c r="X108" s="318" t="n">
        <v>0.205</v>
      </c>
      <c r="Y108" s="318" t="n">
        <v>-0.0175</v>
      </c>
      <c r="Z108" s="318" t="n">
        <v>-0.046</v>
      </c>
      <c r="AA108" s="318" t="n">
        <v>0.0175</v>
      </c>
      <c r="AB108" s="318" t="n">
        <v>0</v>
      </c>
      <c r="AC108" s="318" t="n">
        <v>0.0025</v>
      </c>
      <c r="AD108" s="318" t="n">
        <v>-0.0225</v>
      </c>
      <c r="AE108" s="318" t="n">
        <v>-0.0725</v>
      </c>
      <c r="AF108" s="318" t="n">
        <v>-0.057</v>
      </c>
      <c r="AG108" s="318" t="n">
        <v>-0.0795</v>
      </c>
      <c r="AH108" s="318" t="n">
        <v>-0.0155</v>
      </c>
      <c r="AI108" s="318" t="n">
        <v>-0.072</v>
      </c>
      <c r="AJ108" s="318" t="n">
        <v>-0.0625</v>
      </c>
      <c r="AK108" s="318" t="n">
        <v>-0.017</v>
      </c>
      <c r="AL108" s="318" t="n">
        <v>0.023</v>
      </c>
      <c r="AM108" s="318" t="n">
        <v>0.41</v>
      </c>
      <c r="AN108" s="318" t="n">
        <v>0.0275</v>
      </c>
      <c r="AO108" s="318" t="n">
        <v>-0.45</v>
      </c>
      <c r="AP108" s="318" t="n">
        <v>-0.07</v>
      </c>
      <c r="AQ108" s="318" t="n">
        <v>-0.195</v>
      </c>
      <c r="AR108" s="318" t="n">
        <v>-0.25</v>
      </c>
      <c r="AS108" s="318" t="n">
        <v>-0.37</v>
      </c>
      <c r="AT108" s="318" t="n">
        <v>0</v>
      </c>
      <c r="AU108" s="318" t="n">
        <v>0.26</v>
      </c>
      <c r="AV108" s="318" t="n">
        <v>-0.45</v>
      </c>
      <c r="AW108" s="318" t="n">
        <v>-0.143</v>
      </c>
      <c r="AX108" s="318" t="n">
        <v>-0.06</v>
      </c>
      <c r="AY108" s="318" t="n">
        <v>-0.083</v>
      </c>
      <c r="AZ108" s="318" t="n">
        <v>-0.047</v>
      </c>
      <c r="BA108" s="318" t="n">
        <v>-0.073</v>
      </c>
      <c r="BB108" s="318" t="n">
        <v>-0.0155</v>
      </c>
      <c r="BC108" s="318" t="n">
        <v>-0.052</v>
      </c>
      <c r="BD108" s="318" t="n">
        <v>-0.0025</v>
      </c>
      <c r="BE108" s="318" t="n">
        <v>-0.0725</v>
      </c>
      <c r="BF108" s="318" t="n">
        <v>0</v>
      </c>
      <c r="BG108" s="318" t="n">
        <v>0.14</v>
      </c>
      <c r="BH108" s="318" t="n">
        <v>0.145</v>
      </c>
      <c r="BI108" s="318" t="n">
        <v>0.125</v>
      </c>
      <c r="BJ108" s="318" t="n">
        <v>0.35</v>
      </c>
      <c r="BK108" s="318" t="n">
        <v>0.0025</v>
      </c>
      <c r="BL108" s="318" t="n">
        <v>-0.01</v>
      </c>
      <c r="BM108" s="318" t="n">
        <v>0.005</v>
      </c>
      <c r="BN108" s="318" t="n">
        <v>-0.01</v>
      </c>
      <c r="BO108" s="318" t="n">
        <v>0</v>
      </c>
      <c r="BP108" s="318" t="n">
        <v>0.005</v>
      </c>
      <c r="BQ108" s="318" t="n">
        <v>0.0025</v>
      </c>
      <c r="BR108" s="318" t="n">
        <v>0.035</v>
      </c>
      <c r="BS108" s="0" t="n">
        <v>0.005</v>
      </c>
      <c r="BT108" s="0" t="n">
        <v>0.04</v>
      </c>
      <c r="BU108" s="0" t="n">
        <v>0.04</v>
      </c>
      <c r="BV108" s="0" t="n">
        <v>0.03</v>
      </c>
    </row>
    <row r="109" customFormat="false" ht="12.75" hidden="false" customHeight="false" outlineLevel="0" collapsed="false">
      <c r="A109" s="320" t="e">
        <f aca="false">#REF!-B109</f>
        <v>#REF!</v>
      </c>
      <c r="B109" s="320" t="n">
        <v>3.552</v>
      </c>
      <c r="C109" s="327" t="n">
        <f aca="false">EOMONTH(C108,0)+1</f>
        <v>40422</v>
      </c>
      <c r="D109" s="0" t="n">
        <f aca="false">D97+0.05</f>
        <v>3.449</v>
      </c>
      <c r="E109" s="320" t="n">
        <v>0.185</v>
      </c>
      <c r="F109" s="318" t="n">
        <v>0.0575556917913746</v>
      </c>
      <c r="G109" s="318" t="n">
        <v>-0.13</v>
      </c>
      <c r="H109" s="318" t="n">
        <v>-0.15</v>
      </c>
      <c r="I109" s="330" t="n">
        <v>-0.09</v>
      </c>
      <c r="J109" s="330" t="n">
        <v>-0.13</v>
      </c>
      <c r="K109" s="318" t="n">
        <v>-0.09</v>
      </c>
      <c r="L109" s="318" t="n">
        <v>-0.047</v>
      </c>
      <c r="M109" s="318" t="n">
        <v>-0.067</v>
      </c>
      <c r="N109" s="318" t="n">
        <v>-0.12</v>
      </c>
      <c r="O109" s="318" t="n">
        <v>-0.12</v>
      </c>
      <c r="P109" s="318" t="n">
        <v>-0.13</v>
      </c>
      <c r="Q109" s="318" t="n">
        <v>-0.0535</v>
      </c>
      <c r="R109" s="318" t="n">
        <v>-0.047</v>
      </c>
      <c r="S109" s="318" t="n">
        <v>0.125</v>
      </c>
      <c r="T109" s="318" t="n">
        <v>0.145</v>
      </c>
      <c r="U109" s="318" t="n">
        <v>0.04</v>
      </c>
      <c r="V109" s="318" t="n">
        <v>0.5</v>
      </c>
      <c r="W109" s="318" t="n">
        <v>0.15</v>
      </c>
      <c r="X109" s="318" t="n">
        <v>0.205</v>
      </c>
      <c r="Y109" s="318" t="n">
        <v>-0.0175</v>
      </c>
      <c r="Z109" s="318" t="n">
        <v>-0.046</v>
      </c>
      <c r="AA109" s="318" t="n">
        <v>0.0125</v>
      </c>
      <c r="AB109" s="318" t="n">
        <v>-0.005</v>
      </c>
      <c r="AC109" s="318" t="n">
        <v>0.0025</v>
      </c>
      <c r="AD109" s="318" t="n">
        <v>-0.0225</v>
      </c>
      <c r="AE109" s="318" t="n">
        <v>-0.0725</v>
      </c>
      <c r="AF109" s="318" t="n">
        <v>-0.057</v>
      </c>
      <c r="AG109" s="318" t="n">
        <v>-0.0795</v>
      </c>
      <c r="AH109" s="318" t="n">
        <v>-0.0155</v>
      </c>
      <c r="AI109" s="318" t="n">
        <v>-0.072</v>
      </c>
      <c r="AJ109" s="318" t="n">
        <v>-0.06</v>
      </c>
      <c r="AK109" s="318" t="n">
        <v>-0.017</v>
      </c>
      <c r="AL109" s="318" t="n">
        <v>0.023</v>
      </c>
      <c r="AM109" s="318" t="n">
        <v>0.41</v>
      </c>
      <c r="AN109" s="318" t="n">
        <v>0.03</v>
      </c>
      <c r="AO109" s="318" t="n">
        <v>-0.45</v>
      </c>
      <c r="AP109" s="318" t="n">
        <v>-0.07</v>
      </c>
      <c r="AQ109" s="318" t="n">
        <v>-0.195</v>
      </c>
      <c r="AR109" s="318" t="n">
        <v>-0.25</v>
      </c>
      <c r="AS109" s="318" t="n">
        <v>-0.37</v>
      </c>
      <c r="AT109" s="318" t="n">
        <v>0</v>
      </c>
      <c r="AU109" s="318" t="n">
        <v>0.26</v>
      </c>
      <c r="AV109" s="318" t="n">
        <v>-0.45</v>
      </c>
      <c r="AW109" s="318" t="n">
        <v>-0.138</v>
      </c>
      <c r="AX109" s="318" t="n">
        <v>-0.06</v>
      </c>
      <c r="AY109" s="318" t="n">
        <v>-0.078</v>
      </c>
      <c r="AZ109" s="318" t="n">
        <v>-0.047</v>
      </c>
      <c r="BA109" s="318" t="n">
        <v>-0.0705</v>
      </c>
      <c r="BB109" s="318" t="n">
        <v>-0.0155</v>
      </c>
      <c r="BC109" s="318" t="n">
        <v>-0.052</v>
      </c>
      <c r="BD109" s="318" t="n">
        <v>0</v>
      </c>
      <c r="BE109" s="318" t="n">
        <v>-0.0725</v>
      </c>
      <c r="BF109" s="318" t="n">
        <v>0</v>
      </c>
      <c r="BG109" s="318" t="n">
        <v>0.14</v>
      </c>
      <c r="BH109" s="318" t="n">
        <v>0.145</v>
      </c>
      <c r="BI109" s="318" t="n">
        <v>0.125</v>
      </c>
      <c r="BJ109" s="318" t="n">
        <v>0.35</v>
      </c>
      <c r="BK109" s="318" t="n">
        <v>0.0025</v>
      </c>
      <c r="BL109" s="318" t="n">
        <v>-0.01</v>
      </c>
      <c r="BM109" s="318" t="n">
        <v>0.005</v>
      </c>
      <c r="BN109" s="318" t="n">
        <v>-0.01</v>
      </c>
      <c r="BO109" s="318" t="n">
        <v>0</v>
      </c>
      <c r="BP109" s="318" t="n">
        <v>0.005</v>
      </c>
      <c r="BQ109" s="318" t="n">
        <v>0.0025</v>
      </c>
      <c r="BR109" s="318" t="n">
        <v>0.01</v>
      </c>
      <c r="BS109" s="0" t="n">
        <v>0.005</v>
      </c>
      <c r="BT109" s="0" t="n">
        <v>0.04</v>
      </c>
      <c r="BU109" s="0" t="n">
        <v>0.04</v>
      </c>
      <c r="BV109" s="0" t="n">
        <v>0.03</v>
      </c>
    </row>
    <row r="110" customFormat="false" ht="12.75" hidden="false" customHeight="false" outlineLevel="0" collapsed="false">
      <c r="A110" s="320" t="e">
        <f aca="false">#REF!-B110</f>
        <v>#REF!</v>
      </c>
      <c r="B110" s="320" t="n">
        <v>3.412</v>
      </c>
      <c r="C110" s="327" t="n">
        <f aca="false">EOMONTH(C109,0)+1</f>
        <v>40452</v>
      </c>
      <c r="D110" s="0" t="n">
        <f aca="false">D98+0.05</f>
        <v>3.464</v>
      </c>
      <c r="E110" s="320" t="n">
        <v>0.185</v>
      </c>
      <c r="F110" s="318" t="n">
        <v>0.0576591902413206</v>
      </c>
      <c r="G110" s="318" t="n">
        <v>-0.13</v>
      </c>
      <c r="H110" s="318" t="n">
        <v>-0.15</v>
      </c>
      <c r="I110" s="330" t="n">
        <v>-0.09</v>
      </c>
      <c r="J110" s="330" t="n">
        <v>-0.13</v>
      </c>
      <c r="K110" s="318" t="n">
        <v>-0.09</v>
      </c>
      <c r="L110" s="318" t="n">
        <v>-0.047</v>
      </c>
      <c r="M110" s="318" t="n">
        <v>-0.067</v>
      </c>
      <c r="N110" s="318" t="n">
        <v>-0.12</v>
      </c>
      <c r="O110" s="318" t="n">
        <v>-0.12</v>
      </c>
      <c r="P110" s="318" t="n">
        <v>-0.13</v>
      </c>
      <c r="Q110" s="318" t="n">
        <v>-0.05725</v>
      </c>
      <c r="R110" s="318" t="n">
        <v>-0.047</v>
      </c>
      <c r="S110" s="318" t="n">
        <v>0.125</v>
      </c>
      <c r="T110" s="318" t="n">
        <v>0.145</v>
      </c>
      <c r="U110" s="318" t="n">
        <v>0.04</v>
      </c>
      <c r="V110" s="318" t="n">
        <v>0.5</v>
      </c>
      <c r="W110" s="318" t="n">
        <v>0.125</v>
      </c>
      <c r="X110" s="318" t="n">
        <v>0.145</v>
      </c>
      <c r="Y110" s="318" t="n">
        <v>-0.0175</v>
      </c>
      <c r="Z110" s="318" t="n">
        <v>-0.051</v>
      </c>
      <c r="AA110" s="318" t="n">
        <v>0.0125</v>
      </c>
      <c r="AB110" s="318" t="n">
        <v>-0.005</v>
      </c>
      <c r="AC110" s="318" t="n">
        <v>0.0025</v>
      </c>
      <c r="AD110" s="318" t="n">
        <v>-0.0225</v>
      </c>
      <c r="AE110" s="318" t="n">
        <v>-0.0725</v>
      </c>
      <c r="AF110" s="318" t="n">
        <v>-0.057</v>
      </c>
      <c r="AG110" s="318" t="n">
        <v>-0.0795</v>
      </c>
      <c r="AH110" s="318" t="n">
        <v>-0.0155</v>
      </c>
      <c r="AI110" s="318" t="n">
        <v>-0.072</v>
      </c>
      <c r="AJ110" s="318" t="n">
        <v>-0.0675</v>
      </c>
      <c r="AK110" s="318" t="n">
        <v>-0.017</v>
      </c>
      <c r="AL110" s="318" t="n">
        <v>0.023</v>
      </c>
      <c r="AM110" s="318" t="n">
        <v>0.36</v>
      </c>
      <c r="AN110" s="318" t="n">
        <v>0.0225</v>
      </c>
      <c r="AO110" s="318" t="n">
        <v>-0.45</v>
      </c>
      <c r="AP110" s="318" t="n">
        <v>-0.07</v>
      </c>
      <c r="AQ110" s="318" t="n">
        <v>-0.195</v>
      </c>
      <c r="AR110" s="318" t="n">
        <v>-0.25</v>
      </c>
      <c r="AS110" s="318" t="n">
        <v>-0.37</v>
      </c>
      <c r="AT110" s="318" t="n">
        <v>0</v>
      </c>
      <c r="AU110" s="318" t="n">
        <v>0.26</v>
      </c>
      <c r="AV110" s="318" t="n">
        <v>-0.45</v>
      </c>
      <c r="AW110" s="318" t="n">
        <v>-0.148</v>
      </c>
      <c r="AX110" s="318" t="n">
        <v>-0.06</v>
      </c>
      <c r="AY110" s="318" t="n">
        <v>-0.088</v>
      </c>
      <c r="AZ110" s="318" t="n">
        <v>-0.047</v>
      </c>
      <c r="BA110" s="318" t="n">
        <v>-0.0755</v>
      </c>
      <c r="BB110" s="318" t="n">
        <v>-0.0155</v>
      </c>
      <c r="BC110" s="318" t="n">
        <v>-0.052</v>
      </c>
      <c r="BD110" s="318" t="n">
        <v>-0.0075</v>
      </c>
      <c r="BE110" s="318" t="n">
        <v>-0.0725</v>
      </c>
      <c r="BF110" s="318" t="n">
        <v>0</v>
      </c>
      <c r="BG110" s="318" t="n">
        <v>0.14</v>
      </c>
      <c r="BH110" s="318" t="n">
        <v>0.145</v>
      </c>
      <c r="BI110" s="318" t="n">
        <v>0.125</v>
      </c>
      <c r="BJ110" s="318" t="n">
        <v>0.315</v>
      </c>
      <c r="BK110" s="318" t="n">
        <v>0.0025</v>
      </c>
      <c r="BL110" s="318" t="n">
        <v>-0.01</v>
      </c>
      <c r="BM110" s="318" t="n">
        <v>0.005</v>
      </c>
      <c r="BN110" s="318" t="n">
        <v>-0.01</v>
      </c>
      <c r="BO110" s="318" t="n">
        <v>0</v>
      </c>
      <c r="BP110" s="318" t="n">
        <v>0.005</v>
      </c>
      <c r="BQ110" s="318" t="n">
        <v>0.0025</v>
      </c>
      <c r="BR110" s="318" t="n">
        <v>0.01</v>
      </c>
      <c r="BS110" s="0" t="n">
        <v>0.005</v>
      </c>
      <c r="BT110" s="0" t="n">
        <v>0.04</v>
      </c>
      <c r="BU110" s="0" t="n">
        <v>0.04</v>
      </c>
      <c r="BV110" s="0" t="n">
        <v>0.03</v>
      </c>
    </row>
    <row r="111" customFormat="false" ht="12.75" hidden="false" customHeight="false" outlineLevel="0" collapsed="false">
      <c r="A111" s="320" t="e">
        <f aca="false">#REF!-B111</f>
        <v>#REF!</v>
      </c>
      <c r="B111" s="320" t="n">
        <v>3.275</v>
      </c>
      <c r="C111" s="327" t="n">
        <f aca="false">EOMONTH(C110,0)+1</f>
        <v>40483</v>
      </c>
      <c r="D111" s="0" t="n">
        <f aca="false">D99+0.05</f>
        <v>3.609</v>
      </c>
      <c r="E111" s="320" t="n">
        <v>0.185</v>
      </c>
      <c r="F111" s="318" t="n">
        <v>0.057759350034984</v>
      </c>
      <c r="G111" s="318" t="n">
        <v>-0.13</v>
      </c>
      <c r="H111" s="318" t="n">
        <v>-0.15</v>
      </c>
      <c r="I111" s="330" t="n">
        <v>-0.09</v>
      </c>
      <c r="J111" s="330" t="n">
        <v>-0.13</v>
      </c>
      <c r="K111" s="318" t="n">
        <v>-0.09</v>
      </c>
      <c r="L111" s="318" t="n">
        <v>-0.047</v>
      </c>
      <c r="M111" s="318" t="n">
        <v>-0.067</v>
      </c>
      <c r="N111" s="318" t="n">
        <v>-0.12</v>
      </c>
      <c r="O111" s="318" t="n">
        <v>-0.12</v>
      </c>
      <c r="P111" s="318" t="n">
        <v>-0.13</v>
      </c>
      <c r="Q111" s="318" t="n">
        <v>-0.06225</v>
      </c>
      <c r="R111" s="318" t="n">
        <v>-0.047</v>
      </c>
      <c r="S111" s="318" t="n">
        <v>0.125</v>
      </c>
      <c r="T111" s="318" t="n">
        <v>0.145</v>
      </c>
      <c r="U111" s="318" t="n">
        <v>0.04</v>
      </c>
      <c r="V111" s="318" t="n">
        <v>0.5</v>
      </c>
      <c r="W111" s="318" t="n">
        <v>0.145</v>
      </c>
      <c r="X111" s="318" t="n">
        <v>0.175</v>
      </c>
      <c r="Y111" s="318" t="n">
        <v>-0.0175</v>
      </c>
      <c r="Z111" s="318" t="n">
        <v>-0.051</v>
      </c>
      <c r="AA111" s="318" t="n">
        <v>0.0075</v>
      </c>
      <c r="AB111" s="318" t="n">
        <v>-0.01</v>
      </c>
      <c r="AC111" s="318" t="n">
        <v>0.0025</v>
      </c>
      <c r="AD111" s="318" t="n">
        <v>-0.0225</v>
      </c>
      <c r="AE111" s="318" t="n">
        <v>-0.0725</v>
      </c>
      <c r="AF111" s="318" t="n">
        <v>-0.057</v>
      </c>
      <c r="AG111" s="318" t="n">
        <v>-0.0795</v>
      </c>
      <c r="AH111" s="318" t="n">
        <v>-0.0155</v>
      </c>
      <c r="AI111" s="318" t="n">
        <v>-0.072</v>
      </c>
      <c r="AJ111" s="318" t="n">
        <v>-0.0775</v>
      </c>
      <c r="AK111" s="318" t="n">
        <v>-0.017</v>
      </c>
      <c r="AL111" s="318" t="n">
        <v>0.023</v>
      </c>
      <c r="AM111" s="318" t="n">
        <v>0.4</v>
      </c>
      <c r="AN111" s="318" t="n">
        <v>0.0125</v>
      </c>
      <c r="AO111" s="318" t="n">
        <v>-0.45</v>
      </c>
      <c r="AP111" s="318" t="n">
        <v>-0.07</v>
      </c>
      <c r="AQ111" s="318" t="n">
        <v>-0.195</v>
      </c>
      <c r="AR111" s="318" t="n">
        <v>-0.25</v>
      </c>
      <c r="AS111" s="318" t="n">
        <v>-0.37</v>
      </c>
      <c r="AT111" s="318" t="n">
        <v>0</v>
      </c>
      <c r="AU111" s="318" t="n">
        <v>0.26</v>
      </c>
      <c r="AV111" s="318" t="n">
        <v>-0.45</v>
      </c>
      <c r="AW111" s="318" t="n">
        <v>-0.1355</v>
      </c>
      <c r="AX111" s="318" t="n">
        <v>-0.06</v>
      </c>
      <c r="AY111" s="318" t="n">
        <v>-0.0755</v>
      </c>
      <c r="AZ111" s="318" t="n">
        <v>-0.047</v>
      </c>
      <c r="BA111" s="318" t="n">
        <v>-0.078</v>
      </c>
      <c r="BB111" s="318" t="n">
        <v>-0.0155</v>
      </c>
      <c r="BC111" s="318" t="n">
        <v>-0.052</v>
      </c>
      <c r="BD111" s="318" t="n">
        <v>-0.0175</v>
      </c>
      <c r="BE111" s="318" t="n">
        <v>-0.0725</v>
      </c>
      <c r="BF111" s="318" t="n">
        <v>0</v>
      </c>
      <c r="BG111" s="318" t="n">
        <v>0.14</v>
      </c>
      <c r="BH111" s="318" t="n">
        <v>0.145</v>
      </c>
      <c r="BI111" s="318" t="n">
        <v>0.125</v>
      </c>
      <c r="BJ111" s="318" t="n">
        <v>0.36</v>
      </c>
      <c r="BK111" s="318" t="n">
        <v>0.0025</v>
      </c>
      <c r="BL111" s="318" t="n">
        <v>-0.015</v>
      </c>
      <c r="BM111" s="318" t="n">
        <v>0.005</v>
      </c>
      <c r="BN111" s="318" t="n">
        <v>-0.01</v>
      </c>
      <c r="BO111" s="318" t="n">
        <v>0</v>
      </c>
      <c r="BP111" s="318" t="n">
        <v>0.005</v>
      </c>
      <c r="BQ111" s="318" t="n">
        <v>0.0025</v>
      </c>
      <c r="BR111" s="318" t="n">
        <v>0.01</v>
      </c>
      <c r="BS111" s="0" t="n">
        <v>0.005</v>
      </c>
      <c r="BT111" s="0" t="n">
        <v>0.04</v>
      </c>
      <c r="BU111" s="0" t="n">
        <v>0.04</v>
      </c>
      <c r="BV111" s="0" t="n">
        <v>0.03</v>
      </c>
    </row>
    <row r="112" customFormat="false" ht="12.75" hidden="false" customHeight="false" outlineLevel="0" collapsed="false">
      <c r="A112" s="320" t="e">
        <f aca="false">#REF!-B112</f>
        <v>#REF!</v>
      </c>
      <c r="B112" s="320" t="n">
        <v>3.253</v>
      </c>
      <c r="C112" s="327" t="n">
        <f aca="false">EOMONTH(C111,0)+1</f>
        <v>40513</v>
      </c>
      <c r="D112" s="0" t="n">
        <f aca="false">D100+0.05</f>
        <v>3.744</v>
      </c>
      <c r="E112" s="320" t="n">
        <v>0.185</v>
      </c>
      <c r="F112" s="318" t="n">
        <v>0.0578628484919417</v>
      </c>
      <c r="G112" s="318" t="n">
        <v>-0.13</v>
      </c>
      <c r="H112" s="318" t="n">
        <v>-0.15</v>
      </c>
      <c r="I112" s="330" t="n">
        <v>-0.01</v>
      </c>
      <c r="J112" s="330" t="n">
        <v>-0.13</v>
      </c>
      <c r="K112" s="318" t="n">
        <v>0</v>
      </c>
      <c r="L112" s="318" t="n">
        <v>-0.0465</v>
      </c>
      <c r="M112" s="318" t="n">
        <v>-0.0815</v>
      </c>
      <c r="N112" s="318" t="n">
        <v>-0.12</v>
      </c>
      <c r="O112" s="318" t="n">
        <v>-0.12</v>
      </c>
      <c r="P112" s="318" t="n">
        <v>-0.13</v>
      </c>
      <c r="Q112" s="318" t="n">
        <v>-0.0795</v>
      </c>
      <c r="R112" s="318" t="n">
        <v>-0.0465</v>
      </c>
      <c r="S112" s="318" t="n">
        <v>0.155</v>
      </c>
      <c r="T112" s="318" t="n">
        <v>0.175</v>
      </c>
      <c r="U112" s="318" t="n">
        <v>0.13</v>
      </c>
      <c r="V112" s="318" t="n">
        <v>0.5</v>
      </c>
      <c r="W112" s="318" t="n">
        <v>0.195</v>
      </c>
      <c r="X112" s="318" t="n">
        <v>0.21</v>
      </c>
      <c r="Y112" s="318" t="n">
        <v>-0.015</v>
      </c>
      <c r="Z112" s="318" t="n">
        <v>-0.032</v>
      </c>
      <c r="AA112" s="318" t="n">
        <v>0.0085</v>
      </c>
      <c r="AB112" s="318" t="n">
        <v>-0.009</v>
      </c>
      <c r="AC112" s="318" t="n">
        <v>0.0025</v>
      </c>
      <c r="AD112" s="318" t="n">
        <v>-0.0225</v>
      </c>
      <c r="AE112" s="318" t="n">
        <v>-0.075</v>
      </c>
      <c r="AF112" s="318" t="n">
        <v>-0.0595</v>
      </c>
      <c r="AG112" s="318" t="n">
        <v>-0.082</v>
      </c>
      <c r="AH112" s="318" t="n">
        <v>-0.012</v>
      </c>
      <c r="AI112" s="318" t="n">
        <v>-0.064</v>
      </c>
      <c r="AJ112" s="318" t="n">
        <v>-0.1125</v>
      </c>
      <c r="AK112" s="318" t="n">
        <v>-0.008999999</v>
      </c>
      <c r="AL112" s="318" t="n">
        <v>0.031</v>
      </c>
      <c r="AM112" s="318" t="n">
        <v>0.65</v>
      </c>
      <c r="AN112" s="318" t="n">
        <v>-0.0225</v>
      </c>
      <c r="AO112" s="318" t="n">
        <v>-0.34</v>
      </c>
      <c r="AP112" s="318" t="n">
        <v>-0.07</v>
      </c>
      <c r="AQ112" s="318" t="n">
        <v>-0.13</v>
      </c>
      <c r="AR112" s="318" t="n">
        <v>0.248</v>
      </c>
      <c r="AS112" s="318" t="n">
        <v>-0.26</v>
      </c>
      <c r="AT112" s="318" t="n">
        <v>0</v>
      </c>
      <c r="AU112" s="318" t="n">
        <v>0.35</v>
      </c>
      <c r="AV112" s="318" t="n">
        <v>-0.34</v>
      </c>
      <c r="AW112" s="318" t="n">
        <v>-0.143</v>
      </c>
      <c r="AX112" s="318" t="n">
        <v>-0.06</v>
      </c>
      <c r="AY112" s="318" t="n">
        <v>-0.083</v>
      </c>
      <c r="AZ112" s="318" t="n">
        <v>-0.0465</v>
      </c>
      <c r="BA112" s="318" t="n">
        <v>-0.073</v>
      </c>
      <c r="BB112" s="318" t="n">
        <v>-0.017</v>
      </c>
      <c r="BC112" s="318" t="n">
        <v>-0.0665</v>
      </c>
      <c r="BD112" s="318" t="n">
        <v>-0.0525</v>
      </c>
      <c r="BE112" s="318" t="n">
        <v>-0.075</v>
      </c>
      <c r="BF112" s="318" t="n">
        <v>0</v>
      </c>
      <c r="BG112" s="318" t="n">
        <v>0.17</v>
      </c>
      <c r="BH112" s="318" t="n">
        <v>0.175</v>
      </c>
      <c r="BI112" s="318" t="n">
        <v>0.155</v>
      </c>
      <c r="BJ112" s="318" t="n">
        <v>0.46</v>
      </c>
      <c r="BK112" s="318" t="n">
        <v>0.0025</v>
      </c>
      <c r="BL112" s="318" t="n">
        <v>-0.02</v>
      </c>
      <c r="BM112" s="318" t="n">
        <v>0.005</v>
      </c>
      <c r="BN112" s="318" t="n">
        <v>0</v>
      </c>
      <c r="BO112" s="318" t="n">
        <v>0</v>
      </c>
      <c r="BP112" s="318" t="n">
        <v>0.005</v>
      </c>
      <c r="BQ112" s="318" t="n">
        <v>0.005</v>
      </c>
      <c r="BR112" s="318" t="n">
        <v>0.055</v>
      </c>
      <c r="BS112" s="0" t="n">
        <v>0.02</v>
      </c>
      <c r="BT112" s="0" t="n">
        <v>0.042</v>
      </c>
      <c r="BU112" s="0" t="n">
        <v>0.042</v>
      </c>
      <c r="BV112" s="0" t="n">
        <v>0.03</v>
      </c>
    </row>
    <row r="113" customFormat="false" ht="12.75" hidden="false" customHeight="false" outlineLevel="0" collapsed="false">
      <c r="A113" s="320" t="e">
        <f aca="false">#REF!-B113</f>
        <v>#REF!</v>
      </c>
      <c r="B113" s="320" t="n">
        <v>3.239</v>
      </c>
      <c r="C113" s="327" t="n">
        <f aca="false">EOMONTH(C112,0)+1</f>
        <v>40544</v>
      </c>
      <c r="D113" s="0" t="n">
        <f aca="false">D101+0.05</f>
        <v>3.799</v>
      </c>
      <c r="E113" s="320" t="n">
        <v>0.185</v>
      </c>
      <c r="F113" s="318" t="n">
        <v>0.0579630082923899</v>
      </c>
      <c r="G113" s="318" t="n">
        <v>-0.1325</v>
      </c>
      <c r="H113" s="318" t="n">
        <v>-0.1525</v>
      </c>
      <c r="I113" s="330" t="n">
        <v>-0.005</v>
      </c>
      <c r="J113" s="330" t="n">
        <v>-0.13</v>
      </c>
      <c r="K113" s="318" t="n">
        <v>0.005</v>
      </c>
      <c r="L113" s="318" t="n">
        <v>-0.0465</v>
      </c>
      <c r="M113" s="318" t="n">
        <v>-0.0815</v>
      </c>
      <c r="N113" s="318" t="n">
        <v>-0.1225</v>
      </c>
      <c r="O113" s="318" t="n">
        <v>-0.1225</v>
      </c>
      <c r="P113" s="318" t="n">
        <v>-0.1325</v>
      </c>
      <c r="Q113" s="318" t="n">
        <v>-0.09075</v>
      </c>
      <c r="R113" s="318" t="n">
        <v>-0.0465</v>
      </c>
      <c r="S113" s="318" t="n">
        <v>0.155</v>
      </c>
      <c r="T113" s="318" t="n">
        <v>0.175</v>
      </c>
      <c r="U113" s="318" t="n">
        <v>0.13</v>
      </c>
      <c r="V113" s="318" t="n">
        <v>0.5</v>
      </c>
      <c r="W113" s="318" t="n">
        <v>0.215</v>
      </c>
      <c r="X113" s="318" t="n">
        <v>0.29</v>
      </c>
      <c r="Y113" s="318" t="n">
        <v>-0.015</v>
      </c>
      <c r="Z113" s="318" t="n">
        <v>-0.032</v>
      </c>
      <c r="AA113" s="318" t="n">
        <v>0.0085</v>
      </c>
      <c r="AB113" s="318" t="n">
        <v>-0.009</v>
      </c>
      <c r="AC113" s="318" t="n">
        <v>0.0025</v>
      </c>
      <c r="AD113" s="318" t="n">
        <v>-0.0225</v>
      </c>
      <c r="AE113" s="318" t="n">
        <v>-0.075</v>
      </c>
      <c r="AF113" s="318" t="n">
        <v>-0.0575</v>
      </c>
      <c r="AG113" s="318" t="n">
        <v>-0.08</v>
      </c>
      <c r="AH113" s="318" t="n">
        <v>-0.009499999</v>
      </c>
      <c r="AI113" s="318" t="n">
        <v>-0.064</v>
      </c>
      <c r="AJ113" s="318" t="n">
        <v>-0.135</v>
      </c>
      <c r="AK113" s="318" t="n">
        <v>-0.008999999</v>
      </c>
      <c r="AL113" s="318" t="n">
        <v>0.031</v>
      </c>
      <c r="AM113" s="318" t="n">
        <v>0.98</v>
      </c>
      <c r="AN113" s="318" t="n">
        <v>-0.045</v>
      </c>
      <c r="AO113" s="318" t="n">
        <v>-0.34</v>
      </c>
      <c r="AP113" s="318" t="n">
        <v>-0.07</v>
      </c>
      <c r="AQ113" s="318" t="n">
        <v>-0.13</v>
      </c>
      <c r="AR113" s="318" t="n">
        <v>0.308</v>
      </c>
      <c r="AS113" s="318" t="n">
        <v>-0.26</v>
      </c>
      <c r="AT113" s="318" t="n">
        <v>0</v>
      </c>
      <c r="AU113" s="318" t="n">
        <v>0.35</v>
      </c>
      <c r="AV113" s="318" t="n">
        <v>-0.34</v>
      </c>
      <c r="AW113" s="318" t="n">
        <v>-0.1705</v>
      </c>
      <c r="AX113" s="318" t="n">
        <v>-0.06</v>
      </c>
      <c r="AY113" s="318" t="n">
        <v>-0.1105</v>
      </c>
      <c r="AZ113" s="318" t="n">
        <v>-0.0465</v>
      </c>
      <c r="BA113" s="318" t="n">
        <v>-0.1005</v>
      </c>
      <c r="BB113" s="318" t="n">
        <v>-0.0145</v>
      </c>
      <c r="BC113" s="318" t="n">
        <v>-0.0665</v>
      </c>
      <c r="BD113" s="318" t="n">
        <v>-0.075</v>
      </c>
      <c r="BE113" s="318" t="n">
        <v>-0.075</v>
      </c>
      <c r="BF113" s="318" t="n">
        <v>0</v>
      </c>
      <c r="BG113" s="318" t="n">
        <v>0.17</v>
      </c>
      <c r="BH113" s="318" t="n">
        <v>0.175</v>
      </c>
      <c r="BI113" s="318" t="n">
        <v>0.155</v>
      </c>
      <c r="BJ113" s="318" t="n">
        <v>0.77</v>
      </c>
      <c r="BK113" s="318" t="n">
        <v>0.0025</v>
      </c>
      <c r="BL113" s="318" t="n">
        <v>-0.025</v>
      </c>
      <c r="BM113" s="318" t="n">
        <v>0.005</v>
      </c>
      <c r="BN113" s="318" t="n">
        <v>0</v>
      </c>
      <c r="BO113" s="318" t="n">
        <v>0</v>
      </c>
      <c r="BP113" s="318" t="n">
        <v>0.005</v>
      </c>
      <c r="BQ113" s="318" t="n">
        <v>0.005</v>
      </c>
      <c r="BR113" s="318" t="n">
        <v>0.25</v>
      </c>
      <c r="BS113" s="0" t="n">
        <v>0.02</v>
      </c>
      <c r="BT113" s="0" t="n">
        <v>0.042</v>
      </c>
      <c r="BU113" s="0" t="n">
        <v>0.042</v>
      </c>
      <c r="BV113" s="0" t="n">
        <v>0.03</v>
      </c>
    </row>
    <row r="114" customFormat="false" ht="12.75" hidden="false" customHeight="false" outlineLevel="0" collapsed="false">
      <c r="A114" s="320" t="e">
        <f aca="false">#REF!-B114</f>
        <v>#REF!</v>
      </c>
      <c r="B114" s="320" t="n">
        <v>3.304</v>
      </c>
      <c r="C114" s="327" t="n">
        <f aca="false">EOMONTH(C113,0)+1</f>
        <v>40575</v>
      </c>
      <c r="D114" s="0" t="n">
        <f aca="false">D102+0.05</f>
        <v>3.651</v>
      </c>
      <c r="E114" s="320" t="n">
        <v>0.185</v>
      </c>
      <c r="F114" s="318" t="n">
        <v>0.0580665067563584</v>
      </c>
      <c r="G114" s="318" t="n">
        <v>-0.135</v>
      </c>
      <c r="H114" s="318" t="n">
        <v>-0.155</v>
      </c>
      <c r="I114" s="330" t="n">
        <v>0.015</v>
      </c>
      <c r="J114" s="330" t="n">
        <v>-0.13</v>
      </c>
      <c r="K114" s="318" t="n">
        <v>0.025</v>
      </c>
      <c r="L114" s="318" t="n">
        <v>-0.0465</v>
      </c>
      <c r="M114" s="318" t="n">
        <v>-0.0815</v>
      </c>
      <c r="N114" s="318" t="n">
        <v>-0.125</v>
      </c>
      <c r="O114" s="318" t="n">
        <v>-0.125</v>
      </c>
      <c r="P114" s="318" t="n">
        <v>-0.135</v>
      </c>
      <c r="Q114" s="318" t="n">
        <v>-0.092</v>
      </c>
      <c r="R114" s="318" t="n">
        <v>-0.0465</v>
      </c>
      <c r="S114" s="318" t="n">
        <v>0.155</v>
      </c>
      <c r="T114" s="318" t="n">
        <v>0.175</v>
      </c>
      <c r="U114" s="318" t="n">
        <v>0.13</v>
      </c>
      <c r="V114" s="318" t="n">
        <v>0.5</v>
      </c>
      <c r="W114" s="318" t="n">
        <v>0.235</v>
      </c>
      <c r="X114" s="318" t="n">
        <v>0.34</v>
      </c>
      <c r="Y114" s="318" t="n">
        <v>-0.013</v>
      </c>
      <c r="Z114" s="318" t="n">
        <v>-0.032</v>
      </c>
      <c r="AA114" s="318" t="n">
        <v>0.0085</v>
      </c>
      <c r="AB114" s="318" t="n">
        <v>-0.009</v>
      </c>
      <c r="AC114" s="318" t="n">
        <v>0.0025</v>
      </c>
      <c r="AD114" s="318" t="n">
        <v>-0.0225</v>
      </c>
      <c r="AE114" s="318" t="n">
        <v>-0.075</v>
      </c>
      <c r="AF114" s="318" t="n">
        <v>-0.0575</v>
      </c>
      <c r="AG114" s="318" t="n">
        <v>-0.08</v>
      </c>
      <c r="AH114" s="318" t="n">
        <v>-0.009499999</v>
      </c>
      <c r="AI114" s="318" t="n">
        <v>-0.064</v>
      </c>
      <c r="AJ114" s="318" t="n">
        <v>-0.1375</v>
      </c>
      <c r="AK114" s="318" t="n">
        <v>-0.008999999</v>
      </c>
      <c r="AL114" s="318" t="n">
        <v>0.031</v>
      </c>
      <c r="AM114" s="318" t="n">
        <v>1.6</v>
      </c>
      <c r="AN114" s="318" t="n">
        <v>-0.0475</v>
      </c>
      <c r="AO114" s="318" t="n">
        <v>-0.34</v>
      </c>
      <c r="AP114" s="318" t="n">
        <v>-0.07</v>
      </c>
      <c r="AQ114" s="318" t="n">
        <v>-0.13</v>
      </c>
      <c r="AR114" s="318" t="n">
        <v>0.378</v>
      </c>
      <c r="AS114" s="318" t="n">
        <v>-0.26</v>
      </c>
      <c r="AT114" s="318" t="n">
        <v>0</v>
      </c>
      <c r="AU114" s="318" t="n">
        <v>0.35</v>
      </c>
      <c r="AV114" s="318" t="n">
        <v>-0.34</v>
      </c>
      <c r="AW114" s="318" t="n">
        <v>-0.1855</v>
      </c>
      <c r="AX114" s="318" t="n">
        <v>-0.06</v>
      </c>
      <c r="AY114" s="318" t="n">
        <v>-0.1255</v>
      </c>
      <c r="AZ114" s="318" t="n">
        <v>-0.0465</v>
      </c>
      <c r="BA114" s="318" t="n">
        <v>-0.101</v>
      </c>
      <c r="BB114" s="318" t="n">
        <v>-0.0145</v>
      </c>
      <c r="BC114" s="318" t="n">
        <v>-0.0665</v>
      </c>
      <c r="BD114" s="318" t="n">
        <v>-0.0775</v>
      </c>
      <c r="BE114" s="318" t="n">
        <v>-0.075</v>
      </c>
      <c r="BF114" s="318" t="n">
        <v>0</v>
      </c>
      <c r="BG114" s="318" t="n">
        <v>0.17</v>
      </c>
      <c r="BH114" s="318" t="n">
        <v>0.175</v>
      </c>
      <c r="BI114" s="318" t="n">
        <v>0.155</v>
      </c>
      <c r="BJ114" s="318" t="n">
        <v>1.04</v>
      </c>
      <c r="BK114" s="318" t="n">
        <v>0.0025</v>
      </c>
      <c r="BL114" s="318" t="n">
        <v>-0.025</v>
      </c>
      <c r="BM114" s="318" t="n">
        <v>0.005</v>
      </c>
      <c r="BN114" s="318" t="n">
        <v>0</v>
      </c>
      <c r="BO114" s="318" t="n">
        <v>0</v>
      </c>
      <c r="BP114" s="318" t="n">
        <v>0.005</v>
      </c>
      <c r="BQ114" s="318" t="n">
        <v>0.005</v>
      </c>
      <c r="BR114" s="318" t="n">
        <v>0.45</v>
      </c>
      <c r="BS114" s="0" t="n">
        <v>0.02</v>
      </c>
      <c r="BT114" s="0" t="n">
        <v>0.042</v>
      </c>
      <c r="BU114" s="0" t="n">
        <v>0.042</v>
      </c>
      <c r="BV114" s="0" t="n">
        <v>0.03</v>
      </c>
    </row>
    <row r="115" customFormat="false" ht="12.75" hidden="false" customHeight="false" outlineLevel="0" collapsed="false">
      <c r="A115" s="320" t="e">
        <f aca="false">#REF!-B115</f>
        <v>#REF!</v>
      </c>
      <c r="B115" s="320" t="n">
        <v>3.299</v>
      </c>
      <c r="C115" s="327" t="n">
        <f aca="false">EOMONTH(C114,0)+1</f>
        <v>40603</v>
      </c>
      <c r="D115" s="0" t="n">
        <f aca="false">D103+0.05</f>
        <v>3.6</v>
      </c>
      <c r="E115" s="320" t="n">
        <v>0.185</v>
      </c>
      <c r="F115" s="318" t="n">
        <v>0.0581700052238889</v>
      </c>
      <c r="G115" s="318" t="n">
        <v>-0.1275</v>
      </c>
      <c r="H115" s="318" t="n">
        <v>-0.1475</v>
      </c>
      <c r="I115" s="330" t="n">
        <v>0.01</v>
      </c>
      <c r="J115" s="330" t="n">
        <v>-0.13</v>
      </c>
      <c r="K115" s="318" t="n">
        <v>0.02</v>
      </c>
      <c r="L115" s="318" t="n">
        <v>-0.0465</v>
      </c>
      <c r="M115" s="318" t="n">
        <v>-0.0815</v>
      </c>
      <c r="N115" s="318" t="n">
        <v>-0.1175</v>
      </c>
      <c r="O115" s="318" t="n">
        <v>-0.1175</v>
      </c>
      <c r="P115" s="318" t="n">
        <v>-0.1275</v>
      </c>
      <c r="Q115" s="318" t="n">
        <v>-0.08325</v>
      </c>
      <c r="R115" s="318" t="n">
        <v>-0.0465</v>
      </c>
      <c r="S115" s="318" t="n">
        <v>0.155</v>
      </c>
      <c r="T115" s="318" t="n">
        <v>0.175</v>
      </c>
      <c r="U115" s="318" t="n">
        <v>0.13</v>
      </c>
      <c r="V115" s="318" t="n">
        <v>0.5</v>
      </c>
      <c r="W115" s="318" t="n">
        <v>0.235</v>
      </c>
      <c r="X115" s="318" t="n">
        <v>0.34</v>
      </c>
      <c r="Y115" s="318" t="n">
        <v>-0.013</v>
      </c>
      <c r="Z115" s="318" t="n">
        <v>-0.032</v>
      </c>
      <c r="AA115" s="318" t="n">
        <v>0.0085</v>
      </c>
      <c r="AB115" s="318" t="n">
        <v>-0.009</v>
      </c>
      <c r="AC115" s="318" t="n">
        <v>0.0025</v>
      </c>
      <c r="AD115" s="318" t="n">
        <v>-0.0225</v>
      </c>
      <c r="AE115" s="318" t="n">
        <v>-0.075</v>
      </c>
      <c r="AF115" s="318" t="n">
        <v>-0.0575</v>
      </c>
      <c r="AG115" s="318" t="n">
        <v>-0.08</v>
      </c>
      <c r="AH115" s="318" t="n">
        <v>-0.009499999</v>
      </c>
      <c r="AI115" s="318" t="n">
        <v>-0.064</v>
      </c>
      <c r="AJ115" s="318" t="n">
        <v>-0.12</v>
      </c>
      <c r="AK115" s="318" t="n">
        <v>-0.008999999</v>
      </c>
      <c r="AL115" s="318" t="n">
        <v>0.031</v>
      </c>
      <c r="AM115" s="318" t="n">
        <v>1.6</v>
      </c>
      <c r="AN115" s="318" t="n">
        <v>-0.03</v>
      </c>
      <c r="AO115" s="318" t="n">
        <v>-0.34</v>
      </c>
      <c r="AP115" s="318" t="n">
        <v>-0.07</v>
      </c>
      <c r="AQ115" s="318" t="n">
        <v>-0.13</v>
      </c>
      <c r="AR115" s="318" t="n">
        <v>0.248</v>
      </c>
      <c r="AS115" s="318" t="n">
        <v>-0.26</v>
      </c>
      <c r="AT115" s="318" t="n">
        <v>0</v>
      </c>
      <c r="AU115" s="318" t="n">
        <v>0.35</v>
      </c>
      <c r="AV115" s="318" t="n">
        <v>-0.34</v>
      </c>
      <c r="AW115" s="318" t="n">
        <v>-0.1755</v>
      </c>
      <c r="AX115" s="318" t="n">
        <v>-0.06</v>
      </c>
      <c r="AY115" s="318" t="n">
        <v>-0.1155</v>
      </c>
      <c r="AZ115" s="318" t="n">
        <v>-0.0465</v>
      </c>
      <c r="BA115" s="318" t="n">
        <v>-0.101</v>
      </c>
      <c r="BB115" s="318" t="n">
        <v>-0.0145</v>
      </c>
      <c r="BC115" s="318" t="n">
        <v>-0.0665</v>
      </c>
      <c r="BD115" s="318" t="n">
        <v>-0.06</v>
      </c>
      <c r="BE115" s="318" t="n">
        <v>-0.075</v>
      </c>
      <c r="BF115" s="318" t="n">
        <v>0</v>
      </c>
      <c r="BG115" s="318" t="n">
        <v>0.17</v>
      </c>
      <c r="BH115" s="318" t="n">
        <v>0.175</v>
      </c>
      <c r="BI115" s="318" t="n">
        <v>0.155</v>
      </c>
      <c r="BJ115" s="318" t="n">
        <v>1.04</v>
      </c>
      <c r="BK115" s="318" t="n">
        <v>0.0025</v>
      </c>
      <c r="BL115" s="318" t="n">
        <v>-0.025</v>
      </c>
      <c r="BM115" s="318" t="n">
        <v>0.005</v>
      </c>
      <c r="BN115" s="318" t="n">
        <v>0</v>
      </c>
      <c r="BO115" s="318" t="n">
        <v>0</v>
      </c>
      <c r="BP115" s="318" t="n">
        <v>0.005</v>
      </c>
      <c r="BQ115" s="318" t="n">
        <v>0.005</v>
      </c>
      <c r="BR115" s="318" t="n">
        <v>0.45</v>
      </c>
      <c r="BS115" s="0" t="n">
        <v>0.02</v>
      </c>
      <c r="BT115" s="0" t="n">
        <v>0.042</v>
      </c>
      <c r="BU115" s="0" t="n">
        <v>0.042</v>
      </c>
      <c r="BV115" s="0" t="n">
        <v>0.03</v>
      </c>
    </row>
    <row r="116" customFormat="false" ht="12.75" hidden="false" customHeight="false" outlineLevel="0" collapsed="false">
      <c r="A116" s="320" t="e">
        <f aca="false">#REF!-B116</f>
        <v>#REF!</v>
      </c>
      <c r="B116" s="320" t="n">
        <v>3.283</v>
      </c>
      <c r="C116" s="327" t="n">
        <f aca="false">EOMONTH(C115,0)+1</f>
        <v>40634</v>
      </c>
      <c r="D116" s="0" t="n">
        <f aca="false">D104+0.05</f>
        <v>3.381</v>
      </c>
      <c r="E116" s="320" t="n">
        <v>0.18</v>
      </c>
      <c r="F116" s="318" t="n">
        <v>0.0582634877137527</v>
      </c>
      <c r="G116" s="318" t="n">
        <v>-0.125</v>
      </c>
      <c r="H116" s="318" t="n">
        <v>-0.145</v>
      </c>
      <c r="I116" s="330" t="n">
        <v>-0.01</v>
      </c>
      <c r="J116" s="330" t="n">
        <v>-0.13</v>
      </c>
      <c r="K116" s="318" t="n">
        <v>0</v>
      </c>
      <c r="L116" s="318" t="n">
        <v>-0.0465</v>
      </c>
      <c r="M116" s="318" t="n">
        <v>-0.0815</v>
      </c>
      <c r="N116" s="318" t="n">
        <v>-0.115</v>
      </c>
      <c r="O116" s="318" t="n">
        <v>-0.115</v>
      </c>
      <c r="P116" s="318" t="n">
        <v>-0.125</v>
      </c>
      <c r="Q116" s="318" t="n">
        <v>-0.077</v>
      </c>
      <c r="R116" s="318" t="n">
        <v>-0.0465</v>
      </c>
      <c r="S116" s="318" t="n">
        <v>0.155</v>
      </c>
      <c r="T116" s="318" t="n">
        <v>0.175</v>
      </c>
      <c r="U116" s="318" t="n">
        <v>0.13</v>
      </c>
      <c r="V116" s="318" t="n">
        <v>0.5</v>
      </c>
      <c r="W116" s="318" t="n">
        <v>0.195</v>
      </c>
      <c r="X116" s="318" t="n">
        <v>0.29</v>
      </c>
      <c r="Y116" s="318" t="n">
        <v>-0.013</v>
      </c>
      <c r="Z116" s="318" t="n">
        <v>-0.032</v>
      </c>
      <c r="AA116" s="318" t="n">
        <v>0.016</v>
      </c>
      <c r="AB116" s="318" t="n">
        <v>-0.0015</v>
      </c>
      <c r="AC116" s="318" t="n">
        <v>0.0025</v>
      </c>
      <c r="AD116" s="318" t="n">
        <v>-0.0225</v>
      </c>
      <c r="AE116" s="318" t="n">
        <v>-0.075</v>
      </c>
      <c r="AF116" s="318" t="n">
        <v>-0.0575</v>
      </c>
      <c r="AG116" s="318" t="n">
        <v>-0.08</v>
      </c>
      <c r="AH116" s="318" t="n">
        <v>-0.009499999</v>
      </c>
      <c r="AI116" s="318" t="n">
        <v>-0.064</v>
      </c>
      <c r="AJ116" s="318" t="n">
        <v>-0.1075</v>
      </c>
      <c r="AK116" s="318" t="n">
        <v>-0.008999999</v>
      </c>
      <c r="AL116" s="318" t="n">
        <v>0.031</v>
      </c>
      <c r="AM116" s="318" t="n">
        <v>0.64</v>
      </c>
      <c r="AN116" s="318" t="n">
        <v>-0.0175</v>
      </c>
      <c r="AO116" s="318" t="n">
        <v>-0.34</v>
      </c>
      <c r="AP116" s="318" t="n">
        <v>-0.07</v>
      </c>
      <c r="AQ116" s="318" t="n">
        <v>-0.13</v>
      </c>
      <c r="AR116" s="318" t="n">
        <v>0.068</v>
      </c>
      <c r="AS116" s="318" t="n">
        <v>-0.26</v>
      </c>
      <c r="AT116" s="318" t="n">
        <v>0</v>
      </c>
      <c r="AU116" s="318" t="n">
        <v>0.35</v>
      </c>
      <c r="AV116" s="318" t="n">
        <v>-0.34</v>
      </c>
      <c r="AW116" s="318" t="n">
        <v>-0.1655</v>
      </c>
      <c r="AX116" s="318" t="n">
        <v>-0.06</v>
      </c>
      <c r="AY116" s="318" t="n">
        <v>-0.1055</v>
      </c>
      <c r="AZ116" s="318" t="n">
        <v>-0.0465</v>
      </c>
      <c r="BA116" s="318" t="n">
        <v>-0.101</v>
      </c>
      <c r="BB116" s="318" t="n">
        <v>-0.0145</v>
      </c>
      <c r="BC116" s="318" t="n">
        <v>-0.0665</v>
      </c>
      <c r="BD116" s="318" t="n">
        <v>-0.0475</v>
      </c>
      <c r="BE116" s="318" t="n">
        <v>-0.075</v>
      </c>
      <c r="BF116" s="318" t="n">
        <v>0</v>
      </c>
      <c r="BG116" s="318" t="n">
        <v>0.17</v>
      </c>
      <c r="BH116" s="318" t="n">
        <v>0.175</v>
      </c>
      <c r="BI116" s="318" t="n">
        <v>0.155</v>
      </c>
      <c r="BJ116" s="318" t="n">
        <v>0.54</v>
      </c>
      <c r="BK116" s="318" t="n">
        <v>0.0025</v>
      </c>
      <c r="BL116" s="318" t="n">
        <v>-0.02</v>
      </c>
      <c r="BM116" s="318" t="n">
        <v>0.005</v>
      </c>
      <c r="BN116" s="318" t="n">
        <v>0</v>
      </c>
      <c r="BO116" s="318" t="n">
        <v>0</v>
      </c>
      <c r="BP116" s="318" t="n">
        <v>0.005</v>
      </c>
      <c r="BQ116" s="318" t="n">
        <v>0.005</v>
      </c>
      <c r="BR116" s="318" t="n">
        <v>0.1</v>
      </c>
      <c r="BS116" s="0" t="n">
        <v>0.02</v>
      </c>
      <c r="BT116" s="0" t="n">
        <v>0.042</v>
      </c>
      <c r="BU116" s="0" t="n">
        <v>0.042</v>
      </c>
      <c r="BV116" s="0" t="n">
        <v>0.03</v>
      </c>
    </row>
    <row r="117" customFormat="false" ht="12.75" hidden="false" customHeight="false" outlineLevel="0" collapsed="false">
      <c r="A117" s="320" t="e">
        <f aca="false">#REF!-B117</f>
        <v>#REF!</v>
      </c>
      <c r="B117" s="320" t="n">
        <v>3.295</v>
      </c>
      <c r="C117" s="327" t="n">
        <f aca="false">EOMONTH(C116,0)+1</f>
        <v>40664</v>
      </c>
      <c r="D117" s="0" t="n">
        <f aca="false">D105+0.05</f>
        <v>3.384</v>
      </c>
      <c r="E117" s="320" t="n">
        <v>0.18</v>
      </c>
      <c r="F117" s="318" t="n">
        <v>0.0583669861880636</v>
      </c>
      <c r="G117" s="318" t="n">
        <v>-0.13</v>
      </c>
      <c r="H117" s="318" t="n">
        <v>-0.15</v>
      </c>
      <c r="I117" s="330" t="n">
        <v>-0.09</v>
      </c>
      <c r="J117" s="330" t="n">
        <v>-0.13</v>
      </c>
      <c r="K117" s="318" t="n">
        <v>-0.09</v>
      </c>
      <c r="L117" s="318" t="n">
        <v>-0.044</v>
      </c>
      <c r="M117" s="318" t="n">
        <v>-0.064</v>
      </c>
      <c r="N117" s="318" t="n">
        <v>-0.12</v>
      </c>
      <c r="O117" s="318" t="n">
        <v>-0.12</v>
      </c>
      <c r="P117" s="318" t="n">
        <v>-0.13</v>
      </c>
      <c r="Q117" s="318" t="n">
        <v>-0.057</v>
      </c>
      <c r="R117" s="318" t="n">
        <v>-0.044</v>
      </c>
      <c r="S117" s="318" t="n">
        <v>0.125</v>
      </c>
      <c r="T117" s="318" t="n">
        <v>0.145</v>
      </c>
      <c r="U117" s="318" t="n">
        <v>0.04</v>
      </c>
      <c r="V117" s="318" t="n">
        <v>0.5</v>
      </c>
      <c r="W117" s="318" t="n">
        <v>0.145</v>
      </c>
      <c r="X117" s="318" t="n">
        <v>0.195</v>
      </c>
      <c r="Y117" s="318" t="n">
        <v>-0.0155</v>
      </c>
      <c r="Z117" s="318" t="n">
        <v>-0.047</v>
      </c>
      <c r="AA117" s="318" t="n">
        <v>0.016</v>
      </c>
      <c r="AB117" s="318" t="n">
        <v>-0.0015</v>
      </c>
      <c r="AC117" s="318" t="n">
        <v>0.0025</v>
      </c>
      <c r="AD117" s="318" t="n">
        <v>-0.0225</v>
      </c>
      <c r="AE117" s="318" t="n">
        <v>-0.0725</v>
      </c>
      <c r="AF117" s="318" t="n">
        <v>-0.055</v>
      </c>
      <c r="AG117" s="318" t="n">
        <v>-0.0775</v>
      </c>
      <c r="AH117" s="318" t="n">
        <v>-0.0145</v>
      </c>
      <c r="AI117" s="318" t="n">
        <v>-0.072</v>
      </c>
      <c r="AJ117" s="318" t="n">
        <v>-0.07</v>
      </c>
      <c r="AK117" s="318" t="n">
        <v>-0.017</v>
      </c>
      <c r="AL117" s="318" t="n">
        <v>0.023</v>
      </c>
      <c r="AM117" s="318" t="n">
        <v>0.38</v>
      </c>
      <c r="AN117" s="318" t="n">
        <v>0.02</v>
      </c>
      <c r="AO117" s="318" t="n">
        <v>-0.45</v>
      </c>
      <c r="AP117" s="318" t="n">
        <v>-0.07</v>
      </c>
      <c r="AQ117" s="318" t="n">
        <v>-0.195</v>
      </c>
      <c r="AR117" s="318" t="n">
        <v>-0.25</v>
      </c>
      <c r="AS117" s="318" t="n">
        <v>-0.37</v>
      </c>
      <c r="AT117" s="318" t="n">
        <v>0</v>
      </c>
      <c r="AU117" s="318" t="n">
        <v>0.43</v>
      </c>
      <c r="AV117" s="318" t="n">
        <v>-0.45</v>
      </c>
      <c r="AW117" s="318" t="n">
        <v>-0.206</v>
      </c>
      <c r="AX117" s="318" t="n">
        <v>-0.06</v>
      </c>
      <c r="AY117" s="318" t="n">
        <v>-0.146</v>
      </c>
      <c r="AZ117" s="318" t="n">
        <v>-0.044</v>
      </c>
      <c r="BA117" s="318" t="n">
        <v>-0.1235</v>
      </c>
      <c r="BB117" s="318" t="n">
        <v>-0.0145</v>
      </c>
      <c r="BC117" s="318" t="n">
        <v>-0.049</v>
      </c>
      <c r="BD117" s="318" t="n">
        <v>-0.01</v>
      </c>
      <c r="BE117" s="318" t="n">
        <v>-0.0725</v>
      </c>
      <c r="BF117" s="318" t="n">
        <v>0</v>
      </c>
      <c r="BG117" s="318" t="n">
        <v>0.14</v>
      </c>
      <c r="BH117" s="318" t="n">
        <v>0.145</v>
      </c>
      <c r="BI117" s="318" t="n">
        <v>0.125</v>
      </c>
      <c r="BJ117" s="318" t="n">
        <v>0.36</v>
      </c>
      <c r="BK117" s="318" t="n">
        <v>0.0025</v>
      </c>
      <c r="BL117" s="318" t="n">
        <v>-0.015</v>
      </c>
      <c r="BM117" s="318" t="n">
        <v>0.005</v>
      </c>
      <c r="BN117" s="318" t="n">
        <v>-0.01</v>
      </c>
      <c r="BO117" s="318" t="n">
        <v>0</v>
      </c>
      <c r="BP117" s="318" t="n">
        <v>0.005</v>
      </c>
      <c r="BQ117" s="318" t="n">
        <v>0.0025</v>
      </c>
      <c r="BR117" s="318" t="n">
        <v>0.02</v>
      </c>
      <c r="BS117" s="0" t="n">
        <v>0.005</v>
      </c>
      <c r="BT117" s="0" t="n">
        <v>0.042</v>
      </c>
      <c r="BU117" s="0" t="n">
        <v>0.042</v>
      </c>
      <c r="BV117" s="0" t="n">
        <v>0.03</v>
      </c>
    </row>
    <row r="118" customFormat="false" ht="12.75" hidden="false" customHeight="false" outlineLevel="0" collapsed="false">
      <c r="A118" s="320" t="e">
        <f aca="false">#REF!-B118</f>
        <v>#REF!</v>
      </c>
      <c r="B118" s="320" t="n">
        <v>3.377</v>
      </c>
      <c r="C118" s="327" t="n">
        <f aca="false">EOMONTH(C117,0)+1</f>
        <v>40695</v>
      </c>
      <c r="D118" s="0" t="n">
        <f aca="false">D106+0.05</f>
        <v>3.424</v>
      </c>
      <c r="E118" s="320" t="n">
        <v>0.18</v>
      </c>
      <c r="F118" s="318" t="n">
        <v>0.0584671460053037</v>
      </c>
      <c r="G118" s="318" t="n">
        <v>-0.13</v>
      </c>
      <c r="H118" s="318" t="n">
        <v>-0.15</v>
      </c>
      <c r="I118" s="330" t="n">
        <v>-0.09</v>
      </c>
      <c r="J118" s="330" t="n">
        <v>-0.13</v>
      </c>
      <c r="K118" s="318" t="n">
        <v>-0.09</v>
      </c>
      <c r="L118" s="318" t="n">
        <v>-0.044</v>
      </c>
      <c r="M118" s="318" t="n">
        <v>-0.064</v>
      </c>
      <c r="N118" s="318" t="n">
        <v>-0.12</v>
      </c>
      <c r="O118" s="318" t="n">
        <v>-0.12</v>
      </c>
      <c r="P118" s="318" t="n">
        <v>-0.13</v>
      </c>
      <c r="Q118" s="318" t="n">
        <v>-0.057</v>
      </c>
      <c r="R118" s="318" t="n">
        <v>-0.044</v>
      </c>
      <c r="S118" s="318" t="n">
        <v>0.125</v>
      </c>
      <c r="T118" s="318" t="n">
        <v>0.145</v>
      </c>
      <c r="U118" s="318" t="n">
        <v>0.04</v>
      </c>
      <c r="V118" s="318" t="n">
        <v>0.5</v>
      </c>
      <c r="W118" s="318" t="n">
        <v>0.125</v>
      </c>
      <c r="X118" s="318" t="n">
        <v>0.135</v>
      </c>
      <c r="Y118" s="318" t="n">
        <v>-0.0155</v>
      </c>
      <c r="Z118" s="318" t="n">
        <v>-0.047</v>
      </c>
      <c r="AA118" s="318" t="n">
        <v>0.0185</v>
      </c>
      <c r="AB118" s="318" t="n">
        <v>0.001</v>
      </c>
      <c r="AC118" s="318" t="n">
        <v>0.0025</v>
      </c>
      <c r="AD118" s="318" t="n">
        <v>-0.0225</v>
      </c>
      <c r="AE118" s="318" t="n">
        <v>-0.0725</v>
      </c>
      <c r="AF118" s="318" t="n">
        <v>-0.055</v>
      </c>
      <c r="AG118" s="318" t="n">
        <v>-0.0775</v>
      </c>
      <c r="AH118" s="318" t="n">
        <v>-0.0145</v>
      </c>
      <c r="AI118" s="318" t="n">
        <v>-0.072</v>
      </c>
      <c r="AJ118" s="318" t="n">
        <v>-0.07</v>
      </c>
      <c r="AK118" s="318" t="n">
        <v>-0.017</v>
      </c>
      <c r="AL118" s="318" t="n">
        <v>0.023</v>
      </c>
      <c r="AM118" s="318" t="n">
        <v>0.33</v>
      </c>
      <c r="AN118" s="318" t="n">
        <v>0.02</v>
      </c>
      <c r="AO118" s="318" t="n">
        <v>-0.45</v>
      </c>
      <c r="AP118" s="318" t="n">
        <v>-0.07</v>
      </c>
      <c r="AQ118" s="318" t="n">
        <v>-0.195</v>
      </c>
      <c r="AR118" s="318" t="n">
        <v>-0.1</v>
      </c>
      <c r="AS118" s="318" t="n">
        <v>-0.37</v>
      </c>
      <c r="AT118" s="318" t="n">
        <v>0</v>
      </c>
      <c r="AU118" s="318" t="n">
        <v>0.43</v>
      </c>
      <c r="AV118" s="318" t="n">
        <v>-0.45</v>
      </c>
      <c r="AW118" s="318" t="n">
        <v>-0.1835</v>
      </c>
      <c r="AX118" s="318" t="n">
        <v>-0.06</v>
      </c>
      <c r="AY118" s="318" t="n">
        <v>-0.1235</v>
      </c>
      <c r="AZ118" s="318" t="n">
        <v>-0.044</v>
      </c>
      <c r="BA118" s="318" t="n">
        <v>-0.116</v>
      </c>
      <c r="BB118" s="318" t="n">
        <v>-0.0145</v>
      </c>
      <c r="BC118" s="318" t="n">
        <v>-0.049</v>
      </c>
      <c r="BD118" s="318" t="n">
        <v>-0.01</v>
      </c>
      <c r="BE118" s="318" t="n">
        <v>-0.0725</v>
      </c>
      <c r="BF118" s="318" t="n">
        <v>0</v>
      </c>
      <c r="BG118" s="318" t="n">
        <v>0.14</v>
      </c>
      <c r="BH118" s="318" t="n">
        <v>0.145</v>
      </c>
      <c r="BI118" s="318" t="n">
        <v>0.125</v>
      </c>
      <c r="BJ118" s="318" t="n">
        <v>0.325</v>
      </c>
      <c r="BK118" s="318" t="n">
        <v>0.0025</v>
      </c>
      <c r="BL118" s="318" t="n">
        <v>-0.015</v>
      </c>
      <c r="BM118" s="318" t="n">
        <v>0.005</v>
      </c>
      <c r="BN118" s="318" t="n">
        <v>-0.01</v>
      </c>
      <c r="BO118" s="318" t="n">
        <v>0</v>
      </c>
      <c r="BP118" s="318" t="n">
        <v>0.005</v>
      </c>
      <c r="BQ118" s="318" t="n">
        <v>0.0025</v>
      </c>
      <c r="BR118" s="318" t="n">
        <v>0.02</v>
      </c>
      <c r="BS118" s="0" t="n">
        <v>0.005</v>
      </c>
      <c r="BT118" s="0" t="n">
        <v>0</v>
      </c>
      <c r="BU118" s="0" t="n">
        <v>0</v>
      </c>
      <c r="BV118" s="0" t="n">
        <v>0.03</v>
      </c>
    </row>
    <row r="119" customFormat="false" ht="12.75" hidden="false" customHeight="false" outlineLevel="0" collapsed="false">
      <c r="A119" s="320" t="e">
        <f aca="false">#REF!-B119</f>
        <v>#REF!</v>
      </c>
      <c r="B119" s="320" t="n">
        <v>3.468</v>
      </c>
      <c r="C119" s="327" t="n">
        <f aca="false">EOMONTH(C118,0)+1</f>
        <v>40725</v>
      </c>
      <c r="D119" s="0" t="n">
        <f aca="false">D107+0.05</f>
        <v>3.464</v>
      </c>
      <c r="E119" s="320" t="n">
        <v>0.18</v>
      </c>
      <c r="F119" s="318" t="n">
        <v>0.0585706444866236</v>
      </c>
      <c r="G119" s="318" t="n">
        <v>-0.13</v>
      </c>
      <c r="H119" s="318" t="n">
        <v>-0.15</v>
      </c>
      <c r="I119" s="330" t="n">
        <v>-0.09</v>
      </c>
      <c r="J119" s="330" t="n">
        <v>-0.13</v>
      </c>
      <c r="K119" s="318" t="n">
        <v>-0.09</v>
      </c>
      <c r="L119" s="318" t="n">
        <v>-0.044</v>
      </c>
      <c r="M119" s="318" t="n">
        <v>-0.064</v>
      </c>
      <c r="N119" s="318" t="n">
        <v>-0.12</v>
      </c>
      <c r="O119" s="318" t="n">
        <v>-0.12</v>
      </c>
      <c r="P119" s="318" t="n">
        <v>-0.13</v>
      </c>
      <c r="Q119" s="318" t="n">
        <v>-0.0545</v>
      </c>
      <c r="R119" s="318" t="n">
        <v>-0.044</v>
      </c>
      <c r="S119" s="318" t="n">
        <v>0.125</v>
      </c>
      <c r="T119" s="318" t="n">
        <v>0.145</v>
      </c>
      <c r="U119" s="318" t="n">
        <v>0.04</v>
      </c>
      <c r="V119" s="318" t="n">
        <v>0.5</v>
      </c>
      <c r="W119" s="318" t="n">
        <v>0.145</v>
      </c>
      <c r="X119" s="318" t="n">
        <v>0.165</v>
      </c>
      <c r="Y119" s="318" t="n">
        <v>-0.0155</v>
      </c>
      <c r="Z119" s="318" t="n">
        <v>-0.0445</v>
      </c>
      <c r="AA119" s="318" t="n">
        <v>0.0185</v>
      </c>
      <c r="AB119" s="318" t="n">
        <v>0.001</v>
      </c>
      <c r="AC119" s="318" t="n">
        <v>0.0025</v>
      </c>
      <c r="AD119" s="318" t="n">
        <v>-0.0225</v>
      </c>
      <c r="AE119" s="318" t="n">
        <v>-0.0725</v>
      </c>
      <c r="AF119" s="318" t="n">
        <v>-0.055</v>
      </c>
      <c r="AG119" s="318" t="n">
        <v>-0.0775</v>
      </c>
      <c r="AH119" s="318" t="n">
        <v>-0.0145</v>
      </c>
      <c r="AI119" s="318" t="n">
        <v>-0.072</v>
      </c>
      <c r="AJ119" s="318" t="n">
        <v>-0.065</v>
      </c>
      <c r="AK119" s="318" t="n">
        <v>-0.017</v>
      </c>
      <c r="AL119" s="318" t="n">
        <v>0.023</v>
      </c>
      <c r="AM119" s="318" t="n">
        <v>0.37</v>
      </c>
      <c r="AN119" s="318" t="n">
        <v>0.025</v>
      </c>
      <c r="AO119" s="318" t="n">
        <v>-0.45</v>
      </c>
      <c r="AP119" s="318" t="n">
        <v>-0.07</v>
      </c>
      <c r="AQ119" s="318" t="n">
        <v>-0.195</v>
      </c>
      <c r="AR119" s="318" t="n">
        <v>-0.1</v>
      </c>
      <c r="AS119" s="318" t="n">
        <v>-0.37</v>
      </c>
      <c r="AT119" s="318" t="n">
        <v>0</v>
      </c>
      <c r="AU119" s="318" t="n">
        <v>0.43</v>
      </c>
      <c r="AV119" s="318" t="n">
        <v>-0.45</v>
      </c>
      <c r="AW119" s="318" t="n">
        <v>-0.131</v>
      </c>
      <c r="AX119" s="318" t="n">
        <v>-0.06</v>
      </c>
      <c r="AY119" s="318" t="n">
        <v>-0.071</v>
      </c>
      <c r="AZ119" s="318" t="n">
        <v>-0.044</v>
      </c>
      <c r="BA119" s="318" t="n">
        <v>-0.0735</v>
      </c>
      <c r="BB119" s="318" t="n">
        <v>-0.0145</v>
      </c>
      <c r="BC119" s="318" t="n">
        <v>-0.049</v>
      </c>
      <c r="BD119" s="318" t="n">
        <v>-0.005</v>
      </c>
      <c r="BE119" s="318" t="n">
        <v>-0.0725</v>
      </c>
      <c r="BF119" s="318" t="n">
        <v>0</v>
      </c>
      <c r="BG119" s="318" t="n">
        <v>0.14</v>
      </c>
      <c r="BH119" s="318" t="n">
        <v>0.145</v>
      </c>
      <c r="BI119" s="318" t="n">
        <v>0.125</v>
      </c>
      <c r="BJ119" s="318" t="n">
        <v>0.335</v>
      </c>
      <c r="BK119" s="318" t="n">
        <v>0.0025</v>
      </c>
      <c r="BL119" s="318" t="n">
        <v>-0.015</v>
      </c>
      <c r="BM119" s="318" t="n">
        <v>0.005</v>
      </c>
      <c r="BN119" s="318" t="n">
        <v>-0.01</v>
      </c>
      <c r="BO119" s="318" t="n">
        <v>0</v>
      </c>
      <c r="BP119" s="318" t="n">
        <v>0.005</v>
      </c>
      <c r="BQ119" s="318" t="n">
        <v>0.0025</v>
      </c>
      <c r="BR119" s="318" t="n">
        <v>0.035</v>
      </c>
      <c r="BS119" s="0" t="n">
        <v>0.005</v>
      </c>
      <c r="BT119" s="0" t="n">
        <v>0</v>
      </c>
      <c r="BU119" s="0" t="n">
        <v>0</v>
      </c>
      <c r="BV119" s="0" t="n">
        <v>0.03</v>
      </c>
    </row>
    <row r="120" customFormat="false" ht="12.75" hidden="false" customHeight="false" outlineLevel="0" collapsed="false">
      <c r="A120" s="320" t="e">
        <f aca="false">#REF!-B120</f>
        <v>#REF!</v>
      </c>
      <c r="B120" s="320" t="n">
        <v>3.722</v>
      </c>
      <c r="C120" s="327" t="n">
        <f aca="false">EOMONTH(C119,0)+1</f>
        <v>40756</v>
      </c>
      <c r="D120" s="0" t="n">
        <f aca="false">D108+0.05</f>
        <v>3.514</v>
      </c>
      <c r="E120" s="320" t="n">
        <v>0.18</v>
      </c>
      <c r="F120" s="318" t="n">
        <v>0.0586708043106468</v>
      </c>
      <c r="G120" s="318" t="n">
        <v>-0.13</v>
      </c>
      <c r="H120" s="318" t="n">
        <v>-0.15</v>
      </c>
      <c r="I120" s="330" t="n">
        <v>-0.09</v>
      </c>
      <c r="J120" s="330" t="n">
        <v>-0.13</v>
      </c>
      <c r="K120" s="318" t="n">
        <v>-0.09</v>
      </c>
      <c r="L120" s="318" t="n">
        <v>-0.044</v>
      </c>
      <c r="M120" s="318" t="n">
        <v>-0.064</v>
      </c>
      <c r="N120" s="318" t="n">
        <v>-0.12</v>
      </c>
      <c r="O120" s="318" t="n">
        <v>-0.12</v>
      </c>
      <c r="P120" s="318" t="n">
        <v>-0.13</v>
      </c>
      <c r="Q120" s="318" t="n">
        <v>-0.05325</v>
      </c>
      <c r="R120" s="318" t="n">
        <v>-0.044</v>
      </c>
      <c r="S120" s="318" t="n">
        <v>0.125</v>
      </c>
      <c r="T120" s="318" t="n">
        <v>0.145</v>
      </c>
      <c r="U120" s="318" t="n">
        <v>0.04</v>
      </c>
      <c r="V120" s="318" t="n">
        <v>0.5</v>
      </c>
      <c r="W120" s="318" t="n">
        <v>0.15</v>
      </c>
      <c r="X120" s="318" t="n">
        <v>0.205</v>
      </c>
      <c r="Y120" s="318" t="n">
        <v>-0.0155</v>
      </c>
      <c r="Z120" s="318" t="n">
        <v>-0.0445</v>
      </c>
      <c r="AA120" s="318" t="n">
        <v>0.0185</v>
      </c>
      <c r="AB120" s="318" t="n">
        <v>0.001</v>
      </c>
      <c r="AC120" s="318" t="n">
        <v>0.0025</v>
      </c>
      <c r="AD120" s="318" t="n">
        <v>-0.0225</v>
      </c>
      <c r="AE120" s="318" t="n">
        <v>-0.0725</v>
      </c>
      <c r="AF120" s="318" t="n">
        <v>-0.055</v>
      </c>
      <c r="AG120" s="318" t="n">
        <v>-0.0775</v>
      </c>
      <c r="AH120" s="318" t="n">
        <v>-0.0145</v>
      </c>
      <c r="AI120" s="318" t="n">
        <v>-0.072</v>
      </c>
      <c r="AJ120" s="318" t="n">
        <v>-0.0625</v>
      </c>
      <c r="AK120" s="318" t="n">
        <v>-0.017</v>
      </c>
      <c r="AL120" s="318" t="n">
        <v>0.023</v>
      </c>
      <c r="AM120" s="318" t="n">
        <v>0.41</v>
      </c>
      <c r="AN120" s="318" t="n">
        <v>0.0275</v>
      </c>
      <c r="AO120" s="318" t="n">
        <v>-0.45</v>
      </c>
      <c r="AP120" s="318" t="n">
        <v>-0.07</v>
      </c>
      <c r="AQ120" s="318" t="n">
        <v>-0.195</v>
      </c>
      <c r="AR120" s="318" t="n">
        <v>-0.1</v>
      </c>
      <c r="AS120" s="318" t="n">
        <v>-0.37</v>
      </c>
      <c r="AT120" s="318" t="n">
        <v>0</v>
      </c>
      <c r="AU120" s="318" t="n">
        <v>0.43</v>
      </c>
      <c r="AV120" s="318" t="n">
        <v>-0.45</v>
      </c>
      <c r="AW120" s="318" t="n">
        <v>-0.141</v>
      </c>
      <c r="AX120" s="318" t="n">
        <v>-0.06</v>
      </c>
      <c r="AY120" s="318" t="n">
        <v>-0.081</v>
      </c>
      <c r="AZ120" s="318" t="n">
        <v>-0.044</v>
      </c>
      <c r="BA120" s="318" t="n">
        <v>-0.071</v>
      </c>
      <c r="BB120" s="318" t="n">
        <v>-0.0145</v>
      </c>
      <c r="BC120" s="318" t="n">
        <v>-0.049</v>
      </c>
      <c r="BD120" s="318" t="n">
        <v>-0.0025</v>
      </c>
      <c r="BE120" s="318" t="n">
        <v>-0.0725</v>
      </c>
      <c r="BF120" s="318" t="n">
        <v>0</v>
      </c>
      <c r="BG120" s="318" t="n">
        <v>0.14</v>
      </c>
      <c r="BH120" s="318" t="n">
        <v>0.145</v>
      </c>
      <c r="BI120" s="318" t="n">
        <v>0.125</v>
      </c>
      <c r="BJ120" s="318" t="n">
        <v>0.35</v>
      </c>
      <c r="BK120" s="318" t="n">
        <v>0.0025</v>
      </c>
      <c r="BL120" s="318" t="n">
        <v>-0.01</v>
      </c>
      <c r="BM120" s="318" t="n">
        <v>0.005</v>
      </c>
      <c r="BN120" s="318" t="n">
        <v>-0.01</v>
      </c>
      <c r="BO120" s="318" t="n">
        <v>0</v>
      </c>
      <c r="BP120" s="318" t="n">
        <v>0.005</v>
      </c>
      <c r="BQ120" s="318" t="n">
        <v>0.0025</v>
      </c>
      <c r="BR120" s="318" t="n">
        <v>0.035</v>
      </c>
      <c r="BS120" s="0" t="n">
        <v>0.005</v>
      </c>
      <c r="BT120" s="0" t="n">
        <v>0</v>
      </c>
      <c r="BU120" s="0" t="n">
        <v>0</v>
      </c>
      <c r="BV120" s="0" t="n">
        <v>0.03</v>
      </c>
    </row>
    <row r="121" customFormat="false" ht="12.75" hidden="false" customHeight="false" outlineLevel="0" collapsed="false">
      <c r="A121" s="320" t="e">
        <f aca="false">#REF!-B121</f>
        <v>#REF!</v>
      </c>
      <c r="B121" s="320" t="n">
        <v>3.623</v>
      </c>
      <c r="C121" s="327" t="n">
        <f aca="false">EOMONTH(C120,0)+1</f>
        <v>40787</v>
      </c>
      <c r="D121" s="0" t="n">
        <f aca="false">D109+0.05</f>
        <v>3.499</v>
      </c>
      <c r="E121" s="320" t="n">
        <v>0.18</v>
      </c>
      <c r="F121" s="318" t="n">
        <v>0.0587743027989744</v>
      </c>
      <c r="G121" s="318" t="n">
        <v>-0.13</v>
      </c>
      <c r="H121" s="318" t="n">
        <v>-0.15</v>
      </c>
      <c r="I121" s="330" t="n">
        <v>-0.09</v>
      </c>
      <c r="J121" s="330" t="n">
        <v>-0.13</v>
      </c>
      <c r="K121" s="318" t="n">
        <v>-0.09</v>
      </c>
      <c r="L121" s="318" t="n">
        <v>-0.044</v>
      </c>
      <c r="M121" s="318" t="n">
        <v>-0.064</v>
      </c>
      <c r="N121" s="318" t="n">
        <v>-0.12</v>
      </c>
      <c r="O121" s="318" t="n">
        <v>-0.12</v>
      </c>
      <c r="P121" s="318" t="n">
        <v>-0.13</v>
      </c>
      <c r="Q121" s="318" t="n">
        <v>-0.052</v>
      </c>
      <c r="R121" s="318" t="n">
        <v>-0.044</v>
      </c>
      <c r="S121" s="318" t="n">
        <v>0.125</v>
      </c>
      <c r="T121" s="318" t="n">
        <v>0.145</v>
      </c>
      <c r="U121" s="318" t="n">
        <v>0.04</v>
      </c>
      <c r="V121" s="318" t="n">
        <v>0.5</v>
      </c>
      <c r="W121" s="318" t="n">
        <v>0.15</v>
      </c>
      <c r="X121" s="318" t="n">
        <v>0.205</v>
      </c>
      <c r="Y121" s="318" t="n">
        <v>-0.0155</v>
      </c>
      <c r="Z121" s="318" t="n">
        <v>-0.0445</v>
      </c>
      <c r="AA121" s="318" t="n">
        <v>0.0135</v>
      </c>
      <c r="AB121" s="318" t="n">
        <v>-0.004</v>
      </c>
      <c r="AC121" s="318" t="n">
        <v>0.0025</v>
      </c>
      <c r="AD121" s="318" t="n">
        <v>-0.0225</v>
      </c>
      <c r="AE121" s="318" t="n">
        <v>-0.0725</v>
      </c>
      <c r="AF121" s="318" t="n">
        <v>-0.055</v>
      </c>
      <c r="AG121" s="318" t="n">
        <v>-0.0775</v>
      </c>
      <c r="AH121" s="318" t="n">
        <v>-0.0145</v>
      </c>
      <c r="AI121" s="318" t="n">
        <v>-0.072</v>
      </c>
      <c r="AJ121" s="318" t="n">
        <v>-0.06</v>
      </c>
      <c r="AK121" s="318" t="n">
        <v>-0.017</v>
      </c>
      <c r="AL121" s="318" t="n">
        <v>0.023</v>
      </c>
      <c r="AM121" s="318" t="n">
        <v>0.41</v>
      </c>
      <c r="AN121" s="318" t="n">
        <v>0.03</v>
      </c>
      <c r="AO121" s="318" t="n">
        <v>-0.45</v>
      </c>
      <c r="AP121" s="318" t="n">
        <v>-0.07</v>
      </c>
      <c r="AQ121" s="318" t="n">
        <v>-0.195</v>
      </c>
      <c r="AR121" s="318" t="n">
        <v>-0.1</v>
      </c>
      <c r="AS121" s="318" t="n">
        <v>-0.37</v>
      </c>
      <c r="AT121" s="318" t="n">
        <v>0</v>
      </c>
      <c r="AU121" s="318" t="n">
        <v>0.43</v>
      </c>
      <c r="AV121" s="318" t="n">
        <v>-0.45</v>
      </c>
      <c r="AW121" s="318" t="n">
        <v>-0.136</v>
      </c>
      <c r="AX121" s="318" t="n">
        <v>-0.06</v>
      </c>
      <c r="AY121" s="318" t="n">
        <v>-0.076</v>
      </c>
      <c r="AZ121" s="318" t="n">
        <v>-0.044</v>
      </c>
      <c r="BA121" s="318" t="n">
        <v>-0.0685</v>
      </c>
      <c r="BB121" s="318" t="n">
        <v>-0.0145</v>
      </c>
      <c r="BC121" s="318" t="n">
        <v>-0.049</v>
      </c>
      <c r="BD121" s="318" t="n">
        <v>0</v>
      </c>
      <c r="BE121" s="318" t="n">
        <v>-0.0725</v>
      </c>
      <c r="BF121" s="318" t="n">
        <v>0</v>
      </c>
      <c r="BG121" s="318" t="n">
        <v>0.14</v>
      </c>
      <c r="BH121" s="318" t="n">
        <v>0.145</v>
      </c>
      <c r="BI121" s="318" t="n">
        <v>0.125</v>
      </c>
      <c r="BJ121" s="318" t="n">
        <v>0.35</v>
      </c>
      <c r="BK121" s="318" t="n">
        <v>0.0025</v>
      </c>
      <c r="BL121" s="318" t="n">
        <v>-0.01</v>
      </c>
      <c r="BM121" s="318" t="n">
        <v>0.005</v>
      </c>
      <c r="BN121" s="318" t="n">
        <v>-0.01</v>
      </c>
      <c r="BO121" s="318" t="n">
        <v>0</v>
      </c>
      <c r="BP121" s="318" t="n">
        <v>0.005</v>
      </c>
      <c r="BQ121" s="318" t="n">
        <v>0.0025</v>
      </c>
      <c r="BR121" s="318" t="n">
        <v>0.01</v>
      </c>
      <c r="BS121" s="0" t="n">
        <v>0.005</v>
      </c>
      <c r="BT121" s="0" t="n">
        <v>0</v>
      </c>
      <c r="BU121" s="0" t="n">
        <v>0</v>
      </c>
      <c r="BV121" s="0" t="n">
        <v>0.03</v>
      </c>
    </row>
    <row r="122" customFormat="false" ht="12.75" hidden="false" customHeight="false" outlineLevel="0" collapsed="false">
      <c r="A122" s="320" t="e">
        <f aca="false">#REF!-B122</f>
        <v>#REF!</v>
      </c>
      <c r="B122" s="320" t="n">
        <v>3.486</v>
      </c>
      <c r="C122" s="327" t="n">
        <f aca="false">EOMONTH(C121,0)+1</f>
        <v>40817</v>
      </c>
      <c r="D122" s="0" t="n">
        <f aca="false">D110+0.05</f>
        <v>3.514</v>
      </c>
      <c r="E122" s="320" t="n">
        <v>0.18</v>
      </c>
      <c r="F122" s="318" t="n">
        <v>0.0588778012908637</v>
      </c>
      <c r="G122" s="318" t="n">
        <v>-0.13</v>
      </c>
      <c r="H122" s="318" t="n">
        <v>-0.15</v>
      </c>
      <c r="I122" s="330" t="n">
        <v>-0.09</v>
      </c>
      <c r="J122" s="330" t="n">
        <v>-0.13</v>
      </c>
      <c r="K122" s="318" t="n">
        <v>-0.09</v>
      </c>
      <c r="L122" s="318" t="n">
        <v>-0.044</v>
      </c>
      <c r="M122" s="318" t="n">
        <v>-0.064</v>
      </c>
      <c r="N122" s="318" t="n">
        <v>-0.12</v>
      </c>
      <c r="O122" s="318" t="n">
        <v>-0.12</v>
      </c>
      <c r="P122" s="318" t="n">
        <v>-0.13</v>
      </c>
      <c r="Q122" s="318" t="n">
        <v>-0.05575</v>
      </c>
      <c r="R122" s="318" t="n">
        <v>-0.044</v>
      </c>
      <c r="S122" s="318" t="n">
        <v>0.125</v>
      </c>
      <c r="T122" s="318" t="n">
        <v>0.145</v>
      </c>
      <c r="U122" s="318" t="n">
        <v>0.04</v>
      </c>
      <c r="V122" s="318" t="n">
        <v>0.5</v>
      </c>
      <c r="W122" s="318" t="n">
        <v>0.125</v>
      </c>
      <c r="X122" s="318" t="n">
        <v>0.145</v>
      </c>
      <c r="Y122" s="318" t="n">
        <v>-0.0155</v>
      </c>
      <c r="Z122" s="318" t="n">
        <v>-0.0495</v>
      </c>
      <c r="AA122" s="318" t="n">
        <v>0.0135</v>
      </c>
      <c r="AB122" s="318" t="n">
        <v>-0.004</v>
      </c>
      <c r="AC122" s="318" t="n">
        <v>0.0025</v>
      </c>
      <c r="AD122" s="318" t="n">
        <v>-0.0225</v>
      </c>
      <c r="AE122" s="318" t="n">
        <v>-0.0725</v>
      </c>
      <c r="AF122" s="318" t="n">
        <v>-0.055</v>
      </c>
      <c r="AG122" s="318" t="n">
        <v>-0.0775</v>
      </c>
      <c r="AH122" s="318" t="n">
        <v>-0.0145</v>
      </c>
      <c r="AI122" s="318" t="n">
        <v>-0.072</v>
      </c>
      <c r="AJ122" s="318" t="n">
        <v>-0.0675</v>
      </c>
      <c r="AK122" s="318" t="n">
        <v>-0.017</v>
      </c>
      <c r="AL122" s="318" t="n">
        <v>0.023</v>
      </c>
      <c r="AM122" s="318" t="n">
        <v>0.36</v>
      </c>
      <c r="AN122" s="318" t="n">
        <v>0.0225</v>
      </c>
      <c r="AO122" s="318" t="n">
        <v>-0.45</v>
      </c>
      <c r="AP122" s="318" t="n">
        <v>-0.07</v>
      </c>
      <c r="AQ122" s="318" t="n">
        <v>-0.195</v>
      </c>
      <c r="AR122" s="318" t="n">
        <v>-0.1</v>
      </c>
      <c r="AS122" s="318" t="n">
        <v>-0.37</v>
      </c>
      <c r="AT122" s="318" t="n">
        <v>0</v>
      </c>
      <c r="AU122" s="318" t="n">
        <v>0.43</v>
      </c>
      <c r="AV122" s="318" t="n">
        <v>-0.45</v>
      </c>
      <c r="AW122" s="318" t="n">
        <v>-0.146</v>
      </c>
      <c r="AX122" s="318" t="n">
        <v>-0.06</v>
      </c>
      <c r="AY122" s="318" t="n">
        <v>-0.086</v>
      </c>
      <c r="AZ122" s="318" t="n">
        <v>-0.044</v>
      </c>
      <c r="BA122" s="318" t="n">
        <v>-0.0735</v>
      </c>
      <c r="BB122" s="318" t="n">
        <v>-0.0145</v>
      </c>
      <c r="BC122" s="318" t="n">
        <v>-0.049</v>
      </c>
      <c r="BD122" s="318" t="n">
        <v>-0.0075</v>
      </c>
      <c r="BE122" s="318" t="n">
        <v>-0.0725</v>
      </c>
      <c r="BF122" s="318" t="n">
        <v>0</v>
      </c>
      <c r="BG122" s="318" t="n">
        <v>0.14</v>
      </c>
      <c r="BH122" s="318" t="n">
        <v>0.145</v>
      </c>
      <c r="BI122" s="318" t="n">
        <v>0.125</v>
      </c>
      <c r="BJ122" s="318" t="n">
        <v>0.315</v>
      </c>
      <c r="BK122" s="318" t="n">
        <v>0.0025</v>
      </c>
      <c r="BL122" s="318" t="n">
        <v>-0.01</v>
      </c>
      <c r="BM122" s="318" t="n">
        <v>0.005</v>
      </c>
      <c r="BN122" s="318" t="n">
        <v>-0.01</v>
      </c>
      <c r="BO122" s="318" t="n">
        <v>0</v>
      </c>
      <c r="BP122" s="318" t="n">
        <v>0.005</v>
      </c>
      <c r="BQ122" s="318" t="n">
        <v>0.0025</v>
      </c>
      <c r="BR122" s="318" t="n">
        <v>0.01</v>
      </c>
      <c r="BS122" s="0" t="n">
        <v>0.005</v>
      </c>
      <c r="BT122" s="0" t="n">
        <v>0</v>
      </c>
      <c r="BU122" s="0" t="n">
        <v>0</v>
      </c>
      <c r="BV122" s="0" t="n">
        <v>0.03</v>
      </c>
    </row>
    <row r="123" customFormat="false" ht="12.75" hidden="false" customHeight="false" outlineLevel="0" collapsed="false">
      <c r="A123" s="320" t="e">
        <f aca="false">#REF!-B123</f>
        <v>#REF!</v>
      </c>
      <c r="B123" s="320" t="n">
        <v>3.352</v>
      </c>
      <c r="C123" s="327" t="n">
        <f aca="false">EOMONTH(C122,0)+1</f>
        <v>40848</v>
      </c>
      <c r="D123" s="0" t="n">
        <f aca="false">D111+0.05</f>
        <v>3.659</v>
      </c>
      <c r="E123" s="320" t="n">
        <v>0.18</v>
      </c>
      <c r="F123" s="318" t="n">
        <v>0.0589779611251142</v>
      </c>
      <c r="G123" s="318" t="n">
        <v>-0.13</v>
      </c>
      <c r="H123" s="318" t="n">
        <v>-0.15</v>
      </c>
      <c r="I123" s="330" t="n">
        <v>-0.09</v>
      </c>
      <c r="J123" s="330" t="n">
        <v>-0.13</v>
      </c>
      <c r="K123" s="318" t="n">
        <v>-0.09</v>
      </c>
      <c r="L123" s="318" t="n">
        <v>-0.044</v>
      </c>
      <c r="M123" s="318" t="n">
        <v>-0.064</v>
      </c>
      <c r="N123" s="318" t="n">
        <v>-0.12</v>
      </c>
      <c r="O123" s="318" t="n">
        <v>-0.12</v>
      </c>
      <c r="P123" s="318" t="n">
        <v>-0.13</v>
      </c>
      <c r="Q123" s="318" t="n">
        <v>-0.06075</v>
      </c>
      <c r="R123" s="318" t="n">
        <v>-0.044</v>
      </c>
      <c r="S123" s="318" t="n">
        <v>0.125</v>
      </c>
      <c r="T123" s="318" t="n">
        <v>0.145</v>
      </c>
      <c r="U123" s="318" t="n">
        <v>0.04</v>
      </c>
      <c r="V123" s="318" t="n">
        <v>0.5</v>
      </c>
      <c r="W123" s="318" t="n">
        <v>0.145</v>
      </c>
      <c r="X123" s="318" t="n">
        <v>0.175</v>
      </c>
      <c r="Y123" s="318" t="n">
        <v>-0.0155</v>
      </c>
      <c r="Z123" s="318" t="n">
        <v>-0.0495</v>
      </c>
      <c r="AA123" s="318" t="n">
        <v>0.0085</v>
      </c>
      <c r="AB123" s="318" t="n">
        <v>-0.009</v>
      </c>
      <c r="AC123" s="318" t="n">
        <v>0.0025</v>
      </c>
      <c r="AD123" s="318" t="n">
        <v>-0.0225</v>
      </c>
      <c r="AE123" s="318" t="n">
        <v>-0.0725</v>
      </c>
      <c r="AF123" s="318" t="n">
        <v>-0.055</v>
      </c>
      <c r="AG123" s="318" t="n">
        <v>-0.0775</v>
      </c>
      <c r="AH123" s="318" t="n">
        <v>-0.0145</v>
      </c>
      <c r="AI123" s="318" t="n">
        <v>-0.072</v>
      </c>
      <c r="AJ123" s="318" t="n">
        <v>-0.0775</v>
      </c>
      <c r="AK123" s="318" t="n">
        <v>-0.017</v>
      </c>
      <c r="AL123" s="318" t="n">
        <v>0.023</v>
      </c>
      <c r="AM123" s="318" t="n">
        <v>0.4</v>
      </c>
      <c r="AN123" s="318" t="n">
        <v>0.0125</v>
      </c>
      <c r="AO123" s="318" t="n">
        <v>-0.45</v>
      </c>
      <c r="AP123" s="318" t="n">
        <v>-0.07</v>
      </c>
      <c r="AQ123" s="318" t="n">
        <v>-0.195</v>
      </c>
      <c r="AR123" s="318" t="n">
        <v>-0.1</v>
      </c>
      <c r="AS123" s="318" t="n">
        <v>-0.37</v>
      </c>
      <c r="AT123" s="318" t="n">
        <v>0</v>
      </c>
      <c r="AU123" s="318" t="n">
        <v>0.43</v>
      </c>
      <c r="AV123" s="318" t="n">
        <v>-0.45</v>
      </c>
      <c r="AW123" s="318" t="n">
        <v>-0.1335</v>
      </c>
      <c r="AX123" s="318" t="n">
        <v>-0.06</v>
      </c>
      <c r="AY123" s="318" t="n">
        <v>-0.0735</v>
      </c>
      <c r="AZ123" s="318" t="n">
        <v>-0.044</v>
      </c>
      <c r="BA123" s="318" t="n">
        <v>-0.076</v>
      </c>
      <c r="BB123" s="318" t="n">
        <v>-0.0145</v>
      </c>
      <c r="BC123" s="318" t="n">
        <v>-0.049</v>
      </c>
      <c r="BD123" s="318" t="n">
        <v>-0.0175</v>
      </c>
      <c r="BE123" s="318" t="n">
        <v>-0.0725</v>
      </c>
      <c r="BF123" s="318" t="n">
        <v>0</v>
      </c>
      <c r="BG123" s="318" t="n">
        <v>0.14</v>
      </c>
      <c r="BH123" s="318" t="n">
        <v>0.145</v>
      </c>
      <c r="BI123" s="318" t="n">
        <v>0.125</v>
      </c>
      <c r="BJ123" s="318" t="n">
        <v>0.36</v>
      </c>
      <c r="BK123" s="318" t="n">
        <v>0.0025</v>
      </c>
      <c r="BL123" s="318" t="n">
        <v>-0.015</v>
      </c>
      <c r="BM123" s="318" t="n">
        <v>0.005</v>
      </c>
      <c r="BN123" s="318" t="n">
        <v>-0.01</v>
      </c>
      <c r="BO123" s="318" t="n">
        <v>0</v>
      </c>
      <c r="BP123" s="318" t="n">
        <v>0.005</v>
      </c>
      <c r="BQ123" s="318" t="n">
        <v>0.0025</v>
      </c>
      <c r="BR123" s="318" t="n">
        <v>0.01</v>
      </c>
      <c r="BS123" s="0" t="n">
        <v>0.005</v>
      </c>
      <c r="BT123" s="0" t="n">
        <v>0</v>
      </c>
      <c r="BU123" s="0" t="n">
        <v>0</v>
      </c>
      <c r="BV123" s="0" t="n">
        <v>0.03</v>
      </c>
    </row>
    <row r="124" customFormat="false" ht="12.75" hidden="false" customHeight="false" outlineLevel="0" collapsed="false">
      <c r="A124" s="320" t="e">
        <f aca="false">#REF!-B124</f>
        <v>#REF!</v>
      </c>
      <c r="B124" s="320" t="n">
        <v>3.331</v>
      </c>
      <c r="C124" s="327" t="n">
        <f aca="false">EOMONTH(C123,0)+1</f>
        <v>40878</v>
      </c>
      <c r="D124" s="0" t="n">
        <f aca="false">D112+0.05</f>
        <v>3.794</v>
      </c>
      <c r="E124" s="320" t="n">
        <v>0.18</v>
      </c>
      <c r="F124" s="318" t="n">
        <v>0.0590814596240108</v>
      </c>
      <c r="G124" s="318" t="n">
        <v>-0.13</v>
      </c>
      <c r="H124" s="318" t="n">
        <v>-0.15</v>
      </c>
      <c r="I124" s="330" t="n">
        <v>-0.01</v>
      </c>
      <c r="J124" s="330" t="n">
        <v>-0.13</v>
      </c>
      <c r="K124" s="318" t="n">
        <v>0</v>
      </c>
      <c r="L124" s="318" t="n">
        <v>-0.0435</v>
      </c>
      <c r="M124" s="318" t="n">
        <v>-0.0785</v>
      </c>
      <c r="N124" s="318" t="n">
        <v>-0.12</v>
      </c>
      <c r="O124" s="318" t="n">
        <v>-0.12</v>
      </c>
      <c r="P124" s="318" t="n">
        <v>-0.13</v>
      </c>
      <c r="Q124" s="318" t="n">
        <v>-0.078</v>
      </c>
      <c r="R124" s="318" t="n">
        <v>-0.0435</v>
      </c>
      <c r="S124" s="318" t="n">
        <v>0.155</v>
      </c>
      <c r="T124" s="318" t="n">
        <v>0.175</v>
      </c>
      <c r="U124" s="318" t="n">
        <v>0.13</v>
      </c>
      <c r="V124" s="318" t="n">
        <v>0.5</v>
      </c>
      <c r="W124" s="318" t="n">
        <v>0.195</v>
      </c>
      <c r="X124" s="318" t="n">
        <v>0.21</v>
      </c>
      <c r="Y124" s="318" t="n">
        <v>-0.013</v>
      </c>
      <c r="Z124" s="318" t="n">
        <v>-0.0305</v>
      </c>
      <c r="AA124" s="318" t="n">
        <v>0.0095</v>
      </c>
      <c r="AB124" s="318" t="n">
        <v>-0.008</v>
      </c>
      <c r="AC124" s="318" t="n">
        <v>0.0025</v>
      </c>
      <c r="AD124" s="318" t="n">
        <v>-0.0225</v>
      </c>
      <c r="AE124" s="318" t="n">
        <v>-0.075</v>
      </c>
      <c r="AF124" s="318" t="n">
        <v>-0.0575</v>
      </c>
      <c r="AG124" s="318" t="n">
        <v>-0.08</v>
      </c>
      <c r="AH124" s="318" t="n">
        <v>-0.011</v>
      </c>
      <c r="AI124" s="318" t="n">
        <v>-0.064</v>
      </c>
      <c r="AJ124" s="318" t="n">
        <v>-0.1125</v>
      </c>
      <c r="AK124" s="318" t="n">
        <v>-0.008999999</v>
      </c>
      <c r="AL124" s="318" t="n">
        <v>0.031</v>
      </c>
      <c r="AM124" s="318" t="n">
        <v>0.65</v>
      </c>
      <c r="AN124" s="318" t="n">
        <v>-0.0225</v>
      </c>
      <c r="AO124" s="318" t="n">
        <v>-0.34</v>
      </c>
      <c r="AP124" s="318" t="n">
        <v>-0.07</v>
      </c>
      <c r="AQ124" s="318" t="n">
        <v>-0.13</v>
      </c>
      <c r="AR124" s="318" t="n">
        <v>0.248</v>
      </c>
      <c r="AS124" s="318" t="n">
        <v>-0.26</v>
      </c>
      <c r="AT124" s="318" t="n">
        <v>0</v>
      </c>
      <c r="AU124" s="318" t="n">
        <v>0.35</v>
      </c>
      <c r="AV124" s="318" t="n">
        <v>-0.34</v>
      </c>
      <c r="AW124" s="318" t="n">
        <v>-0.141</v>
      </c>
      <c r="AX124" s="318" t="n">
        <v>-0.06</v>
      </c>
      <c r="AY124" s="318" t="n">
        <v>-0.081</v>
      </c>
      <c r="AZ124" s="318" t="n">
        <v>-0.0435</v>
      </c>
      <c r="BA124" s="318" t="n">
        <v>-0.071</v>
      </c>
      <c r="BB124" s="318" t="n">
        <v>-0.016</v>
      </c>
      <c r="BC124" s="318" t="n">
        <v>-0.0635</v>
      </c>
      <c r="BD124" s="318" t="n">
        <v>-0.0525</v>
      </c>
      <c r="BE124" s="318" t="n">
        <v>-0.075</v>
      </c>
      <c r="BF124" s="318" t="n">
        <v>0</v>
      </c>
      <c r="BG124" s="318" t="n">
        <v>0.17</v>
      </c>
      <c r="BH124" s="318" t="n">
        <v>0.175</v>
      </c>
      <c r="BI124" s="318" t="n">
        <v>0.155</v>
      </c>
      <c r="BJ124" s="318" t="n">
        <v>0.46</v>
      </c>
      <c r="BK124" s="318" t="n">
        <v>0.0025</v>
      </c>
      <c r="BL124" s="318" t="n">
        <v>-0.02</v>
      </c>
      <c r="BM124" s="318" t="n">
        <v>0.005</v>
      </c>
      <c r="BN124" s="318" t="n">
        <v>0</v>
      </c>
      <c r="BO124" s="318" t="n">
        <v>0</v>
      </c>
      <c r="BP124" s="318" t="n">
        <v>0.005</v>
      </c>
      <c r="BQ124" s="318" t="n">
        <v>0.005</v>
      </c>
      <c r="BR124" s="318" t="n">
        <v>0.055</v>
      </c>
      <c r="BS124" s="0" t="n">
        <v>0.02</v>
      </c>
      <c r="BT124" s="0" t="n">
        <v>0</v>
      </c>
      <c r="BU124" s="0" t="n">
        <v>0</v>
      </c>
      <c r="BV124" s="0" t="n">
        <v>0.03</v>
      </c>
    </row>
    <row r="125" customFormat="false" ht="12.75" hidden="false" customHeight="false" outlineLevel="0" collapsed="false">
      <c r="A125" s="320" t="e">
        <f aca="false">#REF!-B125</f>
        <v>#REF!</v>
      </c>
      <c r="B125" s="320" t="n">
        <v>3.318</v>
      </c>
      <c r="C125" s="327" t="n">
        <f aca="false">EOMONTH(C124,0)+1</f>
        <v>40909</v>
      </c>
      <c r="D125" s="0" t="n">
        <f aca="false">D113+0.05</f>
        <v>3.849</v>
      </c>
      <c r="E125" s="320" t="n">
        <v>0.18</v>
      </c>
      <c r="F125" s="318" t="n">
        <v>0.0591816194650425</v>
      </c>
      <c r="G125" s="318" t="n">
        <v>-0.1325</v>
      </c>
      <c r="H125" s="318" t="n">
        <v>-0.1525</v>
      </c>
      <c r="I125" s="330" t="n">
        <v>-0.005</v>
      </c>
      <c r="J125" s="330" t="n">
        <v>-0.13</v>
      </c>
      <c r="K125" s="318" t="n">
        <v>0.005</v>
      </c>
      <c r="L125" s="318" t="n">
        <v>-0.0435</v>
      </c>
      <c r="M125" s="318" t="n">
        <v>-0.0785</v>
      </c>
      <c r="N125" s="318" t="n">
        <v>-0.1225</v>
      </c>
      <c r="O125" s="318" t="n">
        <v>-0.1225</v>
      </c>
      <c r="P125" s="318" t="n">
        <v>-0.1325</v>
      </c>
      <c r="Q125" s="318" t="n">
        <v>-0.08925</v>
      </c>
      <c r="R125" s="318" t="n">
        <v>-0.0435</v>
      </c>
      <c r="S125" s="318" t="n">
        <v>0.155</v>
      </c>
      <c r="T125" s="318" t="n">
        <v>0.175</v>
      </c>
      <c r="U125" s="318" t="n">
        <v>0.13</v>
      </c>
      <c r="V125" s="318" t="n">
        <v>0.5</v>
      </c>
      <c r="W125" s="318" t="n">
        <v>0.215</v>
      </c>
      <c r="X125" s="318" t="n">
        <v>0.29</v>
      </c>
      <c r="Y125" s="318" t="n">
        <v>-0.013</v>
      </c>
      <c r="Z125" s="318" t="n">
        <v>-0.0305</v>
      </c>
      <c r="AA125" s="318" t="n">
        <v>0.0095</v>
      </c>
      <c r="AB125" s="318" t="n">
        <v>-0.008</v>
      </c>
      <c r="AC125" s="318" t="n">
        <v>0.0025</v>
      </c>
      <c r="AD125" s="318" t="n">
        <v>-0.0225</v>
      </c>
      <c r="AE125" s="318" t="n">
        <v>-0.075</v>
      </c>
      <c r="AF125" s="318" t="n">
        <v>-0.0555</v>
      </c>
      <c r="AG125" s="318" t="n">
        <v>-0.078</v>
      </c>
      <c r="AH125" s="318" t="n">
        <v>-0.008499999</v>
      </c>
      <c r="AI125" s="318" t="n">
        <v>-0.064</v>
      </c>
      <c r="AJ125" s="318" t="n">
        <v>-0.135</v>
      </c>
      <c r="AK125" s="318" t="n">
        <v>-0.008999999</v>
      </c>
      <c r="AL125" s="318" t="n">
        <v>0.031</v>
      </c>
      <c r="AM125" s="318" t="n">
        <v>0.98</v>
      </c>
      <c r="AN125" s="318" t="n">
        <v>-0.045</v>
      </c>
      <c r="AO125" s="318" t="n">
        <v>-0.34</v>
      </c>
      <c r="AP125" s="318" t="n">
        <v>-0.07</v>
      </c>
      <c r="AQ125" s="318" t="n">
        <v>-0.13</v>
      </c>
      <c r="AR125" s="318" t="n">
        <v>0.308</v>
      </c>
      <c r="AS125" s="318" t="n">
        <v>-0.26</v>
      </c>
      <c r="AT125" s="318" t="n">
        <v>0</v>
      </c>
      <c r="AU125" s="318" t="n">
        <v>0.35</v>
      </c>
      <c r="AV125" s="318" t="n">
        <v>-0.34</v>
      </c>
      <c r="AW125" s="318" t="n">
        <v>-0.1685</v>
      </c>
      <c r="AX125" s="318" t="n">
        <v>-0.06</v>
      </c>
      <c r="AY125" s="318" t="n">
        <v>-0.1085</v>
      </c>
      <c r="AZ125" s="318" t="n">
        <v>-0.0435</v>
      </c>
      <c r="BA125" s="318" t="n">
        <v>-0.0985</v>
      </c>
      <c r="BB125" s="318" t="n">
        <v>-0.0135</v>
      </c>
      <c r="BC125" s="318" t="n">
        <v>-0.0635</v>
      </c>
      <c r="BD125" s="318" t="n">
        <v>-0.075</v>
      </c>
      <c r="BE125" s="318" t="n">
        <v>-0.075</v>
      </c>
      <c r="BF125" s="318" t="n">
        <v>0</v>
      </c>
      <c r="BG125" s="318" t="n">
        <v>0.17</v>
      </c>
      <c r="BH125" s="318" t="n">
        <v>0.175</v>
      </c>
      <c r="BI125" s="318" t="n">
        <v>0.155</v>
      </c>
      <c r="BJ125" s="318" t="n">
        <v>0.77</v>
      </c>
      <c r="BK125" s="318" t="n">
        <v>0.0025</v>
      </c>
      <c r="BL125" s="318" t="n">
        <v>-0.025</v>
      </c>
      <c r="BM125" s="318" t="n">
        <v>0.005</v>
      </c>
      <c r="BN125" s="318" t="n">
        <v>0</v>
      </c>
      <c r="BO125" s="318" t="n">
        <v>0</v>
      </c>
      <c r="BP125" s="318" t="n">
        <v>0.005</v>
      </c>
      <c r="BQ125" s="318" t="n">
        <v>0.005</v>
      </c>
      <c r="BR125" s="318" t="n">
        <v>0.25</v>
      </c>
      <c r="BS125" s="0" t="n">
        <v>0.02</v>
      </c>
      <c r="BT125" s="0" t="n">
        <v>0</v>
      </c>
      <c r="BU125" s="0" t="n">
        <v>0</v>
      </c>
      <c r="BV125" s="0" t="n">
        <v>0.03</v>
      </c>
    </row>
    <row r="126" customFormat="false" ht="12.75" hidden="false" customHeight="false" outlineLevel="0" collapsed="false">
      <c r="A126" s="320" t="e">
        <f aca="false">#REF!-B126</f>
        <v>#REF!</v>
      </c>
      <c r="B126" s="320" t="n">
        <v>3.383</v>
      </c>
      <c r="C126" s="327" t="n">
        <f aca="false">EOMONTH(C125,0)+1</f>
        <v>40940</v>
      </c>
      <c r="D126" s="0" t="n">
        <f aca="false">D114+0.05</f>
        <v>3.701</v>
      </c>
      <c r="E126" s="320" t="n">
        <v>0.18</v>
      </c>
      <c r="F126" s="318" t="n">
        <v>0.0592504706985655</v>
      </c>
      <c r="G126" s="318" t="n">
        <v>-0.135</v>
      </c>
      <c r="H126" s="318" t="n">
        <v>-0.155</v>
      </c>
      <c r="I126" s="330" t="n">
        <v>0.015</v>
      </c>
      <c r="J126" s="330" t="n">
        <v>-0.13</v>
      </c>
      <c r="K126" s="318" t="n">
        <v>0.025</v>
      </c>
      <c r="L126" s="318" t="n">
        <v>-0.0435</v>
      </c>
      <c r="M126" s="318" t="n">
        <v>-0.0785</v>
      </c>
      <c r="N126" s="318" t="n">
        <v>-0.125</v>
      </c>
      <c r="O126" s="318" t="n">
        <v>-0.125</v>
      </c>
      <c r="P126" s="318" t="n">
        <v>-0.135</v>
      </c>
      <c r="Q126" s="318" t="n">
        <v>-0.0905</v>
      </c>
      <c r="R126" s="318" t="n">
        <v>-0.0435</v>
      </c>
      <c r="S126" s="318" t="n">
        <v>0.155</v>
      </c>
      <c r="T126" s="318" t="n">
        <v>0.175</v>
      </c>
      <c r="U126" s="318" t="n">
        <v>0.13</v>
      </c>
      <c r="V126" s="318" t="n">
        <v>0.5</v>
      </c>
      <c r="W126" s="318" t="n">
        <v>0.235</v>
      </c>
      <c r="X126" s="318" t="n">
        <v>0.34</v>
      </c>
      <c r="Y126" s="318" t="n">
        <v>-0.011</v>
      </c>
      <c r="Z126" s="318" t="n">
        <v>-0.0305</v>
      </c>
      <c r="AA126" s="318" t="n">
        <v>0.0095</v>
      </c>
      <c r="AB126" s="318" t="n">
        <v>-0.008</v>
      </c>
      <c r="AC126" s="318" t="n">
        <v>0.0025</v>
      </c>
      <c r="AD126" s="318" t="n">
        <v>-0.0225</v>
      </c>
      <c r="AE126" s="318" t="n">
        <v>-0.075</v>
      </c>
      <c r="AF126" s="318" t="n">
        <v>-0.0555</v>
      </c>
      <c r="AG126" s="318" t="n">
        <v>-0.078</v>
      </c>
      <c r="AH126" s="318" t="n">
        <v>-0.008499999</v>
      </c>
      <c r="AI126" s="318" t="n">
        <v>-0.064</v>
      </c>
      <c r="AJ126" s="318" t="n">
        <v>-0.1375</v>
      </c>
      <c r="AK126" s="318" t="n">
        <v>-0.008999999</v>
      </c>
      <c r="AL126" s="318" t="n">
        <v>0.031</v>
      </c>
      <c r="AM126" s="318" t="n">
        <v>1.6</v>
      </c>
      <c r="AN126" s="318" t="n">
        <v>-0.0475</v>
      </c>
      <c r="AO126" s="318" t="n">
        <v>-0.34</v>
      </c>
      <c r="AP126" s="318" t="n">
        <v>-0.07</v>
      </c>
      <c r="AQ126" s="318" t="n">
        <v>-0.13</v>
      </c>
      <c r="AR126" s="318" t="n">
        <v>0.378</v>
      </c>
      <c r="AS126" s="318" t="n">
        <v>-0.26</v>
      </c>
      <c r="AT126" s="318" t="n">
        <v>0</v>
      </c>
      <c r="AU126" s="318" t="n">
        <v>0.35</v>
      </c>
      <c r="AV126" s="318" t="n">
        <v>-0.34</v>
      </c>
      <c r="AW126" s="318" t="n">
        <v>-0.1835</v>
      </c>
      <c r="AX126" s="318" t="n">
        <v>-0.06</v>
      </c>
      <c r="AY126" s="318" t="n">
        <v>-0.1235</v>
      </c>
      <c r="AZ126" s="318" t="n">
        <v>-0.0435</v>
      </c>
      <c r="BA126" s="318" t="n">
        <v>-0.099</v>
      </c>
      <c r="BB126" s="318" t="n">
        <v>-0.0135</v>
      </c>
      <c r="BC126" s="318" t="n">
        <v>-0.0635</v>
      </c>
      <c r="BD126" s="318" t="n">
        <v>-0.0775</v>
      </c>
      <c r="BE126" s="318" t="n">
        <v>-0.075</v>
      </c>
      <c r="BF126" s="318" t="n">
        <v>0</v>
      </c>
      <c r="BG126" s="318" t="n">
        <v>0.17</v>
      </c>
      <c r="BH126" s="318" t="n">
        <v>0.175</v>
      </c>
      <c r="BI126" s="318" t="n">
        <v>0.155</v>
      </c>
      <c r="BJ126" s="318" t="n">
        <v>1.04</v>
      </c>
      <c r="BK126" s="318" t="n">
        <v>0.0025</v>
      </c>
      <c r="BL126" s="318" t="n">
        <v>-0.025</v>
      </c>
      <c r="BM126" s="318" t="n">
        <v>0.005</v>
      </c>
      <c r="BN126" s="318" t="n">
        <v>0</v>
      </c>
      <c r="BO126" s="318" t="n">
        <v>0</v>
      </c>
      <c r="BP126" s="318" t="n">
        <v>0.005</v>
      </c>
      <c r="BQ126" s="318" t="n">
        <v>0.005</v>
      </c>
      <c r="BR126" s="318" t="n">
        <v>0.45</v>
      </c>
      <c r="BS126" s="0" t="n">
        <v>0.02</v>
      </c>
      <c r="BT126" s="0" t="n">
        <v>0</v>
      </c>
      <c r="BU126" s="0" t="n">
        <v>0</v>
      </c>
      <c r="BV126" s="0" t="n">
        <v>0.03</v>
      </c>
    </row>
    <row r="127" customFormat="false" ht="12.75" hidden="false" customHeight="false" outlineLevel="0" collapsed="false">
      <c r="A127" s="320" t="e">
        <f aca="false">#REF!-B127</f>
        <v>#REF!</v>
      </c>
      <c r="B127" s="320" t="n">
        <v>3.378</v>
      </c>
      <c r="C127" s="327" t="n">
        <f aca="false">EOMONTH(C126,0)+1</f>
        <v>40969</v>
      </c>
      <c r="D127" s="0" t="n">
        <f aca="false">D115+0.05</f>
        <v>3.65</v>
      </c>
      <c r="E127" s="320" t="n">
        <v>0.175</v>
      </c>
      <c r="F127" s="318" t="n">
        <v>0.0592942989032874</v>
      </c>
      <c r="G127" s="318" t="n">
        <v>-0.1275</v>
      </c>
      <c r="H127" s="318" t="n">
        <v>-0.1475</v>
      </c>
      <c r="I127" s="330" t="n">
        <v>0.01</v>
      </c>
      <c r="J127" s="330" t="n">
        <v>-0.13</v>
      </c>
      <c r="K127" s="318" t="n">
        <v>0.02</v>
      </c>
      <c r="L127" s="318" t="n">
        <v>-0.0435</v>
      </c>
      <c r="M127" s="318" t="n">
        <v>-0.0785</v>
      </c>
      <c r="N127" s="318" t="n">
        <v>-0.1175</v>
      </c>
      <c r="O127" s="318" t="n">
        <v>-0.1175</v>
      </c>
      <c r="P127" s="318" t="n">
        <v>-0.1275</v>
      </c>
      <c r="Q127" s="318" t="n">
        <v>-0.08175</v>
      </c>
      <c r="R127" s="318" t="n">
        <v>-0.0435</v>
      </c>
      <c r="S127" s="318" t="n">
        <v>0.155</v>
      </c>
      <c r="T127" s="318" t="n">
        <v>0.175</v>
      </c>
      <c r="U127" s="318" t="n">
        <v>0.13</v>
      </c>
      <c r="V127" s="318" t="n">
        <v>0.5</v>
      </c>
      <c r="W127" s="318" t="n">
        <v>0.235</v>
      </c>
      <c r="X127" s="318" t="n">
        <v>0.34</v>
      </c>
      <c r="Y127" s="318" t="n">
        <v>-0.011</v>
      </c>
      <c r="Z127" s="318" t="n">
        <v>-0.0305</v>
      </c>
      <c r="AA127" s="318" t="n">
        <v>0.0095</v>
      </c>
      <c r="AB127" s="318" t="n">
        <v>-0.008</v>
      </c>
      <c r="AC127" s="318" t="n">
        <v>0.0025</v>
      </c>
      <c r="AD127" s="318" t="n">
        <v>-0.0225</v>
      </c>
      <c r="AE127" s="318" t="n">
        <v>-0.075</v>
      </c>
      <c r="AF127" s="318" t="n">
        <v>-0.0555</v>
      </c>
      <c r="AG127" s="318" t="n">
        <v>-0.078</v>
      </c>
      <c r="AH127" s="318" t="n">
        <v>-0.008499999</v>
      </c>
      <c r="AI127" s="318" t="n">
        <v>-0.064</v>
      </c>
      <c r="AJ127" s="318" t="n">
        <v>-0.12</v>
      </c>
      <c r="AK127" s="318" t="n">
        <v>-0.008999999</v>
      </c>
      <c r="AL127" s="318" t="n">
        <v>0.031</v>
      </c>
      <c r="AM127" s="318" t="n">
        <v>1.6</v>
      </c>
      <c r="AN127" s="318" t="n">
        <v>-0.03</v>
      </c>
      <c r="AO127" s="318" t="n">
        <v>-0.34</v>
      </c>
      <c r="AP127" s="318" t="n">
        <v>-0.07</v>
      </c>
      <c r="AQ127" s="318" t="n">
        <v>-0.13</v>
      </c>
      <c r="AR127" s="318" t="n">
        <v>0.248</v>
      </c>
      <c r="AS127" s="318" t="n">
        <v>-0.26</v>
      </c>
      <c r="AT127" s="318" t="n">
        <v>0</v>
      </c>
      <c r="AU127" s="318" t="n">
        <v>0.35</v>
      </c>
      <c r="AV127" s="318" t="n">
        <v>-0.34</v>
      </c>
      <c r="AW127" s="318" t="n">
        <v>-0.1735</v>
      </c>
      <c r="AX127" s="318" t="n">
        <v>-0.06</v>
      </c>
      <c r="AY127" s="318" t="n">
        <v>-0.1135</v>
      </c>
      <c r="AZ127" s="318" t="n">
        <v>-0.0435</v>
      </c>
      <c r="BA127" s="318" t="n">
        <v>-0.099</v>
      </c>
      <c r="BB127" s="318" t="n">
        <v>-0.0135</v>
      </c>
      <c r="BC127" s="318" t="n">
        <v>-0.0635</v>
      </c>
      <c r="BD127" s="318" t="n">
        <v>-0.06</v>
      </c>
      <c r="BE127" s="318" t="n">
        <v>-0.075</v>
      </c>
      <c r="BF127" s="318" t="n">
        <v>0</v>
      </c>
      <c r="BG127" s="318" t="n">
        <v>0.17</v>
      </c>
      <c r="BH127" s="318" t="n">
        <v>0.175</v>
      </c>
      <c r="BI127" s="318" t="n">
        <v>0.155</v>
      </c>
      <c r="BJ127" s="318" t="n">
        <v>1.04</v>
      </c>
      <c r="BK127" s="318" t="n">
        <v>0.0025</v>
      </c>
      <c r="BL127" s="318" t="n">
        <v>-0.025</v>
      </c>
      <c r="BM127" s="318" t="n">
        <v>0.005</v>
      </c>
      <c r="BN127" s="318" t="n">
        <v>0</v>
      </c>
      <c r="BO127" s="318" t="n">
        <v>0</v>
      </c>
      <c r="BP127" s="318" t="n">
        <v>0.005</v>
      </c>
      <c r="BQ127" s="318" t="n">
        <v>0.005</v>
      </c>
      <c r="BR127" s="318" t="n">
        <v>0.45</v>
      </c>
      <c r="BS127" s="0" t="n">
        <v>0.02</v>
      </c>
      <c r="BT127" s="0" t="n">
        <v>0</v>
      </c>
      <c r="BU127" s="0" t="n">
        <v>0</v>
      </c>
      <c r="BV127" s="0" t="n">
        <v>0.03</v>
      </c>
    </row>
    <row r="128" customFormat="false" ht="12.75" hidden="false" customHeight="false" outlineLevel="0" collapsed="false">
      <c r="A128" s="320" t="e">
        <f aca="false">#REF!-B128</f>
        <v>#REF!</v>
      </c>
      <c r="B128" s="320" t="n">
        <v>3.361</v>
      </c>
      <c r="C128" s="327" t="n">
        <f aca="false">EOMONTH(C127,0)+1</f>
        <v>41000</v>
      </c>
      <c r="D128" s="0" t="n">
        <f aca="false">D116+0.05</f>
        <v>3.431</v>
      </c>
      <c r="E128" s="320" t="n">
        <v>0.17</v>
      </c>
      <c r="F128" s="318" t="n">
        <v>0.0593352994824756</v>
      </c>
      <c r="G128" s="318" t="n">
        <v>-0.125</v>
      </c>
      <c r="H128" s="318" t="n">
        <v>-0.145</v>
      </c>
      <c r="I128" s="330" t="n">
        <v>-0.01</v>
      </c>
      <c r="J128" s="330" t="n">
        <v>-0.13</v>
      </c>
      <c r="K128" s="318" t="n">
        <v>0</v>
      </c>
      <c r="L128" s="318" t="n">
        <v>-0.0435</v>
      </c>
      <c r="M128" s="318" t="n">
        <v>-0.0785</v>
      </c>
      <c r="N128" s="318" t="n">
        <v>-0.115</v>
      </c>
      <c r="O128" s="318" t="n">
        <v>-0.115</v>
      </c>
      <c r="P128" s="318" t="n">
        <v>-0.125</v>
      </c>
      <c r="Q128" s="318" t="n">
        <v>-0.0755</v>
      </c>
      <c r="R128" s="318" t="n">
        <v>-0.0435</v>
      </c>
      <c r="S128" s="318" t="n">
        <v>0.155</v>
      </c>
      <c r="T128" s="318" t="n">
        <v>0.175</v>
      </c>
      <c r="U128" s="318" t="n">
        <v>0.13</v>
      </c>
      <c r="V128" s="318" t="n">
        <v>0.5</v>
      </c>
      <c r="W128" s="318" t="n">
        <v>0.195</v>
      </c>
      <c r="X128" s="318" t="n">
        <v>0.29</v>
      </c>
      <c r="Y128" s="318" t="n">
        <v>-0.011</v>
      </c>
      <c r="Z128" s="318" t="n">
        <v>-0.0305</v>
      </c>
      <c r="AA128" s="318" t="n">
        <v>0.017</v>
      </c>
      <c r="AB128" s="318" t="n">
        <v>0.000499999999999997</v>
      </c>
      <c r="AC128" s="318" t="n">
        <v>0.0025</v>
      </c>
      <c r="AD128" s="318" t="n">
        <v>-0.0225</v>
      </c>
      <c r="AE128" s="318" t="n">
        <v>-0.075</v>
      </c>
      <c r="AF128" s="318" t="n">
        <v>-0.0555</v>
      </c>
      <c r="AG128" s="318" t="n">
        <v>-0.078</v>
      </c>
      <c r="AH128" s="318" t="n">
        <v>-0.008499999</v>
      </c>
      <c r="AI128" s="318" t="n">
        <v>-0.064</v>
      </c>
      <c r="AJ128" s="318" t="n">
        <v>-0.1075</v>
      </c>
      <c r="AK128" s="318" t="n">
        <v>-0.008999999</v>
      </c>
      <c r="AL128" s="318" t="n">
        <v>0.031</v>
      </c>
      <c r="AM128" s="318" t="n">
        <v>0.64</v>
      </c>
      <c r="AN128" s="318" t="n">
        <v>-0.0175</v>
      </c>
      <c r="AO128" s="318" t="n">
        <v>-0.34</v>
      </c>
      <c r="AP128" s="318" t="n">
        <v>-0.07</v>
      </c>
      <c r="AQ128" s="318" t="n">
        <v>-0.13</v>
      </c>
      <c r="AR128" s="318" t="n">
        <v>0.068</v>
      </c>
      <c r="AS128" s="318" t="n">
        <v>-0.26</v>
      </c>
      <c r="AT128" s="318" t="n">
        <v>0</v>
      </c>
      <c r="AU128" s="318" t="n">
        <v>0.35</v>
      </c>
      <c r="AV128" s="318" t="n">
        <v>-0.34</v>
      </c>
      <c r="AW128" s="318" t="n">
        <v>-0.1635</v>
      </c>
      <c r="AX128" s="318" t="n">
        <v>-0.06</v>
      </c>
      <c r="AY128" s="318" t="n">
        <v>-0.1035</v>
      </c>
      <c r="AZ128" s="318" t="n">
        <v>-0.0435</v>
      </c>
      <c r="BA128" s="318" t="n">
        <v>-0.099</v>
      </c>
      <c r="BB128" s="318" t="n">
        <v>-0.0135</v>
      </c>
      <c r="BC128" s="318" t="n">
        <v>-0.0635</v>
      </c>
      <c r="BD128" s="318" t="n">
        <v>-0.0475</v>
      </c>
      <c r="BE128" s="318" t="n">
        <v>-0.075</v>
      </c>
      <c r="BF128" s="318" t="n">
        <v>0</v>
      </c>
      <c r="BG128" s="318" t="n">
        <v>0.17</v>
      </c>
      <c r="BH128" s="318" t="n">
        <v>0.175</v>
      </c>
      <c r="BI128" s="318" t="n">
        <v>0.155</v>
      </c>
      <c r="BJ128" s="318" t="n">
        <v>0.54</v>
      </c>
      <c r="BK128" s="318" t="n">
        <v>0.0025</v>
      </c>
      <c r="BL128" s="318" t="n">
        <v>-0.02</v>
      </c>
      <c r="BM128" s="318" t="n">
        <v>0.005</v>
      </c>
      <c r="BN128" s="318" t="n">
        <v>0</v>
      </c>
      <c r="BO128" s="318" t="n">
        <v>0</v>
      </c>
      <c r="BP128" s="318" t="n">
        <v>0.005</v>
      </c>
      <c r="BQ128" s="318" t="n">
        <v>0.005</v>
      </c>
      <c r="BR128" s="318" t="n">
        <v>0.1</v>
      </c>
      <c r="BS128" s="0" t="n">
        <v>0.02</v>
      </c>
      <c r="BT128" s="0" t="n">
        <v>0</v>
      </c>
      <c r="BU128" s="0" t="n">
        <v>0</v>
      </c>
      <c r="BV128" s="0" t="n">
        <v>0.03</v>
      </c>
    </row>
    <row r="129" customFormat="false" ht="12.75" hidden="false" customHeight="false" outlineLevel="0" collapsed="false">
      <c r="A129" s="320" t="e">
        <f aca="false">#REF!-B129</f>
        <v>#REF!</v>
      </c>
      <c r="B129" s="320" t="n">
        <v>3.372</v>
      </c>
      <c r="C129" s="327" t="n">
        <f aca="false">EOMONTH(C128,0)+1</f>
        <v>41030</v>
      </c>
      <c r="D129" s="0" t="n">
        <f aca="false">D117+0.05</f>
        <v>3.434</v>
      </c>
      <c r="E129" s="320" t="n">
        <v>0.17</v>
      </c>
      <c r="F129" s="318" t="n">
        <v>0.059379127688433</v>
      </c>
      <c r="G129" s="318" t="n">
        <v>-0.13</v>
      </c>
      <c r="H129" s="318" t="n">
        <v>-0.15</v>
      </c>
      <c r="I129" s="330" t="n">
        <v>-0.09</v>
      </c>
      <c r="J129" s="330" t="n">
        <v>-0.13</v>
      </c>
      <c r="K129" s="318" t="n">
        <v>-0.09</v>
      </c>
      <c r="L129" s="318" t="n">
        <v>-0.041</v>
      </c>
      <c r="M129" s="318" t="n">
        <v>-0.061</v>
      </c>
      <c r="N129" s="318" t="n">
        <v>-0.12</v>
      </c>
      <c r="O129" s="318" t="n">
        <v>-0.12</v>
      </c>
      <c r="P129" s="318" t="n">
        <v>-0.13</v>
      </c>
      <c r="Q129" s="318" t="n">
        <v>-0.0555</v>
      </c>
      <c r="R129" s="318" t="n">
        <v>-0.041</v>
      </c>
      <c r="S129" s="318" t="n">
        <v>0.125</v>
      </c>
      <c r="T129" s="318" t="n">
        <v>0.145</v>
      </c>
      <c r="U129" s="318" t="n">
        <v>0.04</v>
      </c>
      <c r="V129" s="318" t="n">
        <v>0.5</v>
      </c>
      <c r="W129" s="318" t="n">
        <v>0.145</v>
      </c>
      <c r="X129" s="318" t="n">
        <v>0.195</v>
      </c>
      <c r="Y129" s="318" t="n">
        <v>-0.0135</v>
      </c>
      <c r="Z129" s="318" t="n">
        <v>-0.0455</v>
      </c>
      <c r="AA129" s="318" t="n">
        <v>0.017</v>
      </c>
      <c r="AB129" s="318" t="n">
        <v>0.000499999999999997</v>
      </c>
      <c r="AC129" s="318" t="n">
        <v>0.0025</v>
      </c>
      <c r="AD129" s="318" t="n">
        <v>-0.0225</v>
      </c>
      <c r="AE129" s="318" t="n">
        <v>-0.0725</v>
      </c>
      <c r="AF129" s="318" t="n">
        <v>-0.053</v>
      </c>
      <c r="AG129" s="318" t="n">
        <v>-0.0755</v>
      </c>
      <c r="AH129" s="318" t="n">
        <v>-0.0135</v>
      </c>
      <c r="AI129" s="318" t="n">
        <v>-0.072</v>
      </c>
      <c r="AJ129" s="318" t="n">
        <v>-0.07</v>
      </c>
      <c r="AK129" s="318" t="n">
        <v>-0.017</v>
      </c>
      <c r="AL129" s="318" t="n">
        <v>0.023</v>
      </c>
      <c r="AM129" s="318" t="n">
        <v>0.38</v>
      </c>
      <c r="AN129" s="318" t="n">
        <v>0.02</v>
      </c>
      <c r="AO129" s="318" t="n">
        <v>-0.45</v>
      </c>
      <c r="AP129" s="318" t="n">
        <v>-0.07</v>
      </c>
      <c r="AQ129" s="318" t="n">
        <v>-0.195</v>
      </c>
      <c r="AR129" s="318" t="n">
        <v>-0.25</v>
      </c>
      <c r="AS129" s="318" t="n">
        <v>-0.37</v>
      </c>
      <c r="AT129" s="318" t="n">
        <v>0</v>
      </c>
      <c r="AU129" s="318" t="n">
        <v>0.43</v>
      </c>
      <c r="AV129" s="318" t="n">
        <v>-0.45</v>
      </c>
      <c r="AW129" s="318" t="n">
        <v>-0.204</v>
      </c>
      <c r="AX129" s="318" t="n">
        <v>-0.06</v>
      </c>
      <c r="AY129" s="318" t="n">
        <v>-0.144</v>
      </c>
      <c r="AZ129" s="318" t="n">
        <v>-0.041</v>
      </c>
      <c r="BA129" s="318" t="n">
        <v>-0.1215</v>
      </c>
      <c r="BB129" s="318" t="n">
        <v>-0.0135</v>
      </c>
      <c r="BC129" s="318" t="n">
        <v>-0.046</v>
      </c>
      <c r="BD129" s="318" t="n">
        <v>-0.01</v>
      </c>
      <c r="BE129" s="318" t="n">
        <v>-0.0725</v>
      </c>
      <c r="BF129" s="318" t="n">
        <v>0</v>
      </c>
      <c r="BG129" s="318" t="n">
        <v>0.14</v>
      </c>
      <c r="BH129" s="318" t="n">
        <v>0.145</v>
      </c>
      <c r="BI129" s="318" t="n">
        <v>0.125</v>
      </c>
      <c r="BJ129" s="318" t="n">
        <v>0.36</v>
      </c>
      <c r="BK129" s="318" t="n">
        <v>0.0025</v>
      </c>
      <c r="BL129" s="318" t="n">
        <v>-0.015</v>
      </c>
      <c r="BM129" s="318" t="n">
        <v>0.005</v>
      </c>
      <c r="BN129" s="318" t="n">
        <v>-0.01</v>
      </c>
      <c r="BO129" s="318" t="n">
        <v>0</v>
      </c>
      <c r="BP129" s="318" t="n">
        <v>0.005</v>
      </c>
      <c r="BQ129" s="318" t="n">
        <v>0.0025</v>
      </c>
      <c r="BR129" s="318" t="n">
        <v>0.02</v>
      </c>
      <c r="BS129" s="0" t="n">
        <v>0.005</v>
      </c>
      <c r="BT129" s="0" t="n">
        <v>0</v>
      </c>
      <c r="BU129" s="0" t="n">
        <v>0</v>
      </c>
      <c r="BV129" s="0" t="n">
        <v>0.03</v>
      </c>
    </row>
    <row r="130" customFormat="false" ht="12.75" hidden="false" customHeight="false" outlineLevel="0" collapsed="false">
      <c r="A130" s="320" t="e">
        <f aca="false">#REF!-B130</f>
        <v>#REF!</v>
      </c>
      <c r="B130" s="320" t="n">
        <v>3.449</v>
      </c>
      <c r="C130" s="327" t="n">
        <f aca="false">EOMONTH(C129,0)+1</f>
        <v>41061</v>
      </c>
      <c r="D130" s="0" t="n">
        <f aca="false">D118+0.05</f>
        <v>3.474</v>
      </c>
      <c r="E130" s="320" t="n">
        <v>0.17</v>
      </c>
      <c r="F130" s="318" t="n">
        <v>0.0594215420819029</v>
      </c>
      <c r="G130" s="318" t="n">
        <v>-0.13</v>
      </c>
      <c r="H130" s="318" t="n">
        <v>-0.15</v>
      </c>
      <c r="I130" s="330" t="n">
        <v>-0.09</v>
      </c>
      <c r="J130" s="330" t="n">
        <v>-0.13</v>
      </c>
      <c r="K130" s="318" t="n">
        <v>-0.09</v>
      </c>
      <c r="L130" s="318" t="n">
        <v>-0.041</v>
      </c>
      <c r="M130" s="318" t="n">
        <v>-0.061</v>
      </c>
      <c r="N130" s="318" t="n">
        <v>-0.12</v>
      </c>
      <c r="O130" s="318" t="n">
        <v>-0.12</v>
      </c>
      <c r="P130" s="318" t="n">
        <v>-0.13</v>
      </c>
      <c r="Q130" s="318" t="n">
        <v>-0.0555</v>
      </c>
      <c r="R130" s="318" t="n">
        <v>-0.041</v>
      </c>
      <c r="S130" s="318" t="n">
        <v>0.125</v>
      </c>
      <c r="T130" s="318" t="n">
        <v>0.145</v>
      </c>
      <c r="U130" s="318" t="n">
        <v>0.04</v>
      </c>
      <c r="V130" s="318" t="n">
        <v>0.5</v>
      </c>
      <c r="W130" s="318" t="n">
        <v>0.125</v>
      </c>
      <c r="X130" s="318" t="n">
        <v>0.135</v>
      </c>
      <c r="Y130" s="318" t="n">
        <v>-0.0135</v>
      </c>
      <c r="Z130" s="318" t="n">
        <v>-0.0455</v>
      </c>
      <c r="AA130" s="318" t="n">
        <v>0.0195</v>
      </c>
      <c r="AB130" s="318" t="n">
        <v>0.002</v>
      </c>
      <c r="AC130" s="318" t="n">
        <v>0.0025</v>
      </c>
      <c r="AD130" s="318" t="n">
        <v>-0.0225</v>
      </c>
      <c r="AE130" s="318" t="n">
        <v>-0.0725</v>
      </c>
      <c r="AF130" s="318" t="n">
        <v>-0.053</v>
      </c>
      <c r="AG130" s="318" t="n">
        <v>-0.0755</v>
      </c>
      <c r="AH130" s="318" t="n">
        <v>-0.0135</v>
      </c>
      <c r="AI130" s="318" t="n">
        <v>-0.072</v>
      </c>
      <c r="AJ130" s="318" t="n">
        <v>-0.07</v>
      </c>
      <c r="AK130" s="318" t="n">
        <v>-0.017</v>
      </c>
      <c r="AL130" s="318" t="n">
        <v>0.023</v>
      </c>
      <c r="AM130" s="318" t="n">
        <v>0.33</v>
      </c>
      <c r="AN130" s="318" t="n">
        <v>0.02</v>
      </c>
      <c r="AO130" s="318" t="n">
        <v>-0.45</v>
      </c>
      <c r="AP130" s="318" t="n">
        <v>-0.07</v>
      </c>
      <c r="AQ130" s="318" t="n">
        <v>-0.195</v>
      </c>
      <c r="AR130" s="318" t="n">
        <v>-0.1</v>
      </c>
      <c r="AS130" s="318" t="n">
        <v>-0.37</v>
      </c>
      <c r="AT130" s="318" t="n">
        <v>0</v>
      </c>
      <c r="AU130" s="318" t="n">
        <v>0.43</v>
      </c>
      <c r="AV130" s="318" t="n">
        <v>-0.45</v>
      </c>
      <c r="AW130" s="318" t="n">
        <v>-0.1815</v>
      </c>
      <c r="AX130" s="318" t="n">
        <v>-0.06</v>
      </c>
      <c r="AY130" s="318" t="n">
        <v>-0.1215</v>
      </c>
      <c r="AZ130" s="318" t="n">
        <v>-0.041</v>
      </c>
      <c r="BA130" s="318" t="n">
        <v>-0.114</v>
      </c>
      <c r="BB130" s="318" t="n">
        <v>-0.0135</v>
      </c>
      <c r="BC130" s="318" t="n">
        <v>-0.046</v>
      </c>
      <c r="BD130" s="318" t="n">
        <v>-0.01</v>
      </c>
      <c r="BE130" s="318" t="n">
        <v>-0.0725</v>
      </c>
      <c r="BF130" s="318" t="n">
        <v>0</v>
      </c>
      <c r="BG130" s="318" t="n">
        <v>0.14</v>
      </c>
      <c r="BH130" s="318" t="n">
        <v>0.145</v>
      </c>
      <c r="BI130" s="318" t="n">
        <v>0.125</v>
      </c>
      <c r="BJ130" s="318" t="n">
        <v>0.325</v>
      </c>
      <c r="BK130" s="318" t="n">
        <v>0.0025</v>
      </c>
      <c r="BL130" s="318" t="n">
        <v>-0.015</v>
      </c>
      <c r="BM130" s="318" t="n">
        <v>0.005</v>
      </c>
      <c r="BN130" s="318" t="n">
        <v>-0.01</v>
      </c>
      <c r="BO130" s="318" t="n">
        <v>0</v>
      </c>
      <c r="BP130" s="318" t="n">
        <v>0.005</v>
      </c>
      <c r="BQ130" s="318" t="n">
        <v>0.0025</v>
      </c>
      <c r="BR130" s="318" t="n">
        <v>0.02</v>
      </c>
      <c r="BS130" s="0" t="n">
        <v>0.005</v>
      </c>
      <c r="BT130" s="0" t="n">
        <v>0</v>
      </c>
      <c r="BU130" s="0" t="n">
        <v>0</v>
      </c>
      <c r="BV130" s="0" t="n">
        <v>0.03</v>
      </c>
    </row>
    <row r="131" customFormat="false" ht="12.75" hidden="false" customHeight="false" outlineLevel="0" collapsed="false">
      <c r="A131" s="320" t="e">
        <f aca="false">#REF!-B131</f>
        <v>#REF!</v>
      </c>
      <c r="B131" s="320" t="n">
        <v>3.537</v>
      </c>
      <c r="C131" s="327" t="n">
        <f aca="false">EOMONTH(C130,0)+1</f>
        <v>41091</v>
      </c>
      <c r="D131" s="0" t="n">
        <f aca="false">D119+0.05</f>
        <v>3.514</v>
      </c>
      <c r="E131" s="320" t="n">
        <v>0.17</v>
      </c>
      <c r="F131" s="318" t="n">
        <v>0.0594653702891166</v>
      </c>
      <c r="G131" s="318" t="n">
        <v>-0.13</v>
      </c>
      <c r="H131" s="318" t="n">
        <v>-0.15</v>
      </c>
      <c r="I131" s="330" t="n">
        <v>-0.09</v>
      </c>
      <c r="J131" s="330" t="n">
        <v>-0.13</v>
      </c>
      <c r="K131" s="318" t="n">
        <v>-0.09</v>
      </c>
      <c r="L131" s="318" t="n">
        <v>-0.041</v>
      </c>
      <c r="M131" s="318" t="n">
        <v>-0.061</v>
      </c>
      <c r="N131" s="318" t="n">
        <v>-0.12</v>
      </c>
      <c r="O131" s="318" t="n">
        <v>-0.12</v>
      </c>
      <c r="P131" s="318" t="n">
        <v>-0.13</v>
      </c>
      <c r="Q131" s="318" t="n">
        <v>-0.053</v>
      </c>
      <c r="R131" s="318" t="n">
        <v>-0.041</v>
      </c>
      <c r="S131" s="318" t="n">
        <v>0.125</v>
      </c>
      <c r="T131" s="318" t="n">
        <v>0.145</v>
      </c>
      <c r="U131" s="318" t="n">
        <v>0.04</v>
      </c>
      <c r="V131" s="318" t="n">
        <v>0.5</v>
      </c>
      <c r="W131" s="318" t="n">
        <v>0.145</v>
      </c>
      <c r="X131" s="318" t="n">
        <v>0.165</v>
      </c>
      <c r="Y131" s="318" t="n">
        <v>-0.0135</v>
      </c>
      <c r="Z131" s="318" t="n">
        <v>-0.043</v>
      </c>
      <c r="AA131" s="318" t="n">
        <v>0.0195</v>
      </c>
      <c r="AB131" s="318" t="n">
        <v>0.002</v>
      </c>
      <c r="AC131" s="318" t="n">
        <v>0.0025</v>
      </c>
      <c r="AD131" s="318" t="n">
        <v>-0.0225</v>
      </c>
      <c r="AE131" s="318" t="n">
        <v>-0.0725</v>
      </c>
      <c r="AF131" s="318" t="n">
        <v>-0.053</v>
      </c>
      <c r="AG131" s="318" t="n">
        <v>-0.0755</v>
      </c>
      <c r="AH131" s="318" t="n">
        <v>-0.0135</v>
      </c>
      <c r="AI131" s="318" t="n">
        <v>-0.072</v>
      </c>
      <c r="AJ131" s="318" t="n">
        <v>-0.065</v>
      </c>
      <c r="AK131" s="318" t="n">
        <v>-0.017</v>
      </c>
      <c r="AL131" s="318" t="n">
        <v>0.023</v>
      </c>
      <c r="AM131" s="318" t="n">
        <v>0.37</v>
      </c>
      <c r="AN131" s="318" t="n">
        <v>0.025</v>
      </c>
      <c r="AO131" s="318" t="n">
        <v>-0.45</v>
      </c>
      <c r="AP131" s="318" t="n">
        <v>-0.07</v>
      </c>
      <c r="AQ131" s="318" t="n">
        <v>-0.195</v>
      </c>
      <c r="AR131" s="318" t="n">
        <v>-0.1</v>
      </c>
      <c r="AS131" s="318" t="n">
        <v>-0.37</v>
      </c>
      <c r="AT131" s="318" t="n">
        <v>0</v>
      </c>
      <c r="AU131" s="318" t="n">
        <v>0.43</v>
      </c>
      <c r="AV131" s="318" t="n">
        <v>-0.45</v>
      </c>
      <c r="AW131" s="318" t="n">
        <v>-0.129</v>
      </c>
      <c r="AX131" s="318" t="n">
        <v>-0.06</v>
      </c>
      <c r="AY131" s="318" t="n">
        <v>-0.069</v>
      </c>
      <c r="AZ131" s="318" t="n">
        <v>-0.041</v>
      </c>
      <c r="BA131" s="318" t="n">
        <v>-0.0715</v>
      </c>
      <c r="BB131" s="318" t="n">
        <v>-0.0135</v>
      </c>
      <c r="BC131" s="318" t="n">
        <v>-0.046</v>
      </c>
      <c r="BD131" s="318" t="n">
        <v>-0.005</v>
      </c>
      <c r="BE131" s="318" t="n">
        <v>-0.0725</v>
      </c>
      <c r="BF131" s="318" t="n">
        <v>0</v>
      </c>
      <c r="BG131" s="318" t="n">
        <v>0.14</v>
      </c>
      <c r="BH131" s="318" t="n">
        <v>0.145</v>
      </c>
      <c r="BI131" s="318" t="n">
        <v>0.125</v>
      </c>
      <c r="BJ131" s="318" t="n">
        <v>0.335</v>
      </c>
      <c r="BK131" s="318" t="n">
        <v>0.0025</v>
      </c>
      <c r="BL131" s="318" t="n">
        <v>-0.015</v>
      </c>
      <c r="BM131" s="318" t="n">
        <v>0.005</v>
      </c>
      <c r="BN131" s="318" t="n">
        <v>-0.01</v>
      </c>
      <c r="BO131" s="318" t="n">
        <v>0</v>
      </c>
      <c r="BP131" s="318" t="n">
        <v>0.005</v>
      </c>
      <c r="BQ131" s="318" t="n">
        <v>0.0025</v>
      </c>
      <c r="BR131" s="318" t="n">
        <v>0.035</v>
      </c>
      <c r="BS131" s="0" t="n">
        <v>0.005</v>
      </c>
      <c r="BT131" s="0" t="n">
        <v>0</v>
      </c>
      <c r="BU131" s="0" t="n">
        <v>0</v>
      </c>
      <c r="BV131" s="0" t="n">
        <v>0.03</v>
      </c>
    </row>
    <row r="132" customFormat="false" ht="12.75" hidden="false" customHeight="false" outlineLevel="0" collapsed="false">
      <c r="A132" s="320" t="e">
        <f aca="false">#REF!-B132</f>
        <v>#REF!</v>
      </c>
      <c r="B132" s="320" t="n">
        <v>3.799</v>
      </c>
      <c r="C132" s="327" t="n">
        <f aca="false">EOMONTH(C131,0)+1</f>
        <v>41122</v>
      </c>
      <c r="D132" s="0" t="n">
        <f aca="false">D120+0.05</f>
        <v>3.564</v>
      </c>
      <c r="E132" s="320" t="n">
        <v>0.17</v>
      </c>
      <c r="F132" s="318" t="n">
        <v>0.0595077846838019</v>
      </c>
      <c r="G132" s="318" t="n">
        <v>-0.13</v>
      </c>
      <c r="H132" s="318" t="n">
        <v>-0.15</v>
      </c>
      <c r="I132" s="330" t="n">
        <v>-0.09</v>
      </c>
      <c r="J132" s="330" t="n">
        <v>-0.13</v>
      </c>
      <c r="K132" s="318" t="n">
        <v>-0.09</v>
      </c>
      <c r="L132" s="318" t="n">
        <v>-0.041</v>
      </c>
      <c r="M132" s="318" t="n">
        <v>-0.061</v>
      </c>
      <c r="N132" s="318" t="n">
        <v>-0.12</v>
      </c>
      <c r="O132" s="318" t="n">
        <v>-0.12</v>
      </c>
      <c r="P132" s="318" t="n">
        <v>-0.13</v>
      </c>
      <c r="Q132" s="318" t="n">
        <v>-0.05175</v>
      </c>
      <c r="R132" s="318" t="n">
        <v>-0.041</v>
      </c>
      <c r="S132" s="318" t="n">
        <v>0.125</v>
      </c>
      <c r="T132" s="318" t="n">
        <v>0.145</v>
      </c>
      <c r="U132" s="318" t="n">
        <v>0.04</v>
      </c>
      <c r="V132" s="318" t="n">
        <v>0.5</v>
      </c>
      <c r="W132" s="318" t="n">
        <v>0.15</v>
      </c>
      <c r="X132" s="318" t="n">
        <v>0.205</v>
      </c>
      <c r="Y132" s="318" t="n">
        <v>-0.0135</v>
      </c>
      <c r="Z132" s="318" t="n">
        <v>-0.043</v>
      </c>
      <c r="AA132" s="318" t="n">
        <v>0.0195</v>
      </c>
      <c r="AB132" s="318" t="n">
        <v>0.002</v>
      </c>
      <c r="AC132" s="318" t="n">
        <v>0.0025</v>
      </c>
      <c r="AD132" s="318" t="n">
        <v>-0.0225</v>
      </c>
      <c r="AE132" s="318" t="n">
        <v>-0.0725</v>
      </c>
      <c r="AF132" s="318" t="n">
        <v>-0.053</v>
      </c>
      <c r="AG132" s="318" t="n">
        <v>-0.0755</v>
      </c>
      <c r="AH132" s="318" t="n">
        <v>-0.0135</v>
      </c>
      <c r="AI132" s="318" t="n">
        <v>-0.072</v>
      </c>
      <c r="AJ132" s="318" t="n">
        <v>-0.0625</v>
      </c>
      <c r="AK132" s="318" t="n">
        <v>-0.017</v>
      </c>
      <c r="AL132" s="318" t="n">
        <v>0.023</v>
      </c>
      <c r="AM132" s="318" t="n">
        <v>0.41</v>
      </c>
      <c r="AN132" s="318" t="n">
        <v>0.0275</v>
      </c>
      <c r="AO132" s="318" t="n">
        <v>-0.45</v>
      </c>
      <c r="AP132" s="318" t="n">
        <v>-0.07</v>
      </c>
      <c r="AQ132" s="318" t="n">
        <v>-0.195</v>
      </c>
      <c r="AR132" s="318" t="n">
        <v>-0.1</v>
      </c>
      <c r="AS132" s="318" t="n">
        <v>-0.37</v>
      </c>
      <c r="AT132" s="318" t="n">
        <v>0</v>
      </c>
      <c r="AU132" s="318" t="n">
        <v>0.43</v>
      </c>
      <c r="AV132" s="318" t="n">
        <v>-0.45</v>
      </c>
      <c r="AW132" s="318" t="n">
        <v>-0.139</v>
      </c>
      <c r="AX132" s="318" t="n">
        <v>-0.06</v>
      </c>
      <c r="AY132" s="318" t="n">
        <v>-0.079</v>
      </c>
      <c r="AZ132" s="318" t="n">
        <v>-0.041</v>
      </c>
      <c r="BA132" s="318" t="n">
        <v>-0.069</v>
      </c>
      <c r="BB132" s="318" t="n">
        <v>-0.0135</v>
      </c>
      <c r="BC132" s="318" t="n">
        <v>-0.046</v>
      </c>
      <c r="BD132" s="318" t="n">
        <v>-0.0025</v>
      </c>
      <c r="BE132" s="318" t="n">
        <v>-0.0725</v>
      </c>
      <c r="BF132" s="318" t="n">
        <v>0</v>
      </c>
      <c r="BG132" s="318" t="n">
        <v>0.14</v>
      </c>
      <c r="BH132" s="318" t="n">
        <v>0.145</v>
      </c>
      <c r="BI132" s="318" t="n">
        <v>0.125</v>
      </c>
      <c r="BJ132" s="318" t="n">
        <v>0.35</v>
      </c>
      <c r="BK132" s="318" t="n">
        <v>0.0025</v>
      </c>
      <c r="BL132" s="318" t="n">
        <v>-0.01</v>
      </c>
      <c r="BM132" s="318" t="n">
        <v>0.005</v>
      </c>
      <c r="BN132" s="318" t="n">
        <v>-0.01</v>
      </c>
      <c r="BO132" s="318" t="n">
        <v>0</v>
      </c>
      <c r="BP132" s="318" t="n">
        <v>0.005</v>
      </c>
      <c r="BQ132" s="318" t="n">
        <v>0.0025</v>
      </c>
      <c r="BR132" s="318" t="n">
        <v>0.035</v>
      </c>
      <c r="BS132" s="0" t="n">
        <v>0.005</v>
      </c>
      <c r="BT132" s="0" t="n">
        <v>0</v>
      </c>
      <c r="BU132" s="0" t="n">
        <v>0</v>
      </c>
      <c r="BV132" s="0" t="n">
        <v>0.03</v>
      </c>
    </row>
    <row r="133" customFormat="false" ht="12.75" hidden="false" customHeight="false" outlineLevel="0" collapsed="false">
      <c r="A133" s="320" t="e">
        <f aca="false">#REF!-B133</f>
        <v>#REF!</v>
      </c>
      <c r="B133" s="320" t="n">
        <v>3.704</v>
      </c>
      <c r="C133" s="327" t="n">
        <f aca="false">EOMONTH(C132,0)+1</f>
        <v>41153</v>
      </c>
      <c r="D133" s="0" t="n">
        <f aca="false">D121+0.05</f>
        <v>3.549</v>
      </c>
      <c r="E133" s="320" t="n">
        <v>0.17</v>
      </c>
      <c r="F133" s="318" t="n">
        <v>0.059551612892272</v>
      </c>
      <c r="G133" s="318" t="n">
        <v>-0.13</v>
      </c>
      <c r="H133" s="318" t="n">
        <v>-0.15</v>
      </c>
      <c r="I133" s="330" t="n">
        <v>-0.09</v>
      </c>
      <c r="J133" s="330" t="n">
        <v>-0.13</v>
      </c>
      <c r="K133" s="318" t="n">
        <v>-0.09</v>
      </c>
      <c r="L133" s="318" t="n">
        <v>-0.041</v>
      </c>
      <c r="M133" s="318" t="n">
        <v>-0.061</v>
      </c>
      <c r="N133" s="318" t="n">
        <v>-0.12</v>
      </c>
      <c r="O133" s="318" t="n">
        <v>-0.12</v>
      </c>
      <c r="P133" s="318" t="n">
        <v>-0.13</v>
      </c>
      <c r="Q133" s="318" t="n">
        <v>-0.0505</v>
      </c>
      <c r="R133" s="318" t="n">
        <v>-0.041</v>
      </c>
      <c r="S133" s="318" t="n">
        <v>0.125</v>
      </c>
      <c r="T133" s="318" t="n">
        <v>0.145</v>
      </c>
      <c r="U133" s="318" t="n">
        <v>0.04</v>
      </c>
      <c r="V133" s="318" t="n">
        <v>0.5</v>
      </c>
      <c r="W133" s="318" t="n">
        <v>0.15</v>
      </c>
      <c r="X133" s="318" t="n">
        <v>0.205</v>
      </c>
      <c r="Y133" s="318" t="n">
        <v>-0.0135</v>
      </c>
      <c r="Z133" s="318" t="n">
        <v>-0.043</v>
      </c>
      <c r="AA133" s="318" t="n">
        <v>0.0145</v>
      </c>
      <c r="AB133" s="318" t="n">
        <v>-0.003</v>
      </c>
      <c r="AC133" s="318" t="n">
        <v>0.0025</v>
      </c>
      <c r="AD133" s="318" t="n">
        <v>-0.0225</v>
      </c>
      <c r="AE133" s="318" t="n">
        <v>-0.0725</v>
      </c>
      <c r="AF133" s="318" t="n">
        <v>-0.053</v>
      </c>
      <c r="AG133" s="318" t="n">
        <v>-0.0755</v>
      </c>
      <c r="AH133" s="318" t="n">
        <v>-0.0135</v>
      </c>
      <c r="AI133" s="318" t="n">
        <v>-0.072</v>
      </c>
      <c r="AJ133" s="318" t="n">
        <v>-0.06</v>
      </c>
      <c r="AK133" s="318" t="n">
        <v>-0.017</v>
      </c>
      <c r="AL133" s="318" t="n">
        <v>0.023</v>
      </c>
      <c r="AM133" s="318" t="n">
        <v>0.41</v>
      </c>
      <c r="AN133" s="318" t="n">
        <v>0.03</v>
      </c>
      <c r="AO133" s="318" t="n">
        <v>-0.45</v>
      </c>
      <c r="AP133" s="318" t="n">
        <v>-0.07</v>
      </c>
      <c r="AQ133" s="318" t="n">
        <v>-0.195</v>
      </c>
      <c r="AR133" s="318" t="n">
        <v>-0.1</v>
      </c>
      <c r="AS133" s="318" t="n">
        <v>-0.37</v>
      </c>
      <c r="AT133" s="318" t="n">
        <v>0</v>
      </c>
      <c r="AU133" s="318" t="n">
        <v>0.43</v>
      </c>
      <c r="AV133" s="318" t="n">
        <v>-0.45</v>
      </c>
      <c r="AW133" s="318" t="n">
        <v>-0.134</v>
      </c>
      <c r="AX133" s="318" t="n">
        <v>-0.06</v>
      </c>
      <c r="AY133" s="318" t="n">
        <v>-0.074</v>
      </c>
      <c r="AZ133" s="318" t="n">
        <v>-0.041</v>
      </c>
      <c r="BA133" s="318" t="n">
        <v>-0.0665</v>
      </c>
      <c r="BB133" s="318" t="n">
        <v>-0.0135</v>
      </c>
      <c r="BC133" s="318" t="n">
        <v>-0.046</v>
      </c>
      <c r="BD133" s="318" t="n">
        <v>0</v>
      </c>
      <c r="BE133" s="318" t="n">
        <v>-0.0725</v>
      </c>
      <c r="BF133" s="318" t="n">
        <v>0</v>
      </c>
      <c r="BG133" s="318" t="n">
        <v>0.14</v>
      </c>
      <c r="BH133" s="318" t="n">
        <v>0.145</v>
      </c>
      <c r="BI133" s="318" t="n">
        <v>0.125</v>
      </c>
      <c r="BJ133" s="318" t="n">
        <v>0.35</v>
      </c>
      <c r="BK133" s="318" t="n">
        <v>0.0025</v>
      </c>
      <c r="BL133" s="318" t="n">
        <v>-0.01</v>
      </c>
      <c r="BM133" s="318" t="n">
        <v>0.005</v>
      </c>
      <c r="BN133" s="318" t="n">
        <v>-0.01</v>
      </c>
      <c r="BO133" s="318" t="n">
        <v>0</v>
      </c>
      <c r="BP133" s="318" t="n">
        <v>0.005</v>
      </c>
      <c r="BQ133" s="318" t="n">
        <v>0.0025</v>
      </c>
      <c r="BR133" s="318" t="n">
        <v>0.01</v>
      </c>
      <c r="BS133" s="0" t="n">
        <v>0.005</v>
      </c>
      <c r="BT133" s="0" t="n">
        <v>0</v>
      </c>
      <c r="BU133" s="0" t="n">
        <v>0</v>
      </c>
      <c r="BV133" s="0" t="n">
        <v>0.03</v>
      </c>
    </row>
    <row r="134" customFormat="false" ht="12.75" hidden="false" customHeight="false" outlineLevel="0" collapsed="false">
      <c r="A134" s="320" t="e">
        <f aca="false">#REF!-B134</f>
        <v>#REF!</v>
      </c>
      <c r="B134" s="320" t="n">
        <v>3.57</v>
      </c>
      <c r="C134" s="327" t="n">
        <f aca="false">EOMONTH(C133,0)+1</f>
        <v>41183</v>
      </c>
      <c r="D134" s="0" t="n">
        <f aca="false">D122+0.05</f>
        <v>3.564</v>
      </c>
      <c r="E134" s="320" t="n">
        <v>0.17</v>
      </c>
      <c r="F134" s="318" t="n">
        <v>0.0595954411013802</v>
      </c>
      <c r="G134" s="318" t="n">
        <v>-0.13</v>
      </c>
      <c r="H134" s="318" t="n">
        <v>-0.15</v>
      </c>
      <c r="I134" s="330" t="n">
        <v>-0.09</v>
      </c>
      <c r="J134" s="330" t="n">
        <v>-0.13</v>
      </c>
      <c r="K134" s="318" t="n">
        <v>-0.09</v>
      </c>
      <c r="L134" s="318" t="n">
        <v>-0.041</v>
      </c>
      <c r="M134" s="318" t="n">
        <v>-0.061</v>
      </c>
      <c r="N134" s="318" t="n">
        <v>-0.12</v>
      </c>
      <c r="O134" s="318" t="n">
        <v>-0.12</v>
      </c>
      <c r="P134" s="318" t="n">
        <v>-0.13</v>
      </c>
      <c r="Q134" s="318" t="n">
        <v>-0.05425</v>
      </c>
      <c r="R134" s="318" t="n">
        <v>-0.041</v>
      </c>
      <c r="S134" s="318" t="n">
        <v>0.125</v>
      </c>
      <c r="T134" s="318" t="n">
        <v>0.145</v>
      </c>
      <c r="U134" s="318" t="n">
        <v>0.04</v>
      </c>
      <c r="V134" s="318" t="n">
        <v>0.5</v>
      </c>
      <c r="W134" s="318" t="n">
        <v>0.125</v>
      </c>
      <c r="X134" s="318" t="n">
        <v>0.145</v>
      </c>
      <c r="Y134" s="318" t="n">
        <v>-0.0135</v>
      </c>
      <c r="Z134" s="318" t="n">
        <v>-0.048</v>
      </c>
      <c r="AA134" s="318" t="n">
        <v>0.0145</v>
      </c>
      <c r="AB134" s="318" t="n">
        <v>-0.003</v>
      </c>
      <c r="AC134" s="318" t="n">
        <v>0.0025</v>
      </c>
      <c r="AD134" s="318" t="n">
        <v>-0.0225</v>
      </c>
      <c r="AE134" s="318" t="n">
        <v>-0.0725</v>
      </c>
      <c r="AF134" s="318" t="n">
        <v>-0.053</v>
      </c>
      <c r="AG134" s="318" t="n">
        <v>-0.0755</v>
      </c>
      <c r="AH134" s="318" t="n">
        <v>-0.0135</v>
      </c>
      <c r="AI134" s="318" t="n">
        <v>-0.072</v>
      </c>
      <c r="AJ134" s="318" t="n">
        <v>-0.0675</v>
      </c>
      <c r="AK134" s="318" t="n">
        <v>-0.017</v>
      </c>
      <c r="AL134" s="318" t="n">
        <v>0.023</v>
      </c>
      <c r="AM134" s="318" t="n">
        <v>0.36</v>
      </c>
      <c r="AN134" s="318" t="n">
        <v>0.0225</v>
      </c>
      <c r="AO134" s="318" t="n">
        <v>-0.45</v>
      </c>
      <c r="AP134" s="318" t="n">
        <v>-0.07</v>
      </c>
      <c r="AQ134" s="318" t="n">
        <v>-0.195</v>
      </c>
      <c r="AR134" s="318" t="n">
        <v>-0.1</v>
      </c>
      <c r="AS134" s="318" t="n">
        <v>-0.37</v>
      </c>
      <c r="AT134" s="318" t="n">
        <v>0</v>
      </c>
      <c r="AU134" s="318" t="n">
        <v>0.43</v>
      </c>
      <c r="AV134" s="318" t="n">
        <v>-0.45</v>
      </c>
      <c r="AW134" s="318" t="n">
        <v>-0.144</v>
      </c>
      <c r="AX134" s="318" t="n">
        <v>-0.06</v>
      </c>
      <c r="AY134" s="318" t="n">
        <v>-0.084</v>
      </c>
      <c r="AZ134" s="318" t="n">
        <v>-0.041</v>
      </c>
      <c r="BA134" s="318" t="n">
        <v>-0.0715</v>
      </c>
      <c r="BB134" s="318" t="n">
        <v>-0.0135</v>
      </c>
      <c r="BC134" s="318" t="n">
        <v>-0.046</v>
      </c>
      <c r="BD134" s="318" t="n">
        <v>-0.0075</v>
      </c>
      <c r="BE134" s="318" t="n">
        <v>-0.0725</v>
      </c>
      <c r="BF134" s="318" t="n">
        <v>0</v>
      </c>
      <c r="BG134" s="318" t="n">
        <v>0.14</v>
      </c>
      <c r="BH134" s="318" t="n">
        <v>0.145</v>
      </c>
      <c r="BI134" s="318" t="n">
        <v>0.125</v>
      </c>
      <c r="BJ134" s="318" t="n">
        <v>0.315</v>
      </c>
      <c r="BK134" s="318" t="n">
        <v>0.0025</v>
      </c>
      <c r="BL134" s="318" t="n">
        <v>-0.01</v>
      </c>
      <c r="BM134" s="318" t="n">
        <v>0.005</v>
      </c>
      <c r="BN134" s="318" t="n">
        <v>-0.01</v>
      </c>
      <c r="BO134" s="318" t="n">
        <v>0</v>
      </c>
      <c r="BP134" s="318" t="n">
        <v>0.005</v>
      </c>
      <c r="BQ134" s="318" t="n">
        <v>0.0025</v>
      </c>
      <c r="BR134" s="318" t="n">
        <v>0.01</v>
      </c>
      <c r="BS134" s="0" t="n">
        <v>0.005</v>
      </c>
      <c r="BT134" s="0" t="n">
        <v>0</v>
      </c>
      <c r="BU134" s="0" t="n">
        <v>0</v>
      </c>
      <c r="BV134" s="0" t="n">
        <v>0.03</v>
      </c>
    </row>
    <row r="135" customFormat="false" ht="12.75" hidden="false" customHeight="false" outlineLevel="0" collapsed="false">
      <c r="A135" s="320" t="e">
        <f aca="false">#REF!-B135</f>
        <v>#REF!</v>
      </c>
      <c r="B135" s="320" t="n">
        <v>3.439</v>
      </c>
      <c r="C135" s="327" t="n">
        <f aca="false">EOMONTH(C134,0)+1</f>
        <v>41214</v>
      </c>
      <c r="D135" s="0" t="n">
        <f aca="false">D123+0.05</f>
        <v>3.709</v>
      </c>
      <c r="E135" s="320" t="n">
        <v>0.17</v>
      </c>
      <c r="F135" s="318" t="n">
        <v>0.0596378554978991</v>
      </c>
      <c r="G135" s="318" t="n">
        <v>-0.13</v>
      </c>
      <c r="H135" s="318" t="n">
        <v>-0.15</v>
      </c>
      <c r="I135" s="330" t="n">
        <v>-0.09</v>
      </c>
      <c r="J135" s="330" t="n">
        <v>-0.13</v>
      </c>
      <c r="K135" s="318" t="n">
        <v>-0.09</v>
      </c>
      <c r="L135" s="318" t="n">
        <v>-0.041</v>
      </c>
      <c r="M135" s="318" t="n">
        <v>-0.061</v>
      </c>
      <c r="N135" s="318" t="n">
        <v>-0.12</v>
      </c>
      <c r="O135" s="318" t="n">
        <v>-0.12</v>
      </c>
      <c r="P135" s="318" t="n">
        <v>-0.13</v>
      </c>
      <c r="Q135" s="318" t="n">
        <v>-0.05925</v>
      </c>
      <c r="R135" s="318" t="n">
        <v>-0.041</v>
      </c>
      <c r="S135" s="318" t="n">
        <v>0.125</v>
      </c>
      <c r="T135" s="318" t="n">
        <v>0.145</v>
      </c>
      <c r="U135" s="318" t="n">
        <v>0.04</v>
      </c>
      <c r="V135" s="318" t="n">
        <v>0.5</v>
      </c>
      <c r="W135" s="318" t="n">
        <v>0.145</v>
      </c>
      <c r="X135" s="318" t="n">
        <v>0.175</v>
      </c>
      <c r="Y135" s="318" t="n">
        <v>-0.0135</v>
      </c>
      <c r="Z135" s="318" t="n">
        <v>-0.048</v>
      </c>
      <c r="AA135" s="318" t="n">
        <v>0.0095</v>
      </c>
      <c r="AB135" s="318" t="n">
        <v>-0.008</v>
      </c>
      <c r="AC135" s="318" t="n">
        <v>0.0025</v>
      </c>
      <c r="AD135" s="318" t="n">
        <v>-0.0225</v>
      </c>
      <c r="AE135" s="318" t="n">
        <v>-0.0725</v>
      </c>
      <c r="AF135" s="318" t="n">
        <v>-0.053</v>
      </c>
      <c r="AG135" s="318" t="n">
        <v>-0.0755</v>
      </c>
      <c r="AH135" s="318" t="n">
        <v>-0.0135</v>
      </c>
      <c r="AI135" s="318" t="n">
        <v>-0.072</v>
      </c>
      <c r="AJ135" s="318" t="n">
        <v>-0.0775</v>
      </c>
      <c r="AK135" s="318" t="n">
        <v>-0.017</v>
      </c>
      <c r="AL135" s="318" t="n">
        <v>0.023</v>
      </c>
      <c r="AM135" s="318" t="n">
        <v>0.4</v>
      </c>
      <c r="AN135" s="318" t="n">
        <v>0.0125</v>
      </c>
      <c r="AO135" s="318" t="n">
        <v>-0.45</v>
      </c>
      <c r="AP135" s="318" t="n">
        <v>-0.07</v>
      </c>
      <c r="AQ135" s="318" t="n">
        <v>-0.195</v>
      </c>
      <c r="AR135" s="318" t="n">
        <v>-0.1</v>
      </c>
      <c r="AS135" s="318" t="n">
        <v>-0.37</v>
      </c>
      <c r="AT135" s="318" t="n">
        <v>0</v>
      </c>
      <c r="AU135" s="318" t="n">
        <v>0.43</v>
      </c>
      <c r="AV135" s="318" t="n">
        <v>-0.45</v>
      </c>
      <c r="AW135" s="318" t="n">
        <v>-0.1315</v>
      </c>
      <c r="AX135" s="318" t="n">
        <v>-0.06</v>
      </c>
      <c r="AY135" s="318" t="n">
        <v>-0.0715</v>
      </c>
      <c r="AZ135" s="318" t="n">
        <v>-0.041</v>
      </c>
      <c r="BA135" s="318" t="n">
        <v>-0.074</v>
      </c>
      <c r="BB135" s="318" t="n">
        <v>-0.0135</v>
      </c>
      <c r="BC135" s="318" t="n">
        <v>-0.046</v>
      </c>
      <c r="BD135" s="318" t="n">
        <v>-0.0175</v>
      </c>
      <c r="BE135" s="318" t="n">
        <v>-0.0725</v>
      </c>
      <c r="BF135" s="318" t="n">
        <v>0</v>
      </c>
      <c r="BG135" s="318" t="n">
        <v>0.14</v>
      </c>
      <c r="BH135" s="318" t="n">
        <v>0.145</v>
      </c>
      <c r="BI135" s="318" t="n">
        <v>0.125</v>
      </c>
      <c r="BJ135" s="318" t="n">
        <v>0.36</v>
      </c>
      <c r="BK135" s="318" t="n">
        <v>0.0025</v>
      </c>
      <c r="BL135" s="318" t="n">
        <v>-0.015</v>
      </c>
      <c r="BM135" s="318" t="n">
        <v>0.005</v>
      </c>
      <c r="BN135" s="318" t="n">
        <v>-0.01</v>
      </c>
      <c r="BO135" s="318" t="n">
        <v>0</v>
      </c>
      <c r="BP135" s="318" t="n">
        <v>0.005</v>
      </c>
      <c r="BQ135" s="318" t="n">
        <v>0.0025</v>
      </c>
      <c r="BR135" s="318" t="n">
        <v>0.01</v>
      </c>
      <c r="BS135" s="0" t="n">
        <v>0.005</v>
      </c>
      <c r="BT135" s="0" t="n">
        <v>0</v>
      </c>
      <c r="BU135" s="0" t="n">
        <v>0</v>
      </c>
      <c r="BV135" s="0" t="n">
        <v>0.03</v>
      </c>
    </row>
    <row r="136" customFormat="false" ht="12.75" hidden="false" customHeight="false" outlineLevel="0" collapsed="false">
      <c r="A136" s="320" t="e">
        <f aca="false">#REF!-B136</f>
        <v>#REF!</v>
      </c>
      <c r="B136" s="320" t="n">
        <v>3.419</v>
      </c>
      <c r="C136" s="327" t="n">
        <f aca="false">EOMONTH(C135,0)+1</f>
        <v>41244</v>
      </c>
      <c r="D136" s="0" t="n">
        <f aca="false">D124+0.05</f>
        <v>3.844</v>
      </c>
      <c r="E136" s="320" t="n">
        <v>0.17</v>
      </c>
      <c r="F136" s="318" t="n">
        <v>0.0596816837082637</v>
      </c>
      <c r="G136" s="318" t="n">
        <v>-0.13</v>
      </c>
      <c r="H136" s="318" t="n">
        <v>-0.15</v>
      </c>
      <c r="I136" s="330" t="n">
        <v>-0.01</v>
      </c>
      <c r="J136" s="330" t="n">
        <v>-0.13</v>
      </c>
      <c r="K136" s="318" t="n">
        <v>0</v>
      </c>
      <c r="L136" s="318" t="n">
        <v>-0.0405</v>
      </c>
      <c r="M136" s="318" t="n">
        <v>-0.0755</v>
      </c>
      <c r="N136" s="318" t="n">
        <v>-0.12</v>
      </c>
      <c r="O136" s="318" t="n">
        <v>-0.12</v>
      </c>
      <c r="P136" s="318" t="n">
        <v>-0.13</v>
      </c>
      <c r="Q136" s="318" t="n">
        <v>-0.0765</v>
      </c>
      <c r="R136" s="318" t="n">
        <v>-0.0405</v>
      </c>
      <c r="S136" s="318" t="n">
        <v>0.155</v>
      </c>
      <c r="T136" s="318" t="n">
        <v>0.175</v>
      </c>
      <c r="U136" s="318" t="n">
        <v>0.13</v>
      </c>
      <c r="V136" s="318" t="n">
        <v>0.5</v>
      </c>
      <c r="W136" s="318" t="n">
        <v>0.195</v>
      </c>
      <c r="X136" s="318" t="n">
        <v>0.21</v>
      </c>
      <c r="Y136" s="318" t="n">
        <v>-0.011</v>
      </c>
      <c r="Z136" s="318" t="n">
        <v>-0.029</v>
      </c>
      <c r="AA136" s="318" t="n">
        <v>0.0105</v>
      </c>
      <c r="AB136" s="318" t="n">
        <v>-0.007</v>
      </c>
      <c r="AC136" s="318" t="n">
        <v>0.0025</v>
      </c>
      <c r="AD136" s="318" t="n">
        <v>-0.0225</v>
      </c>
      <c r="AE136" s="318" t="n">
        <v>-0.075</v>
      </c>
      <c r="AF136" s="318" t="n">
        <v>-0.0555</v>
      </c>
      <c r="AG136" s="318" t="n">
        <v>-0.078</v>
      </c>
      <c r="AH136" s="318" t="n">
        <v>-0.009999999</v>
      </c>
      <c r="AI136" s="318" t="n">
        <v>-0.064</v>
      </c>
      <c r="AJ136" s="318" t="n">
        <v>-0.1125</v>
      </c>
      <c r="AK136" s="318" t="n">
        <v>-0.008999999</v>
      </c>
      <c r="AL136" s="318" t="n">
        <v>0.031</v>
      </c>
      <c r="AM136" s="318" t="n">
        <v>0.65</v>
      </c>
      <c r="AN136" s="318" t="n">
        <v>-0.0225</v>
      </c>
      <c r="AO136" s="318" t="n">
        <v>-0.34</v>
      </c>
      <c r="AP136" s="318" t="n">
        <v>-0.07</v>
      </c>
      <c r="AQ136" s="318" t="n">
        <v>-0.13</v>
      </c>
      <c r="AR136" s="318" t="n">
        <v>0.248</v>
      </c>
      <c r="AS136" s="318" t="n">
        <v>-0.26</v>
      </c>
      <c r="AT136" s="318" t="n">
        <v>0</v>
      </c>
      <c r="AU136" s="318" t="n">
        <v>0.35</v>
      </c>
      <c r="AV136" s="318" t="n">
        <v>-0.34</v>
      </c>
      <c r="AW136" s="318" t="n">
        <v>-0.139</v>
      </c>
      <c r="AX136" s="318" t="n">
        <v>-0.06</v>
      </c>
      <c r="AY136" s="318" t="n">
        <v>-0.079</v>
      </c>
      <c r="AZ136" s="318" t="n">
        <v>-0.0405</v>
      </c>
      <c r="BA136" s="318" t="n">
        <v>-0.069</v>
      </c>
      <c r="BB136" s="318" t="n">
        <v>-0.015</v>
      </c>
      <c r="BC136" s="318" t="n">
        <v>-0.0605</v>
      </c>
      <c r="BD136" s="318" t="n">
        <v>-0.0525</v>
      </c>
      <c r="BE136" s="318" t="n">
        <v>-0.075</v>
      </c>
      <c r="BF136" s="318" t="n">
        <v>0</v>
      </c>
      <c r="BG136" s="318" t="n">
        <v>0.17</v>
      </c>
      <c r="BH136" s="318" t="n">
        <v>0.175</v>
      </c>
      <c r="BI136" s="318" t="n">
        <v>0.155</v>
      </c>
      <c r="BJ136" s="318" t="n">
        <v>0.46</v>
      </c>
      <c r="BK136" s="318" t="n">
        <v>0.0025</v>
      </c>
      <c r="BL136" s="318" t="n">
        <v>-0.02</v>
      </c>
      <c r="BM136" s="318" t="n">
        <v>0.005</v>
      </c>
      <c r="BN136" s="318" t="n">
        <v>0</v>
      </c>
      <c r="BO136" s="318" t="n">
        <v>0</v>
      </c>
      <c r="BP136" s="318" t="n">
        <v>0.005</v>
      </c>
      <c r="BQ136" s="318" t="n">
        <v>0.005</v>
      </c>
      <c r="BR136" s="318" t="n">
        <v>0.055</v>
      </c>
      <c r="BS136" s="0" t="n">
        <v>0.02</v>
      </c>
      <c r="BT136" s="0" t="n">
        <v>0</v>
      </c>
      <c r="BU136" s="0" t="n">
        <v>0</v>
      </c>
      <c r="BV136" s="0" t="n">
        <v>0.03</v>
      </c>
    </row>
    <row r="137" customFormat="false" ht="12.75" hidden="false" customHeight="false" outlineLevel="0" collapsed="false">
      <c r="A137" s="320" t="e">
        <f aca="false">#REF!-B137</f>
        <v>#REF!</v>
      </c>
      <c r="B137" s="320" t="n">
        <v>3.407</v>
      </c>
      <c r="C137" s="327" t="n">
        <f aca="false">EOMONTH(C136,0)+1</f>
        <v>41275</v>
      </c>
      <c r="D137" s="0" t="n">
        <f aca="false">D125+0.05</f>
        <v>3.899</v>
      </c>
      <c r="E137" s="320" t="n">
        <v>0.17</v>
      </c>
      <c r="F137" s="318" t="n">
        <v>0.0597240981059981</v>
      </c>
      <c r="G137" s="318" t="n">
        <v>-0.1325</v>
      </c>
      <c r="H137" s="318" t="n">
        <v>-0.1525</v>
      </c>
      <c r="I137" s="330" t="n">
        <v>-0.005</v>
      </c>
      <c r="J137" s="330" t="n">
        <v>-0.13</v>
      </c>
      <c r="K137" s="318" t="n">
        <v>0.005</v>
      </c>
      <c r="L137" s="318" t="n">
        <v>-0.0405</v>
      </c>
      <c r="M137" s="318" t="n">
        <v>-0.0755</v>
      </c>
      <c r="N137" s="318" t="n">
        <v>-0.1225</v>
      </c>
      <c r="O137" s="318" t="n">
        <v>-0.1225</v>
      </c>
      <c r="P137" s="318" t="n">
        <v>-0.1325</v>
      </c>
      <c r="Q137" s="318" t="n">
        <v>-0.08775</v>
      </c>
      <c r="R137" s="318" t="n">
        <v>-0.0405</v>
      </c>
      <c r="S137" s="318" t="n">
        <v>0.155</v>
      </c>
      <c r="T137" s="318" t="n">
        <v>0.175</v>
      </c>
      <c r="U137" s="318" t="n">
        <v>0.13</v>
      </c>
      <c r="V137" s="318" t="n">
        <v>0.5</v>
      </c>
      <c r="W137" s="318" t="n">
        <v>0.215</v>
      </c>
      <c r="X137" s="318" t="n">
        <v>0.29</v>
      </c>
      <c r="Y137" s="318" t="n">
        <v>-0.011</v>
      </c>
      <c r="Z137" s="318" t="n">
        <v>-0.029</v>
      </c>
      <c r="AA137" s="318" t="n">
        <v>0.0105</v>
      </c>
      <c r="AB137" s="318" t="n">
        <v>-0.007</v>
      </c>
      <c r="AC137" s="318" t="n">
        <v>0.0025</v>
      </c>
      <c r="AD137" s="318" t="n">
        <v>-0.0225</v>
      </c>
      <c r="AE137" s="318" t="n">
        <v>-0.075</v>
      </c>
      <c r="AF137" s="318" t="n">
        <v>-0.0535</v>
      </c>
      <c r="AG137" s="318" t="n">
        <v>-0.076</v>
      </c>
      <c r="AH137" s="318" t="n">
        <v>-0.007499999</v>
      </c>
      <c r="AI137" s="318" t="n">
        <v>-0.064</v>
      </c>
      <c r="AJ137" s="318" t="n">
        <v>-0.135</v>
      </c>
      <c r="AK137" s="318" t="n">
        <v>-0.008999999</v>
      </c>
      <c r="AL137" s="318" t="n">
        <v>0.031</v>
      </c>
      <c r="AM137" s="318" t="n">
        <v>0.98</v>
      </c>
      <c r="AN137" s="318" t="n">
        <v>-0.045</v>
      </c>
      <c r="AO137" s="318" t="n">
        <v>-0.34</v>
      </c>
      <c r="AP137" s="318" t="n">
        <v>-0.07</v>
      </c>
      <c r="AQ137" s="318" t="n">
        <v>-0.13</v>
      </c>
      <c r="AR137" s="318" t="n">
        <v>0.308</v>
      </c>
      <c r="AS137" s="318" t="n">
        <v>-0.26</v>
      </c>
      <c r="AT137" s="318" t="n">
        <v>0</v>
      </c>
      <c r="AU137" s="318" t="n">
        <v>0.35</v>
      </c>
      <c r="AV137" s="318" t="n">
        <v>-0.34</v>
      </c>
      <c r="AW137" s="318" t="n">
        <v>-0.1665</v>
      </c>
      <c r="AX137" s="318" t="n">
        <v>-0.06</v>
      </c>
      <c r="AY137" s="318" t="n">
        <v>-0.1065</v>
      </c>
      <c r="AZ137" s="318" t="n">
        <v>-0.0405</v>
      </c>
      <c r="BA137" s="318" t="n">
        <v>-0.0965</v>
      </c>
      <c r="BB137" s="318" t="n">
        <v>-0.0125</v>
      </c>
      <c r="BC137" s="318" t="n">
        <v>-0.0605</v>
      </c>
      <c r="BD137" s="318" t="n">
        <v>-0.075</v>
      </c>
      <c r="BE137" s="318" t="n">
        <v>-0.075</v>
      </c>
      <c r="BF137" s="318" t="n">
        <v>0</v>
      </c>
      <c r="BG137" s="318" t="n">
        <v>0.17</v>
      </c>
      <c r="BH137" s="318" t="n">
        <v>0.175</v>
      </c>
      <c r="BI137" s="318" t="n">
        <v>0.155</v>
      </c>
      <c r="BJ137" s="318" t="n">
        <v>0.77</v>
      </c>
      <c r="BK137" s="318" t="n">
        <v>0.0025</v>
      </c>
      <c r="BL137" s="318" t="n">
        <v>-0.025</v>
      </c>
      <c r="BM137" s="318" t="n">
        <v>0.005</v>
      </c>
      <c r="BN137" s="318" t="n">
        <v>0</v>
      </c>
      <c r="BO137" s="318" t="n">
        <v>0</v>
      </c>
      <c r="BP137" s="318" t="n">
        <v>0.005</v>
      </c>
      <c r="BQ137" s="318" t="n">
        <v>0.005</v>
      </c>
      <c r="BR137" s="318" t="n">
        <v>0.25</v>
      </c>
      <c r="BS137" s="0" t="n">
        <v>0.02</v>
      </c>
      <c r="BT137" s="0" t="n">
        <v>0</v>
      </c>
      <c r="BU137" s="0" t="n">
        <v>0</v>
      </c>
      <c r="BV137" s="0" t="n">
        <v>0.03</v>
      </c>
    </row>
    <row r="138" customFormat="false" ht="12.75" hidden="false" customHeight="false" outlineLevel="0" collapsed="false">
      <c r="A138" s="320" t="e">
        <f aca="false">#REF!-B138</f>
        <v>#REF!</v>
      </c>
      <c r="B138" s="320" t="n">
        <v>3.472</v>
      </c>
      <c r="C138" s="327" t="n">
        <f aca="false">EOMONTH(C137,0)+1</f>
        <v>41306</v>
      </c>
      <c r="D138" s="0" t="n">
        <f aca="false">D126+0.05</f>
        <v>3.751</v>
      </c>
      <c r="E138" s="320" t="n">
        <v>0.17</v>
      </c>
      <c r="F138" s="318" t="n">
        <v>0.059767926317619</v>
      </c>
      <c r="G138" s="318" t="n">
        <v>-0.135</v>
      </c>
      <c r="H138" s="318" t="n">
        <v>-0.155</v>
      </c>
      <c r="I138" s="330" t="n">
        <v>0.015</v>
      </c>
      <c r="J138" s="330" t="n">
        <v>-0.13</v>
      </c>
      <c r="K138" s="318" t="n">
        <v>0.025</v>
      </c>
      <c r="L138" s="318" t="n">
        <v>-0.0405</v>
      </c>
      <c r="M138" s="318" t="n">
        <v>-0.0755</v>
      </c>
      <c r="N138" s="318" t="n">
        <v>-0.125</v>
      </c>
      <c r="O138" s="318" t="n">
        <v>-0.125</v>
      </c>
      <c r="P138" s="318" t="n">
        <v>-0.135</v>
      </c>
      <c r="Q138" s="318" t="n">
        <v>-0.089</v>
      </c>
      <c r="R138" s="318" t="n">
        <v>-0.0405</v>
      </c>
      <c r="S138" s="318" t="n">
        <v>0.155</v>
      </c>
      <c r="T138" s="318" t="n">
        <v>0.175</v>
      </c>
      <c r="U138" s="318" t="n">
        <v>0.13</v>
      </c>
      <c r="V138" s="318" t="n">
        <v>0.5</v>
      </c>
      <c r="W138" s="318" t="n">
        <v>0.235</v>
      </c>
      <c r="X138" s="318" t="n">
        <v>0.34</v>
      </c>
      <c r="Y138" s="318" t="n">
        <v>-0.008999999</v>
      </c>
      <c r="Z138" s="318" t="n">
        <v>-0.029</v>
      </c>
      <c r="AA138" s="318" t="n">
        <v>0.0105</v>
      </c>
      <c r="AB138" s="318" t="n">
        <v>-0.0045</v>
      </c>
      <c r="AC138" s="318" t="n">
        <v>0.0025</v>
      </c>
      <c r="AD138" s="318" t="n">
        <v>-0.0225</v>
      </c>
      <c r="AE138" s="318" t="n">
        <v>-0.075</v>
      </c>
      <c r="AF138" s="318" t="n">
        <v>-0.0535</v>
      </c>
      <c r="AG138" s="318" t="n">
        <v>-0.076</v>
      </c>
      <c r="AH138" s="318" t="n">
        <v>-0.007499999</v>
      </c>
      <c r="AI138" s="318" t="n">
        <v>-0.064</v>
      </c>
      <c r="AJ138" s="318" t="n">
        <v>-0.1375</v>
      </c>
      <c r="AK138" s="318" t="n">
        <v>-0.008999999</v>
      </c>
      <c r="AL138" s="318" t="n">
        <v>0.031</v>
      </c>
      <c r="AM138" s="318" t="n">
        <v>1.6</v>
      </c>
      <c r="AN138" s="318" t="n">
        <v>-0.0475</v>
      </c>
      <c r="AO138" s="318" t="n">
        <v>-0.34</v>
      </c>
      <c r="AP138" s="318" t="n">
        <v>-0.07</v>
      </c>
      <c r="AQ138" s="318" t="n">
        <v>-0.13</v>
      </c>
      <c r="AR138" s="318" t="n">
        <v>0.378</v>
      </c>
      <c r="AS138" s="318" t="n">
        <v>-0.26</v>
      </c>
      <c r="AT138" s="318" t="n">
        <v>0</v>
      </c>
      <c r="AU138" s="318" t="n">
        <v>0.35</v>
      </c>
      <c r="AV138" s="318" t="n">
        <v>-0.34</v>
      </c>
      <c r="AW138" s="318" t="n">
        <v>-0.1815</v>
      </c>
      <c r="AX138" s="318" t="n">
        <v>-0.06</v>
      </c>
      <c r="AY138" s="318" t="n">
        <v>-0.1215</v>
      </c>
      <c r="AZ138" s="318" t="n">
        <v>-0.0405</v>
      </c>
      <c r="BA138" s="318" t="n">
        <v>-0.097</v>
      </c>
      <c r="BB138" s="318" t="n">
        <v>-0.0125</v>
      </c>
      <c r="BC138" s="318" t="n">
        <v>-0.0605</v>
      </c>
      <c r="BD138" s="318" t="n">
        <v>-0.0775</v>
      </c>
      <c r="BE138" s="318" t="n">
        <v>-0.075</v>
      </c>
      <c r="BF138" s="318" t="n">
        <v>0</v>
      </c>
      <c r="BG138" s="318" t="n">
        <v>0.17</v>
      </c>
      <c r="BH138" s="318" t="n">
        <v>0.175</v>
      </c>
      <c r="BI138" s="318" t="n">
        <v>0.155</v>
      </c>
      <c r="BJ138" s="318" t="n">
        <v>1.04</v>
      </c>
      <c r="BK138" s="318" t="n">
        <v>0.0025</v>
      </c>
      <c r="BL138" s="318" t="n">
        <v>-0.025</v>
      </c>
      <c r="BM138" s="318" t="n">
        <v>0.005</v>
      </c>
      <c r="BN138" s="318" t="n">
        <v>0</v>
      </c>
      <c r="BO138" s="318" t="n">
        <v>0</v>
      </c>
      <c r="BP138" s="318" t="n">
        <v>0.005</v>
      </c>
      <c r="BQ138" s="318" t="n">
        <v>0.005</v>
      </c>
      <c r="BR138" s="318" t="n">
        <v>0.45</v>
      </c>
      <c r="BS138" s="0" t="n">
        <v>0.02</v>
      </c>
      <c r="BT138" s="0" t="n">
        <v>0</v>
      </c>
      <c r="BU138" s="0" t="n">
        <v>0</v>
      </c>
      <c r="BV138" s="0" t="n">
        <v>0.03</v>
      </c>
    </row>
    <row r="139" customFormat="false" ht="12.75" hidden="false" customHeight="false" outlineLevel="0" collapsed="false">
      <c r="A139" s="320" t="e">
        <f aca="false">#REF!-B139</f>
        <v>#REF!</v>
      </c>
      <c r="B139" s="320" t="n">
        <v>3.467</v>
      </c>
      <c r="C139" s="327" t="n">
        <f aca="false">EOMONTH(C138,0)+1</f>
        <v>41334</v>
      </c>
      <c r="D139" s="0" t="n">
        <f aca="false">D127+0.05</f>
        <v>3.7</v>
      </c>
      <c r="E139" s="320" t="n">
        <v>0.17</v>
      </c>
      <c r="F139" s="318" t="n">
        <v>0.0598117545298775</v>
      </c>
      <c r="G139" s="318" t="n">
        <v>-0.1275</v>
      </c>
      <c r="H139" s="318" t="n">
        <v>-0.1475</v>
      </c>
      <c r="I139" s="330" t="n">
        <v>0.01</v>
      </c>
      <c r="J139" s="330" t="n">
        <v>-0.13</v>
      </c>
      <c r="K139" s="318" t="n">
        <v>0.02</v>
      </c>
      <c r="L139" s="318" t="n">
        <v>-0.0405</v>
      </c>
      <c r="M139" s="318" t="n">
        <v>-0.0755</v>
      </c>
      <c r="N139" s="318" t="n">
        <v>-0.1175</v>
      </c>
      <c r="O139" s="318" t="n">
        <v>-0.1175</v>
      </c>
      <c r="P139" s="318" t="n">
        <v>-0.1275</v>
      </c>
      <c r="Q139" s="318" t="n">
        <v>-0.08025</v>
      </c>
      <c r="R139" s="318" t="n">
        <v>-0.0405</v>
      </c>
      <c r="S139" s="318" t="n">
        <v>0.155</v>
      </c>
      <c r="T139" s="318" t="n">
        <v>0.175</v>
      </c>
      <c r="U139" s="318" t="n">
        <v>0.13</v>
      </c>
      <c r="V139" s="318" t="n">
        <v>0.5</v>
      </c>
      <c r="W139" s="318" t="n">
        <v>0.235</v>
      </c>
      <c r="X139" s="318" t="n">
        <v>0.34</v>
      </c>
      <c r="Y139" s="318" t="n">
        <v>-0.008999999</v>
      </c>
      <c r="Z139" s="318" t="n">
        <v>-0.029</v>
      </c>
      <c r="AA139" s="318" t="n">
        <v>0.0105</v>
      </c>
      <c r="AB139" s="318" t="n">
        <v>-0.0045</v>
      </c>
      <c r="AC139" s="318" t="n">
        <v>0.0025</v>
      </c>
      <c r="AD139" s="318" t="n">
        <v>-0.0225</v>
      </c>
      <c r="AE139" s="318" t="n">
        <v>-0.075</v>
      </c>
      <c r="AF139" s="318" t="n">
        <v>-0.0535</v>
      </c>
      <c r="AG139" s="318" t="n">
        <v>-0.076</v>
      </c>
      <c r="AH139" s="318" t="n">
        <v>-0.007499999</v>
      </c>
      <c r="AI139" s="318" t="n">
        <v>-0.064</v>
      </c>
      <c r="AJ139" s="318" t="n">
        <v>-0.12</v>
      </c>
      <c r="AK139" s="318" t="n">
        <v>-0.008999999</v>
      </c>
      <c r="AL139" s="318" t="n">
        <v>0.031</v>
      </c>
      <c r="AM139" s="318" t="n">
        <v>1.6</v>
      </c>
      <c r="AN139" s="318" t="n">
        <v>-0.03</v>
      </c>
      <c r="AO139" s="318" t="n">
        <v>-0.34</v>
      </c>
      <c r="AP139" s="318" t="n">
        <v>-0.07</v>
      </c>
      <c r="AQ139" s="318" t="n">
        <v>-0.13</v>
      </c>
      <c r="AR139" s="318" t="n">
        <v>0.248</v>
      </c>
      <c r="AS139" s="318" t="n">
        <v>-0.26</v>
      </c>
      <c r="AT139" s="318" t="n">
        <v>0</v>
      </c>
      <c r="AU139" s="318" t="n">
        <v>0.35</v>
      </c>
      <c r="AV139" s="318" t="n">
        <v>-0.34</v>
      </c>
      <c r="AW139" s="318" t="n">
        <v>-0.1715</v>
      </c>
      <c r="AX139" s="318" t="n">
        <v>-0.06</v>
      </c>
      <c r="AY139" s="318" t="n">
        <v>-0.1115</v>
      </c>
      <c r="AZ139" s="318" t="n">
        <v>-0.0405</v>
      </c>
      <c r="BA139" s="318" t="n">
        <v>-0.097</v>
      </c>
      <c r="BB139" s="318" t="n">
        <v>-0.0125</v>
      </c>
      <c r="BC139" s="318" t="n">
        <v>-0.0605</v>
      </c>
      <c r="BD139" s="318" t="n">
        <v>-0.06</v>
      </c>
      <c r="BE139" s="318" t="n">
        <v>-0.075</v>
      </c>
      <c r="BF139" s="318" t="n">
        <v>0</v>
      </c>
      <c r="BG139" s="318" t="n">
        <v>0.17</v>
      </c>
      <c r="BH139" s="318" t="n">
        <v>0.175</v>
      </c>
      <c r="BI139" s="318" t="n">
        <v>0.155</v>
      </c>
      <c r="BJ139" s="318" t="n">
        <v>1.04</v>
      </c>
      <c r="BK139" s="318" t="n">
        <v>0.0025</v>
      </c>
      <c r="BL139" s="318" t="n">
        <v>-0.025</v>
      </c>
      <c r="BM139" s="318" t="n">
        <v>0.005</v>
      </c>
      <c r="BN139" s="318" t="n">
        <v>0</v>
      </c>
      <c r="BO139" s="318" t="n">
        <v>0</v>
      </c>
      <c r="BP139" s="318" t="n">
        <v>0.005</v>
      </c>
      <c r="BQ139" s="318" t="n">
        <v>0.005</v>
      </c>
      <c r="BR139" s="318" t="n">
        <v>0.45</v>
      </c>
      <c r="BS139" s="0" t="n">
        <v>0.02</v>
      </c>
      <c r="BT139" s="0" t="n">
        <v>0</v>
      </c>
      <c r="BU139" s="0" t="n">
        <v>0</v>
      </c>
      <c r="BV139" s="0" t="n">
        <v>0.03</v>
      </c>
    </row>
    <row r="140" customFormat="false" ht="12.75" hidden="false" customHeight="false" outlineLevel="0" collapsed="false">
      <c r="A140" s="320" t="e">
        <f aca="false">#REF!-B140</f>
        <v>#REF!</v>
      </c>
      <c r="B140" s="320" t="n">
        <v>3.449</v>
      </c>
      <c r="C140" s="327" t="n">
        <f aca="false">EOMONTH(C139,0)+1</f>
        <v>41365</v>
      </c>
      <c r="D140" s="0" t="n">
        <f aca="false">D128+0.05</f>
        <v>3.481</v>
      </c>
      <c r="E140" s="320" t="n">
        <v>0.17</v>
      </c>
      <c r="F140" s="318" t="n">
        <v>0.0598513413027892</v>
      </c>
      <c r="G140" s="318" t="n">
        <v>-0.125</v>
      </c>
      <c r="H140" s="318" t="n">
        <v>-0.145</v>
      </c>
      <c r="I140" s="330" t="n">
        <v>-0.01</v>
      </c>
      <c r="J140" s="330" t="n">
        <v>-0.13</v>
      </c>
      <c r="K140" s="318" t="n">
        <v>0</v>
      </c>
      <c r="L140" s="318" t="n">
        <v>-0.0405</v>
      </c>
      <c r="M140" s="318" t="n">
        <v>-0.0755</v>
      </c>
      <c r="N140" s="318" t="n">
        <v>-0.115</v>
      </c>
      <c r="O140" s="318" t="n">
        <v>-0.115</v>
      </c>
      <c r="P140" s="318" t="n">
        <v>-0.125</v>
      </c>
      <c r="Q140" s="318" t="n">
        <v>-0.074</v>
      </c>
      <c r="R140" s="318" t="n">
        <v>-0.0405</v>
      </c>
      <c r="S140" s="318" t="n">
        <v>0.155</v>
      </c>
      <c r="T140" s="318" t="n">
        <v>0.175</v>
      </c>
      <c r="U140" s="318" t="n">
        <v>0.13</v>
      </c>
      <c r="V140" s="318" t="n">
        <v>0.5</v>
      </c>
      <c r="W140" s="318" t="n">
        <v>0.195</v>
      </c>
      <c r="X140" s="318" t="n">
        <v>0.29</v>
      </c>
      <c r="Y140" s="318" t="n">
        <v>-0.008999999</v>
      </c>
      <c r="Z140" s="318" t="n">
        <v>-0.029</v>
      </c>
      <c r="AA140" s="318" t="n">
        <v>0.018</v>
      </c>
      <c r="AB140" s="318" t="n">
        <v>0.003</v>
      </c>
      <c r="AC140" s="318" t="n">
        <v>0.0025</v>
      </c>
      <c r="AD140" s="318" t="n">
        <v>-0.0225</v>
      </c>
      <c r="AE140" s="318" t="n">
        <v>-0.075</v>
      </c>
      <c r="AF140" s="318" t="n">
        <v>-0.0535</v>
      </c>
      <c r="AG140" s="318" t="n">
        <v>-0.076</v>
      </c>
      <c r="AH140" s="318" t="n">
        <v>-0.007499999</v>
      </c>
      <c r="AI140" s="318" t="n">
        <v>-0.064</v>
      </c>
      <c r="AJ140" s="318" t="n">
        <v>-0.1075</v>
      </c>
      <c r="AK140" s="318" t="n">
        <v>-0.008999999</v>
      </c>
      <c r="AL140" s="318" t="n">
        <v>0.031</v>
      </c>
      <c r="AM140" s="318" t="n">
        <v>0.64</v>
      </c>
      <c r="AN140" s="318" t="n">
        <v>-0.0175</v>
      </c>
      <c r="AO140" s="318" t="n">
        <v>-0.34</v>
      </c>
      <c r="AP140" s="318" t="n">
        <v>-0.07</v>
      </c>
      <c r="AQ140" s="318" t="n">
        <v>-0.13</v>
      </c>
      <c r="AR140" s="318" t="n">
        <v>0.068</v>
      </c>
      <c r="AS140" s="318" t="n">
        <v>-0.26</v>
      </c>
      <c r="AT140" s="318" t="n">
        <v>0</v>
      </c>
      <c r="AU140" s="318" t="n">
        <v>0.35</v>
      </c>
      <c r="AV140" s="318" t="n">
        <v>-0.34</v>
      </c>
      <c r="AW140" s="318" t="n">
        <v>-0.1615</v>
      </c>
      <c r="AX140" s="318" t="n">
        <v>-0.06</v>
      </c>
      <c r="AY140" s="318" t="n">
        <v>-0.1015</v>
      </c>
      <c r="AZ140" s="318" t="n">
        <v>-0.0405</v>
      </c>
      <c r="BA140" s="318" t="n">
        <v>-0.097</v>
      </c>
      <c r="BB140" s="318" t="n">
        <v>-0.0125</v>
      </c>
      <c r="BC140" s="318" t="n">
        <v>-0.0605</v>
      </c>
      <c r="BD140" s="318" t="n">
        <v>-0.0475</v>
      </c>
      <c r="BE140" s="318" t="n">
        <v>-0.075</v>
      </c>
      <c r="BF140" s="318" t="n">
        <v>0</v>
      </c>
      <c r="BG140" s="318" t="n">
        <v>0.17</v>
      </c>
      <c r="BH140" s="318" t="n">
        <v>0.175</v>
      </c>
      <c r="BI140" s="318" t="n">
        <v>0.155</v>
      </c>
      <c r="BJ140" s="318" t="n">
        <v>0.54</v>
      </c>
      <c r="BK140" s="318" t="n">
        <v>0.0025</v>
      </c>
      <c r="BL140" s="318" t="n">
        <v>-0.02</v>
      </c>
      <c r="BM140" s="318" t="n">
        <v>0.005</v>
      </c>
      <c r="BN140" s="318" t="n">
        <v>0</v>
      </c>
      <c r="BO140" s="318" t="n">
        <v>0</v>
      </c>
      <c r="BP140" s="318" t="n">
        <v>0.005</v>
      </c>
      <c r="BQ140" s="318" t="n">
        <v>0.005</v>
      </c>
      <c r="BR140" s="318" t="n">
        <v>0.1</v>
      </c>
      <c r="BS140" s="0" t="n">
        <v>0.02</v>
      </c>
      <c r="BT140" s="0" t="n">
        <v>0</v>
      </c>
      <c r="BU140" s="0" t="n">
        <v>0</v>
      </c>
      <c r="BV140" s="0" t="n">
        <v>0.03</v>
      </c>
    </row>
    <row r="141" customFormat="false" ht="12.75" hidden="false" customHeight="false" outlineLevel="0" collapsed="false">
      <c r="A141" s="320" t="e">
        <f aca="false">#REF!-B141</f>
        <v>#REF!</v>
      </c>
      <c r="B141" s="320" t="n">
        <v>3.459</v>
      </c>
      <c r="C141" s="327" t="n">
        <f aca="false">EOMONTH(C140,0)+1</f>
        <v>41395</v>
      </c>
      <c r="D141" s="0" t="n">
        <f aca="false">D129+0.05</f>
        <v>3.484</v>
      </c>
      <c r="E141" s="320" t="n">
        <v>0.17</v>
      </c>
      <c r="F141" s="318" t="n">
        <v>0.0598951695162624</v>
      </c>
      <c r="G141" s="318" t="n">
        <v>-0.13</v>
      </c>
      <c r="H141" s="318" t="n">
        <v>-0.15</v>
      </c>
      <c r="I141" s="330" t="n">
        <v>-0.09</v>
      </c>
      <c r="J141" s="330" t="n">
        <v>-0.13</v>
      </c>
      <c r="K141" s="318" t="n">
        <v>-0.09</v>
      </c>
      <c r="L141" s="318" t="n">
        <v>-0.038</v>
      </c>
      <c r="M141" s="318" t="n">
        <v>-0.058</v>
      </c>
      <c r="N141" s="318" t="n">
        <v>-0.12</v>
      </c>
      <c r="O141" s="318" t="n">
        <v>-0.12</v>
      </c>
      <c r="P141" s="318" t="n">
        <v>-0.13</v>
      </c>
      <c r="Q141" s="318" t="n">
        <v>-0.054</v>
      </c>
      <c r="R141" s="318" t="n">
        <v>-0.038</v>
      </c>
      <c r="S141" s="318" t="n">
        <v>0.125</v>
      </c>
      <c r="T141" s="318" t="n">
        <v>0.145</v>
      </c>
      <c r="U141" s="318" t="n">
        <v>0.04</v>
      </c>
      <c r="V141" s="318" t="n">
        <v>0.5</v>
      </c>
      <c r="W141" s="318" t="n">
        <v>0.145</v>
      </c>
      <c r="X141" s="318" t="n">
        <v>0.195</v>
      </c>
      <c r="Y141" s="318" t="n">
        <v>-0.0115</v>
      </c>
      <c r="Z141" s="318" t="n">
        <v>-0.044</v>
      </c>
      <c r="AA141" s="318" t="n">
        <v>0.018</v>
      </c>
      <c r="AB141" s="318" t="n">
        <v>0.003</v>
      </c>
      <c r="AC141" s="318" t="n">
        <v>0.0025</v>
      </c>
      <c r="AD141" s="318" t="n">
        <v>-0.0225</v>
      </c>
      <c r="AE141" s="318" t="n">
        <v>-0.0725</v>
      </c>
      <c r="AF141" s="318" t="n">
        <v>-0.051</v>
      </c>
      <c r="AG141" s="318" t="n">
        <v>-0.0735</v>
      </c>
      <c r="AH141" s="318" t="n">
        <v>-0.0125</v>
      </c>
      <c r="AI141" s="318" t="n">
        <v>-0.072</v>
      </c>
      <c r="AJ141" s="318" t="n">
        <v>-0.07</v>
      </c>
      <c r="AK141" s="318" t="n">
        <v>-0.017</v>
      </c>
      <c r="AL141" s="318" t="n">
        <v>0.023</v>
      </c>
      <c r="AM141" s="318" t="n">
        <v>0.38</v>
      </c>
      <c r="AN141" s="318" t="n">
        <v>0.02</v>
      </c>
      <c r="AO141" s="318" t="n">
        <v>-0.45</v>
      </c>
      <c r="AP141" s="318" t="n">
        <v>-0.07</v>
      </c>
      <c r="AQ141" s="318" t="n">
        <v>-0.195</v>
      </c>
      <c r="AR141" s="318" t="n">
        <v>-0.25</v>
      </c>
      <c r="AS141" s="318" t="n">
        <v>-0.37</v>
      </c>
      <c r="AT141" s="318" t="n">
        <v>0</v>
      </c>
      <c r="AU141" s="318" t="n">
        <v>0.43</v>
      </c>
      <c r="AV141" s="318" t="n">
        <v>-0.45</v>
      </c>
      <c r="AW141" s="318" t="n">
        <v>-0.202</v>
      </c>
      <c r="AX141" s="318" t="n">
        <v>-0.06</v>
      </c>
      <c r="AY141" s="318" t="n">
        <v>-0.142</v>
      </c>
      <c r="AZ141" s="318" t="n">
        <v>-0.038</v>
      </c>
      <c r="BA141" s="318" t="n">
        <v>-0.1195</v>
      </c>
      <c r="BB141" s="318" t="n">
        <v>-0.0125</v>
      </c>
      <c r="BC141" s="318" t="n">
        <v>-0.043</v>
      </c>
      <c r="BD141" s="318" t="n">
        <v>-0.01</v>
      </c>
      <c r="BE141" s="318" t="n">
        <v>-0.0725</v>
      </c>
      <c r="BF141" s="318" t="n">
        <v>0</v>
      </c>
      <c r="BG141" s="318" t="n">
        <v>0.14</v>
      </c>
      <c r="BH141" s="318" t="n">
        <v>0.145</v>
      </c>
      <c r="BI141" s="318" t="n">
        <v>0.125</v>
      </c>
      <c r="BJ141" s="318" t="n">
        <v>0.36</v>
      </c>
      <c r="BK141" s="318" t="n">
        <v>0.0025</v>
      </c>
      <c r="BL141" s="318" t="n">
        <v>-0.015</v>
      </c>
      <c r="BM141" s="318" t="n">
        <v>0.005</v>
      </c>
      <c r="BN141" s="318" t="n">
        <v>-0.01</v>
      </c>
      <c r="BO141" s="318" t="n">
        <v>0</v>
      </c>
      <c r="BP141" s="318" t="n">
        <v>0.005</v>
      </c>
      <c r="BQ141" s="318" t="n">
        <v>0.0025</v>
      </c>
      <c r="BR141" s="318" t="n">
        <v>0.02</v>
      </c>
      <c r="BS141" s="0" t="n">
        <v>0.005</v>
      </c>
      <c r="BT141" s="0" t="n">
        <v>0</v>
      </c>
      <c r="BU141" s="0" t="n">
        <v>0</v>
      </c>
      <c r="BV141" s="0" t="n">
        <v>0.03</v>
      </c>
    </row>
    <row r="142" customFormat="false" ht="12.75" hidden="false" customHeight="false" outlineLevel="0" collapsed="false">
      <c r="A142" s="320" t="e">
        <f aca="false">#REF!-B142</f>
        <v>#REF!</v>
      </c>
      <c r="B142" s="320" t="n">
        <v>3.531</v>
      </c>
      <c r="C142" s="327" t="n">
        <f aca="false">EOMONTH(C141,0)+1</f>
        <v>41426</v>
      </c>
      <c r="D142" s="0" t="n">
        <f aca="false">D130+0.05</f>
        <v>3.524</v>
      </c>
      <c r="E142" s="320" t="n">
        <v>0.17</v>
      </c>
      <c r="F142" s="318" t="n">
        <v>0.0599375839170064</v>
      </c>
      <c r="G142" s="318" t="n">
        <v>-0.13</v>
      </c>
      <c r="H142" s="318" t="n">
        <v>-0.15</v>
      </c>
      <c r="I142" s="330" t="n">
        <v>-0.09</v>
      </c>
      <c r="J142" s="330" t="n">
        <v>-0.13</v>
      </c>
      <c r="K142" s="318" t="n">
        <v>-0.09</v>
      </c>
      <c r="L142" s="318" t="n">
        <v>-0.038</v>
      </c>
      <c r="M142" s="318" t="n">
        <v>-0.058</v>
      </c>
      <c r="N142" s="318" t="n">
        <v>-0.12</v>
      </c>
      <c r="O142" s="318" t="n">
        <v>-0.12</v>
      </c>
      <c r="P142" s="318" t="n">
        <v>-0.13</v>
      </c>
      <c r="Q142" s="318" t="n">
        <v>-0.054</v>
      </c>
      <c r="R142" s="318" t="n">
        <v>-0.038</v>
      </c>
      <c r="S142" s="318" t="n">
        <v>0.125</v>
      </c>
      <c r="T142" s="318" t="n">
        <v>0.145</v>
      </c>
      <c r="U142" s="318" t="n">
        <v>0.04</v>
      </c>
      <c r="V142" s="318" t="n">
        <v>0.5</v>
      </c>
      <c r="W142" s="318" t="n">
        <v>0.125</v>
      </c>
      <c r="X142" s="318" t="n">
        <v>0.135</v>
      </c>
      <c r="Y142" s="318" t="n">
        <v>-0.0115</v>
      </c>
      <c r="Z142" s="318" t="n">
        <v>-0.044</v>
      </c>
      <c r="AA142" s="318" t="n">
        <v>0.0205</v>
      </c>
      <c r="AB142" s="318" t="n">
        <v>0.0055</v>
      </c>
      <c r="AC142" s="318" t="n">
        <v>0.0025</v>
      </c>
      <c r="AD142" s="318" t="n">
        <v>-0.0225</v>
      </c>
      <c r="AE142" s="318" t="n">
        <v>-0.0725</v>
      </c>
      <c r="AF142" s="318" t="n">
        <v>-0.051</v>
      </c>
      <c r="AG142" s="318" t="n">
        <v>-0.0735</v>
      </c>
      <c r="AH142" s="318" t="n">
        <v>-0.0125</v>
      </c>
      <c r="AI142" s="318" t="n">
        <v>-0.072</v>
      </c>
      <c r="AJ142" s="318" t="n">
        <v>-0.07</v>
      </c>
      <c r="AK142" s="318" t="n">
        <v>-0.017</v>
      </c>
      <c r="AL142" s="318" t="n">
        <v>0.023</v>
      </c>
      <c r="AM142" s="318" t="n">
        <v>0.33</v>
      </c>
      <c r="AN142" s="318" t="n">
        <v>0.02</v>
      </c>
      <c r="AO142" s="318" t="n">
        <v>-0.45</v>
      </c>
      <c r="AP142" s="318" t="n">
        <v>-0.07</v>
      </c>
      <c r="AQ142" s="318" t="n">
        <v>-0.195</v>
      </c>
      <c r="AR142" s="318" t="n">
        <v>-0.1</v>
      </c>
      <c r="AS142" s="318" t="n">
        <v>-0.37</v>
      </c>
      <c r="AT142" s="318" t="n">
        <v>0</v>
      </c>
      <c r="AU142" s="318" t="n">
        <v>0.43</v>
      </c>
      <c r="AV142" s="318" t="n">
        <v>-0.45</v>
      </c>
      <c r="AW142" s="318" t="n">
        <v>-0.1795</v>
      </c>
      <c r="AX142" s="318" t="n">
        <v>-0.06</v>
      </c>
      <c r="AY142" s="318" t="n">
        <v>-0.1195</v>
      </c>
      <c r="AZ142" s="318" t="n">
        <v>-0.038</v>
      </c>
      <c r="BA142" s="318" t="n">
        <v>-0.112</v>
      </c>
      <c r="BB142" s="318" t="n">
        <v>-0.0125</v>
      </c>
      <c r="BC142" s="318" t="n">
        <v>-0.043</v>
      </c>
      <c r="BD142" s="318" t="n">
        <v>-0.01</v>
      </c>
      <c r="BE142" s="318" t="n">
        <v>-0.0725</v>
      </c>
      <c r="BF142" s="318" t="n">
        <v>0</v>
      </c>
      <c r="BG142" s="318" t="n">
        <v>0.14</v>
      </c>
      <c r="BH142" s="318" t="n">
        <v>0.145</v>
      </c>
      <c r="BI142" s="318" t="n">
        <v>0.125</v>
      </c>
      <c r="BJ142" s="318" t="n">
        <v>0.325</v>
      </c>
      <c r="BK142" s="318" t="n">
        <v>0.0025</v>
      </c>
      <c r="BL142" s="318" t="n">
        <v>-0.015</v>
      </c>
      <c r="BM142" s="318" t="n">
        <v>0.005</v>
      </c>
      <c r="BN142" s="318" t="n">
        <v>-0.01</v>
      </c>
      <c r="BO142" s="318" t="n">
        <v>0</v>
      </c>
      <c r="BP142" s="318" t="n">
        <v>0.005</v>
      </c>
      <c r="BQ142" s="318" t="n">
        <v>0.0025</v>
      </c>
      <c r="BR142" s="318" t="n">
        <v>0.02</v>
      </c>
      <c r="BS142" s="0" t="n">
        <v>0.005</v>
      </c>
      <c r="BT142" s="0" t="n">
        <v>0</v>
      </c>
      <c r="BU142" s="0" t="n">
        <v>0</v>
      </c>
      <c r="BV142" s="0" t="n">
        <v>0.03</v>
      </c>
    </row>
    <row r="143" customFormat="false" ht="12.75" hidden="false" customHeight="false" outlineLevel="0" collapsed="false">
      <c r="A143" s="320" t="e">
        <f aca="false">#REF!-B143</f>
        <v>#REF!</v>
      </c>
      <c r="B143" s="320" t="n">
        <v>3.616</v>
      </c>
      <c r="C143" s="327" t="n">
        <f aca="false">EOMONTH(C142,0)+1</f>
        <v>41456</v>
      </c>
      <c r="D143" s="0" t="n">
        <f aca="false">D131+0.05</f>
        <v>3.564</v>
      </c>
      <c r="E143" s="320" t="n">
        <v>0.17</v>
      </c>
      <c r="F143" s="318" t="n">
        <v>0.0599814121317355</v>
      </c>
      <c r="G143" s="318" t="n">
        <v>-0.13</v>
      </c>
      <c r="H143" s="318" t="n">
        <v>-0.15</v>
      </c>
      <c r="I143" s="330" t="n">
        <v>-0.09</v>
      </c>
      <c r="J143" s="330" t="n">
        <v>-0.13</v>
      </c>
      <c r="K143" s="318" t="n">
        <v>-0.09</v>
      </c>
      <c r="L143" s="318" t="n">
        <v>-0.038</v>
      </c>
      <c r="M143" s="318" t="n">
        <v>-0.058</v>
      </c>
      <c r="N143" s="318" t="n">
        <v>-0.12</v>
      </c>
      <c r="O143" s="318" t="n">
        <v>-0.12</v>
      </c>
      <c r="P143" s="318" t="n">
        <v>-0.13</v>
      </c>
      <c r="Q143" s="318" t="n">
        <v>-0.0515</v>
      </c>
      <c r="R143" s="318" t="n">
        <v>-0.038</v>
      </c>
      <c r="S143" s="318" t="n">
        <v>0.125</v>
      </c>
      <c r="T143" s="318" t="n">
        <v>0.145</v>
      </c>
      <c r="U143" s="318" t="n">
        <v>0.04</v>
      </c>
      <c r="V143" s="318" t="n">
        <v>0.5</v>
      </c>
      <c r="W143" s="318" t="n">
        <v>0.145</v>
      </c>
      <c r="X143" s="318" t="n">
        <v>0.165</v>
      </c>
      <c r="Y143" s="318" t="n">
        <v>-0.0115</v>
      </c>
      <c r="Z143" s="318" t="n">
        <v>-0.0415</v>
      </c>
      <c r="AA143" s="318" t="n">
        <v>0.0205</v>
      </c>
      <c r="AB143" s="318" t="n">
        <v>0.0065</v>
      </c>
      <c r="AC143" s="318" t="n">
        <v>0.0025</v>
      </c>
      <c r="AD143" s="318" t="n">
        <v>-0.0225</v>
      </c>
      <c r="AE143" s="318" t="n">
        <v>-0.0725</v>
      </c>
      <c r="AF143" s="318" t="n">
        <v>-0.051</v>
      </c>
      <c r="AG143" s="318" t="n">
        <v>-0.0735</v>
      </c>
      <c r="AH143" s="318" t="n">
        <v>-0.0125</v>
      </c>
      <c r="AI143" s="318" t="n">
        <v>-0.072</v>
      </c>
      <c r="AJ143" s="318" t="n">
        <v>-0.065</v>
      </c>
      <c r="AK143" s="318" t="n">
        <v>-0.017</v>
      </c>
      <c r="AL143" s="318" t="n">
        <v>0.023</v>
      </c>
      <c r="AM143" s="318" t="n">
        <v>0.37</v>
      </c>
      <c r="AN143" s="318" t="n">
        <v>0.025</v>
      </c>
      <c r="AO143" s="318" t="n">
        <v>-0.45</v>
      </c>
      <c r="AP143" s="318" t="n">
        <v>-0.07</v>
      </c>
      <c r="AQ143" s="318" t="n">
        <v>-0.195</v>
      </c>
      <c r="AR143" s="318" t="n">
        <v>-0.1</v>
      </c>
      <c r="AS143" s="318" t="n">
        <v>-0.37</v>
      </c>
      <c r="AT143" s="318" t="n">
        <v>0</v>
      </c>
      <c r="AU143" s="318" t="n">
        <v>0.43</v>
      </c>
      <c r="AV143" s="318" t="n">
        <v>-0.45</v>
      </c>
      <c r="AW143" s="318" t="n">
        <v>-0.127</v>
      </c>
      <c r="AX143" s="318" t="n">
        <v>-0.06</v>
      </c>
      <c r="AY143" s="318" t="n">
        <v>-0.067</v>
      </c>
      <c r="AZ143" s="318" t="n">
        <v>-0.038</v>
      </c>
      <c r="BA143" s="318" t="n">
        <v>-0.0695</v>
      </c>
      <c r="BB143" s="318" t="n">
        <v>-0.0125</v>
      </c>
      <c r="BC143" s="318" t="n">
        <v>-0.043</v>
      </c>
      <c r="BD143" s="318" t="n">
        <v>-0.005</v>
      </c>
      <c r="BE143" s="318" t="n">
        <v>-0.0725</v>
      </c>
      <c r="BF143" s="318" t="n">
        <v>0</v>
      </c>
      <c r="BG143" s="318" t="n">
        <v>0.14</v>
      </c>
      <c r="BH143" s="318" t="n">
        <v>0.145</v>
      </c>
      <c r="BI143" s="318" t="n">
        <v>0.125</v>
      </c>
      <c r="BJ143" s="318" t="n">
        <v>0.335</v>
      </c>
      <c r="BK143" s="318" t="n">
        <v>0.0025</v>
      </c>
      <c r="BL143" s="318" t="n">
        <v>-0.015</v>
      </c>
      <c r="BM143" s="318" t="n">
        <v>0.005</v>
      </c>
      <c r="BN143" s="318" t="n">
        <v>-0.01</v>
      </c>
      <c r="BO143" s="318" t="n">
        <v>0</v>
      </c>
      <c r="BP143" s="318" t="n">
        <v>0.005</v>
      </c>
      <c r="BQ143" s="318" t="n">
        <v>0.0025</v>
      </c>
      <c r="BR143" s="318" t="n">
        <v>0.035</v>
      </c>
      <c r="BS143" s="0" t="n">
        <v>0.005</v>
      </c>
      <c r="BT143" s="0" t="n">
        <v>0</v>
      </c>
      <c r="BU143" s="0" t="n">
        <v>0</v>
      </c>
      <c r="BV143" s="0" t="n">
        <v>0.03</v>
      </c>
    </row>
    <row r="144" customFormat="false" ht="12.75" hidden="false" customHeight="false" outlineLevel="0" collapsed="false">
      <c r="A144" s="320" t="e">
        <f aca="false">#REF!-B144</f>
        <v>#REF!</v>
      </c>
      <c r="B144" s="320" t="n">
        <v>3.886</v>
      </c>
      <c r="C144" s="327" t="n">
        <f aca="false">EOMONTH(C143,0)+1</f>
        <v>41487</v>
      </c>
      <c r="D144" s="0" t="n">
        <f aca="false">D132+0.05</f>
        <v>3.614</v>
      </c>
      <c r="E144" s="320" t="n">
        <v>0.17</v>
      </c>
      <c r="F144" s="318" t="n">
        <v>0.0600238265336945</v>
      </c>
      <c r="G144" s="318" t="n">
        <v>-0.13</v>
      </c>
      <c r="H144" s="318" t="n">
        <v>-0.15</v>
      </c>
      <c r="I144" s="330" t="n">
        <v>-0.09</v>
      </c>
      <c r="J144" s="330" t="n">
        <v>-0.13</v>
      </c>
      <c r="K144" s="318" t="n">
        <v>-0.09</v>
      </c>
      <c r="L144" s="318" t="n">
        <v>-0.038</v>
      </c>
      <c r="M144" s="318" t="n">
        <v>-0.058</v>
      </c>
      <c r="N144" s="318" t="n">
        <v>-0.12</v>
      </c>
      <c r="O144" s="318" t="n">
        <v>-0.12</v>
      </c>
      <c r="P144" s="318" t="n">
        <v>-0.13</v>
      </c>
      <c r="Q144" s="318" t="n">
        <v>-0.05025</v>
      </c>
      <c r="R144" s="318" t="n">
        <v>-0.038</v>
      </c>
      <c r="S144" s="318" t="n">
        <v>0.125</v>
      </c>
      <c r="T144" s="318" t="n">
        <v>0.145</v>
      </c>
      <c r="U144" s="318" t="n">
        <v>0.04</v>
      </c>
      <c r="V144" s="318" t="n">
        <v>0.5</v>
      </c>
      <c r="W144" s="318" t="n">
        <v>0.15</v>
      </c>
      <c r="X144" s="318" t="n">
        <v>0.205</v>
      </c>
      <c r="Y144" s="318" t="n">
        <v>-0.0115</v>
      </c>
      <c r="Z144" s="318" t="n">
        <v>-0.0415</v>
      </c>
      <c r="AA144" s="318" t="n">
        <v>0.0205</v>
      </c>
      <c r="AB144" s="318" t="n">
        <v>0.0065</v>
      </c>
      <c r="AC144" s="318" t="n">
        <v>0.0025</v>
      </c>
      <c r="AD144" s="318" t="n">
        <v>-0.0225</v>
      </c>
      <c r="AE144" s="318" t="n">
        <v>-0.0725</v>
      </c>
      <c r="AF144" s="318" t="n">
        <v>-0.051</v>
      </c>
      <c r="AG144" s="318" t="n">
        <v>-0.0735</v>
      </c>
      <c r="AH144" s="318" t="n">
        <v>-0.0125</v>
      </c>
      <c r="AI144" s="318" t="n">
        <v>-0.072</v>
      </c>
      <c r="AJ144" s="318" t="n">
        <v>-0.0625</v>
      </c>
      <c r="AK144" s="318" t="n">
        <v>-0.017</v>
      </c>
      <c r="AL144" s="318" t="n">
        <v>0.023</v>
      </c>
      <c r="AM144" s="318" t="n">
        <v>0.41</v>
      </c>
      <c r="AN144" s="318" t="n">
        <v>0.0275</v>
      </c>
      <c r="AO144" s="318" t="n">
        <v>-0.45</v>
      </c>
      <c r="AP144" s="318" t="n">
        <v>-0.07</v>
      </c>
      <c r="AQ144" s="318" t="n">
        <v>-0.195</v>
      </c>
      <c r="AR144" s="318" t="n">
        <v>-0.1</v>
      </c>
      <c r="AS144" s="318" t="n">
        <v>-0.37</v>
      </c>
      <c r="AT144" s="318" t="n">
        <v>0</v>
      </c>
      <c r="AU144" s="318" t="n">
        <v>0.43</v>
      </c>
      <c r="AV144" s="318" t="n">
        <v>-0.45</v>
      </c>
      <c r="AW144" s="318" t="n">
        <v>-0.137</v>
      </c>
      <c r="AX144" s="318" t="n">
        <v>-0.06</v>
      </c>
      <c r="AY144" s="318" t="n">
        <v>-0.077</v>
      </c>
      <c r="AZ144" s="318" t="n">
        <v>-0.038</v>
      </c>
      <c r="BA144" s="318" t="n">
        <v>-0.067</v>
      </c>
      <c r="BB144" s="318" t="n">
        <v>-0.0125</v>
      </c>
      <c r="BC144" s="318" t="n">
        <v>-0.043</v>
      </c>
      <c r="BD144" s="318" t="n">
        <v>-0.0025</v>
      </c>
      <c r="BE144" s="318" t="n">
        <v>-0.0725</v>
      </c>
      <c r="BF144" s="318" t="n">
        <v>0</v>
      </c>
      <c r="BG144" s="318" t="n">
        <v>0.14</v>
      </c>
      <c r="BH144" s="318" t="n">
        <v>0.145</v>
      </c>
      <c r="BI144" s="318" t="n">
        <v>0.125</v>
      </c>
      <c r="BJ144" s="318" t="n">
        <v>0.35</v>
      </c>
      <c r="BK144" s="318" t="n">
        <v>0.0025</v>
      </c>
      <c r="BL144" s="318" t="n">
        <v>-0.01</v>
      </c>
      <c r="BM144" s="318" t="n">
        <v>0.005</v>
      </c>
      <c r="BN144" s="318" t="n">
        <v>-0.01</v>
      </c>
      <c r="BO144" s="318" t="n">
        <v>0</v>
      </c>
      <c r="BP144" s="318" t="n">
        <v>0.005</v>
      </c>
      <c r="BQ144" s="318" t="n">
        <v>0.0025</v>
      </c>
      <c r="BR144" s="318" t="n">
        <v>0.035</v>
      </c>
      <c r="BS144" s="0" t="n">
        <v>0.005</v>
      </c>
      <c r="BT144" s="0" t="n">
        <v>0</v>
      </c>
      <c r="BU144" s="0" t="n">
        <v>0</v>
      </c>
      <c r="BV144" s="0" t="n">
        <v>0.03</v>
      </c>
    </row>
    <row r="145" customFormat="false" ht="12.75" hidden="false" customHeight="false" outlineLevel="0" collapsed="false">
      <c r="A145" s="320" t="e">
        <f aca="false">#REF!-B145</f>
        <v>#REF!</v>
      </c>
      <c r="B145" s="320" t="n">
        <v>3.795</v>
      </c>
      <c r="C145" s="327" t="n">
        <f aca="false">EOMONTH(C144,0)+1</f>
        <v>41518</v>
      </c>
      <c r="D145" s="0" t="n">
        <f aca="false">D133+0.05</f>
        <v>3.599</v>
      </c>
      <c r="E145" s="320" t="n">
        <v>0.17</v>
      </c>
      <c r="F145" s="318" t="n">
        <v>0.0600676547496799</v>
      </c>
      <c r="G145" s="318" t="n">
        <v>-0.13</v>
      </c>
      <c r="H145" s="318" t="n">
        <v>-0.15</v>
      </c>
      <c r="I145" s="330" t="n">
        <v>-0.09</v>
      </c>
      <c r="J145" s="330" t="n">
        <v>-0.13</v>
      </c>
      <c r="K145" s="318" t="n">
        <v>-0.09</v>
      </c>
      <c r="L145" s="318" t="n">
        <v>-0.038</v>
      </c>
      <c r="M145" s="318" t="n">
        <v>-0.058</v>
      </c>
      <c r="N145" s="318" t="n">
        <v>-0.12</v>
      </c>
      <c r="O145" s="318" t="n">
        <v>-0.12</v>
      </c>
      <c r="P145" s="318" t="n">
        <v>-0.13</v>
      </c>
      <c r="Q145" s="318" t="n">
        <v>-0.049</v>
      </c>
      <c r="R145" s="318" t="n">
        <v>-0.038</v>
      </c>
      <c r="S145" s="318" t="n">
        <v>0.125</v>
      </c>
      <c r="T145" s="318" t="n">
        <v>0.145</v>
      </c>
      <c r="U145" s="318" t="n">
        <v>0.04</v>
      </c>
      <c r="V145" s="318" t="n">
        <v>0.5</v>
      </c>
      <c r="W145" s="318" t="n">
        <v>0.15</v>
      </c>
      <c r="X145" s="318" t="n">
        <v>0.205</v>
      </c>
      <c r="Y145" s="318" t="n">
        <v>-0.0115</v>
      </c>
      <c r="Z145" s="318" t="n">
        <v>-0.0415</v>
      </c>
      <c r="AA145" s="318" t="n">
        <v>0.0155</v>
      </c>
      <c r="AB145" s="318" t="n">
        <v>0.0015</v>
      </c>
      <c r="AC145" s="318" t="n">
        <v>0.0025</v>
      </c>
      <c r="AD145" s="318" t="n">
        <v>-0.0225</v>
      </c>
      <c r="AE145" s="318" t="n">
        <v>-0.0725</v>
      </c>
      <c r="AF145" s="318" t="n">
        <v>-0.051</v>
      </c>
      <c r="AG145" s="318" t="n">
        <v>-0.0735</v>
      </c>
      <c r="AH145" s="318" t="n">
        <v>-0.0125</v>
      </c>
      <c r="AI145" s="318" t="n">
        <v>-0.072</v>
      </c>
      <c r="AJ145" s="318" t="n">
        <v>-0.06</v>
      </c>
      <c r="AK145" s="318" t="n">
        <v>-0.017</v>
      </c>
      <c r="AL145" s="318" t="n">
        <v>0.023</v>
      </c>
      <c r="AM145" s="318" t="n">
        <v>0.41</v>
      </c>
      <c r="AN145" s="318" t="n">
        <v>0.03</v>
      </c>
      <c r="AO145" s="318" t="n">
        <v>-0.45</v>
      </c>
      <c r="AP145" s="318" t="n">
        <v>-0.07</v>
      </c>
      <c r="AQ145" s="318" t="n">
        <v>-0.195</v>
      </c>
      <c r="AR145" s="318" t="n">
        <v>-0.1</v>
      </c>
      <c r="AS145" s="318" t="n">
        <v>-0.37</v>
      </c>
      <c r="AT145" s="318" t="n">
        <v>0</v>
      </c>
      <c r="AU145" s="318" t="n">
        <v>0.43</v>
      </c>
      <c r="AV145" s="318" t="n">
        <v>-0.45</v>
      </c>
      <c r="AW145" s="318" t="n">
        <v>-0.132</v>
      </c>
      <c r="AX145" s="318" t="n">
        <v>-0.06</v>
      </c>
      <c r="AY145" s="318" t="n">
        <v>-0.072</v>
      </c>
      <c r="AZ145" s="318" t="n">
        <v>-0.038</v>
      </c>
      <c r="BA145" s="318" t="n">
        <v>-0.0645</v>
      </c>
      <c r="BB145" s="318" t="n">
        <v>-0.0125</v>
      </c>
      <c r="BC145" s="318" t="n">
        <v>-0.043</v>
      </c>
      <c r="BD145" s="318" t="n">
        <v>0</v>
      </c>
      <c r="BE145" s="318" t="n">
        <v>-0.0725</v>
      </c>
      <c r="BF145" s="318" t="n">
        <v>0</v>
      </c>
      <c r="BG145" s="318" t="n">
        <v>0.14</v>
      </c>
      <c r="BH145" s="318" t="n">
        <v>0.145</v>
      </c>
      <c r="BI145" s="318" t="n">
        <v>0.125</v>
      </c>
      <c r="BJ145" s="318" t="n">
        <v>0.35</v>
      </c>
      <c r="BK145" s="318" t="n">
        <v>0.0025</v>
      </c>
      <c r="BL145" s="318" t="n">
        <v>-0.01</v>
      </c>
      <c r="BM145" s="318" t="n">
        <v>0.005</v>
      </c>
      <c r="BN145" s="318" t="n">
        <v>-0.01</v>
      </c>
      <c r="BO145" s="318" t="n">
        <v>0</v>
      </c>
      <c r="BP145" s="318" t="n">
        <v>0.005</v>
      </c>
      <c r="BQ145" s="318" t="n">
        <v>0.0025</v>
      </c>
      <c r="BR145" s="318" t="n">
        <v>0.01</v>
      </c>
      <c r="BS145" s="0" t="n">
        <v>0.005</v>
      </c>
      <c r="BT145" s="0" t="n">
        <v>0</v>
      </c>
      <c r="BU145" s="0" t="n">
        <v>0</v>
      </c>
      <c r="BV145" s="0" t="n">
        <v>0.03</v>
      </c>
    </row>
    <row r="146" customFormat="false" ht="12.75" hidden="false" customHeight="false" outlineLevel="0" collapsed="false">
      <c r="A146" s="320" t="e">
        <f aca="false">#REF!-B146</f>
        <v>#REF!</v>
      </c>
      <c r="B146" s="320" t="n">
        <v>3.664</v>
      </c>
      <c r="C146" s="327" t="n">
        <f aca="false">EOMONTH(C145,0)+1</f>
        <v>41548</v>
      </c>
      <c r="D146" s="0" t="n">
        <f aca="false">D134+0.05</f>
        <v>3.614</v>
      </c>
      <c r="E146" s="320" t="n">
        <v>0.17</v>
      </c>
      <c r="F146" s="318" t="n">
        <v>0.0601114829663039</v>
      </c>
      <c r="G146" s="318" t="n">
        <v>-0.13</v>
      </c>
      <c r="H146" s="318" t="n">
        <v>-0.15</v>
      </c>
      <c r="I146" s="330" t="n">
        <v>-0.09</v>
      </c>
      <c r="J146" s="330" t="n">
        <v>-0.13</v>
      </c>
      <c r="K146" s="318" t="n">
        <v>-0.09</v>
      </c>
      <c r="L146" s="318" t="n">
        <v>-0.038</v>
      </c>
      <c r="M146" s="318" t="n">
        <v>-0.058</v>
      </c>
      <c r="N146" s="318" t="n">
        <v>-0.12</v>
      </c>
      <c r="O146" s="318" t="n">
        <v>-0.12</v>
      </c>
      <c r="P146" s="318" t="n">
        <v>-0.13</v>
      </c>
      <c r="Q146" s="318" t="n">
        <v>-0.05275</v>
      </c>
      <c r="R146" s="318" t="n">
        <v>-0.038</v>
      </c>
      <c r="S146" s="318" t="n">
        <v>0.125</v>
      </c>
      <c r="T146" s="318" t="n">
        <v>0.145</v>
      </c>
      <c r="U146" s="318" t="n">
        <v>0.04</v>
      </c>
      <c r="V146" s="318" t="n">
        <v>0.5</v>
      </c>
      <c r="W146" s="318" t="n">
        <v>0.125</v>
      </c>
      <c r="X146" s="318" t="n">
        <v>0.145</v>
      </c>
      <c r="Y146" s="318" t="n">
        <v>-0.0115</v>
      </c>
      <c r="Z146" s="318" t="n">
        <v>-0.0465</v>
      </c>
      <c r="AA146" s="318" t="n">
        <v>0.0155</v>
      </c>
      <c r="AB146" s="318" t="n">
        <v>0.0015</v>
      </c>
      <c r="AC146" s="318" t="n">
        <v>0.0025</v>
      </c>
      <c r="AD146" s="318" t="n">
        <v>-0.0225</v>
      </c>
      <c r="AE146" s="318" t="n">
        <v>-0.0725</v>
      </c>
      <c r="AF146" s="318" t="n">
        <v>-0.051</v>
      </c>
      <c r="AG146" s="318" t="n">
        <v>-0.0735</v>
      </c>
      <c r="AH146" s="318" t="n">
        <v>-0.0125</v>
      </c>
      <c r="AI146" s="318" t="n">
        <v>-0.072</v>
      </c>
      <c r="AJ146" s="318" t="n">
        <v>-0.0675</v>
      </c>
      <c r="AK146" s="318" t="n">
        <v>-0.017</v>
      </c>
      <c r="AL146" s="318" t="n">
        <v>0.023</v>
      </c>
      <c r="AM146" s="318" t="n">
        <v>0.36</v>
      </c>
      <c r="AN146" s="318" t="n">
        <v>0.0225</v>
      </c>
      <c r="AO146" s="318" t="n">
        <v>-0.45</v>
      </c>
      <c r="AP146" s="318" t="n">
        <v>-0.07</v>
      </c>
      <c r="AQ146" s="318" t="n">
        <v>-0.195</v>
      </c>
      <c r="AR146" s="318" t="n">
        <v>-0.1</v>
      </c>
      <c r="AS146" s="318" t="n">
        <v>-0.37</v>
      </c>
      <c r="AT146" s="318" t="n">
        <v>0</v>
      </c>
      <c r="AU146" s="318" t="n">
        <v>0.43</v>
      </c>
      <c r="AV146" s="318" t="n">
        <v>-0.45</v>
      </c>
      <c r="AW146" s="318" t="n">
        <v>-0.142</v>
      </c>
      <c r="AX146" s="318" t="n">
        <v>-0.06</v>
      </c>
      <c r="AY146" s="318" t="n">
        <v>-0.082</v>
      </c>
      <c r="AZ146" s="318" t="n">
        <v>-0.038</v>
      </c>
      <c r="BA146" s="318" t="n">
        <v>-0.0695</v>
      </c>
      <c r="BB146" s="318" t="n">
        <v>-0.0125</v>
      </c>
      <c r="BC146" s="318" t="n">
        <v>-0.043</v>
      </c>
      <c r="BD146" s="318" t="n">
        <v>-0.0075</v>
      </c>
      <c r="BE146" s="318" t="n">
        <v>-0.0725</v>
      </c>
      <c r="BF146" s="318" t="n">
        <v>0</v>
      </c>
      <c r="BG146" s="318" t="n">
        <v>0.14</v>
      </c>
      <c r="BH146" s="318" t="n">
        <v>0.145</v>
      </c>
      <c r="BI146" s="318" t="n">
        <v>0.125</v>
      </c>
      <c r="BJ146" s="318" t="n">
        <v>0.315</v>
      </c>
      <c r="BK146" s="318" t="n">
        <v>0.0025</v>
      </c>
      <c r="BL146" s="318" t="n">
        <v>-0.01</v>
      </c>
      <c r="BM146" s="318" t="n">
        <v>0.005</v>
      </c>
      <c r="BN146" s="318" t="n">
        <v>-0.01</v>
      </c>
      <c r="BO146" s="318" t="n">
        <v>0</v>
      </c>
      <c r="BP146" s="318" t="n">
        <v>0.005</v>
      </c>
      <c r="BQ146" s="318" t="n">
        <v>0.0025</v>
      </c>
      <c r="BR146" s="318" t="n">
        <v>0.01</v>
      </c>
      <c r="BS146" s="0" t="n">
        <v>0.005</v>
      </c>
      <c r="BT146" s="0" t="n">
        <v>0</v>
      </c>
      <c r="BU146" s="0" t="n">
        <v>0</v>
      </c>
      <c r="BV146" s="0" t="n">
        <v>0.03</v>
      </c>
    </row>
    <row r="147" customFormat="false" ht="12.75" hidden="false" customHeight="false" outlineLevel="0" collapsed="false">
      <c r="A147" s="320" t="e">
        <f aca="false">#REF!-B147</f>
        <v>#REF!</v>
      </c>
      <c r="B147" s="320" t="n">
        <v>3.536</v>
      </c>
      <c r="C147" s="327" t="n">
        <f aca="false">EOMONTH(C146,0)+1</f>
        <v>41579</v>
      </c>
      <c r="D147" s="0" t="n">
        <f aca="false">D135+0.05</f>
        <v>3.759</v>
      </c>
      <c r="E147" s="320" t="n">
        <v>0.17</v>
      </c>
      <c r="F147" s="318" t="n">
        <v>0.0601538973700957</v>
      </c>
      <c r="G147" s="318" t="n">
        <v>-0.13</v>
      </c>
      <c r="H147" s="318" t="n">
        <v>-0.15</v>
      </c>
      <c r="I147" s="330" t="n">
        <v>-0.09</v>
      </c>
      <c r="J147" s="330" t="n">
        <v>-0.13</v>
      </c>
      <c r="K147" s="318" t="n">
        <v>-0.09</v>
      </c>
      <c r="L147" s="318" t="n">
        <v>-0.038</v>
      </c>
      <c r="M147" s="318" t="n">
        <v>-0.058</v>
      </c>
      <c r="N147" s="318" t="n">
        <v>-0.12</v>
      </c>
      <c r="O147" s="318" t="n">
        <v>-0.12</v>
      </c>
      <c r="P147" s="318" t="n">
        <v>-0.13</v>
      </c>
      <c r="Q147" s="318" t="n">
        <v>-0.05775</v>
      </c>
      <c r="R147" s="318" t="n">
        <v>-0.038</v>
      </c>
      <c r="S147" s="318" t="n">
        <v>0.125</v>
      </c>
      <c r="T147" s="318" t="n">
        <v>0.145</v>
      </c>
      <c r="U147" s="318" t="n">
        <v>0.04</v>
      </c>
      <c r="V147" s="318" t="n">
        <v>0.5</v>
      </c>
      <c r="W147" s="318" t="n">
        <v>0.145</v>
      </c>
      <c r="X147" s="318" t="n">
        <v>0.175</v>
      </c>
      <c r="Y147" s="318" t="n">
        <v>-0.0115</v>
      </c>
      <c r="Z147" s="318" t="n">
        <v>-0.0465</v>
      </c>
      <c r="AA147" s="318" t="n">
        <v>0.0105</v>
      </c>
      <c r="AB147" s="318" t="n">
        <v>-0.0045</v>
      </c>
      <c r="AC147" s="318" t="n">
        <v>0.0025</v>
      </c>
      <c r="AD147" s="318" t="n">
        <v>-0.0225</v>
      </c>
      <c r="AE147" s="318" t="n">
        <v>-0.0725</v>
      </c>
      <c r="AF147" s="318" t="n">
        <v>-0.051</v>
      </c>
      <c r="AG147" s="318" t="n">
        <v>-0.0735</v>
      </c>
      <c r="AH147" s="318" t="n">
        <v>-0.0125</v>
      </c>
      <c r="AI147" s="318" t="n">
        <v>-0.072</v>
      </c>
      <c r="AJ147" s="318" t="n">
        <v>-0.0775</v>
      </c>
      <c r="AK147" s="318" t="n">
        <v>-0.017</v>
      </c>
      <c r="AL147" s="318" t="n">
        <v>0.023</v>
      </c>
      <c r="AM147" s="318" t="n">
        <v>0.4</v>
      </c>
      <c r="AN147" s="318" t="n">
        <v>0.0125</v>
      </c>
      <c r="AO147" s="318" t="n">
        <v>-0.45</v>
      </c>
      <c r="AP147" s="318" t="n">
        <v>-0.07</v>
      </c>
      <c r="AQ147" s="318" t="n">
        <v>-0.195</v>
      </c>
      <c r="AR147" s="318" t="n">
        <v>-0.1</v>
      </c>
      <c r="AS147" s="318" t="n">
        <v>-0.37</v>
      </c>
      <c r="AT147" s="318" t="n">
        <v>0</v>
      </c>
      <c r="AU147" s="318" t="n">
        <v>0.43</v>
      </c>
      <c r="AV147" s="318" t="n">
        <v>-0.45</v>
      </c>
      <c r="AW147" s="318" t="n">
        <v>-0.1295</v>
      </c>
      <c r="AX147" s="318" t="n">
        <v>-0.06</v>
      </c>
      <c r="AY147" s="318" t="n">
        <v>-0.0695</v>
      </c>
      <c r="AZ147" s="318" t="n">
        <v>-0.038</v>
      </c>
      <c r="BA147" s="318" t="n">
        <v>-0.072</v>
      </c>
      <c r="BB147" s="318" t="n">
        <v>-0.0125</v>
      </c>
      <c r="BC147" s="318" t="n">
        <v>-0.043</v>
      </c>
      <c r="BD147" s="318" t="n">
        <v>-0.0175</v>
      </c>
      <c r="BE147" s="318" t="n">
        <v>-0.0725</v>
      </c>
      <c r="BF147" s="318" t="n">
        <v>0</v>
      </c>
      <c r="BG147" s="318" t="n">
        <v>0.14</v>
      </c>
      <c r="BH147" s="318" t="n">
        <v>0.145</v>
      </c>
      <c r="BI147" s="318" t="n">
        <v>0.125</v>
      </c>
      <c r="BJ147" s="318" t="n">
        <v>0.36</v>
      </c>
      <c r="BK147" s="318" t="n">
        <v>0.0025</v>
      </c>
      <c r="BL147" s="318" t="n">
        <v>-0.015</v>
      </c>
      <c r="BM147" s="318" t="n">
        <v>0.005</v>
      </c>
      <c r="BN147" s="318" t="n">
        <v>-0.01</v>
      </c>
      <c r="BO147" s="318" t="n">
        <v>0</v>
      </c>
      <c r="BP147" s="318" t="n">
        <v>0.005</v>
      </c>
      <c r="BQ147" s="318" t="n">
        <v>0.0025</v>
      </c>
      <c r="BR147" s="318" t="n">
        <v>0.01</v>
      </c>
      <c r="BS147" s="0" t="n">
        <v>0.005</v>
      </c>
      <c r="BT147" s="0" t="n">
        <v>0</v>
      </c>
      <c r="BU147" s="0" t="n">
        <v>0</v>
      </c>
      <c r="BV147" s="0" t="n">
        <v>0.03</v>
      </c>
    </row>
    <row r="148" customFormat="false" ht="12.75" hidden="false" customHeight="false" outlineLevel="0" collapsed="false">
      <c r="A148" s="320" t="e">
        <f aca="false">#REF!-B148</f>
        <v>#REF!</v>
      </c>
      <c r="B148" s="320" t="n">
        <v>3.517</v>
      </c>
      <c r="C148" s="327" t="n">
        <f aca="false">EOMONTH(C147,0)+1</f>
        <v>41609</v>
      </c>
      <c r="D148" s="0" t="n">
        <f aca="false">D136+0.05</f>
        <v>3.894</v>
      </c>
      <c r="E148" s="320" t="n">
        <v>0.17</v>
      </c>
      <c r="F148" s="318" t="n">
        <v>0.0601977255879755</v>
      </c>
      <c r="G148" s="318" t="n">
        <v>-0.13</v>
      </c>
      <c r="H148" s="318" t="n">
        <v>-0.15</v>
      </c>
      <c r="I148" s="330" t="n">
        <v>-0.01</v>
      </c>
      <c r="J148" s="330" t="n">
        <v>-0.13</v>
      </c>
      <c r="K148" s="318" t="n">
        <v>0</v>
      </c>
      <c r="L148" s="318" t="n">
        <v>-0.0375</v>
      </c>
      <c r="M148" s="318" t="n">
        <v>-0.0725</v>
      </c>
      <c r="N148" s="318" t="n">
        <v>-0.12</v>
      </c>
      <c r="O148" s="318" t="n">
        <v>-0.12</v>
      </c>
      <c r="P148" s="318" t="n">
        <v>-0.13</v>
      </c>
      <c r="Q148" s="318" t="n">
        <v>-0.075</v>
      </c>
      <c r="R148" s="318" t="n">
        <v>-0.0375</v>
      </c>
      <c r="S148" s="318" t="n">
        <v>0.155</v>
      </c>
      <c r="T148" s="318" t="n">
        <v>0.175</v>
      </c>
      <c r="U148" s="318" t="n">
        <v>0.13</v>
      </c>
      <c r="V148" s="318" t="n">
        <v>0.5</v>
      </c>
      <c r="W148" s="318" t="n">
        <v>0.195</v>
      </c>
      <c r="X148" s="318" t="n">
        <v>0.21</v>
      </c>
      <c r="Y148" s="318" t="n">
        <v>-0.008999999</v>
      </c>
      <c r="Z148" s="318" t="n">
        <v>-0.0275</v>
      </c>
      <c r="AA148" s="318" t="n">
        <v>0.0115</v>
      </c>
      <c r="AB148" s="318" t="n">
        <v>-0.0015</v>
      </c>
      <c r="AC148" s="318" t="n">
        <v>0.0025</v>
      </c>
      <c r="AD148" s="318" t="n">
        <v>-0.0225</v>
      </c>
      <c r="AE148" s="318" t="n">
        <v>-0.075</v>
      </c>
      <c r="AF148" s="318" t="n">
        <v>-0.0535</v>
      </c>
      <c r="AG148" s="318" t="n">
        <v>-0.076</v>
      </c>
      <c r="AH148" s="318" t="n">
        <v>-0.008999999</v>
      </c>
      <c r="AI148" s="318" t="n">
        <v>-0.064</v>
      </c>
      <c r="AJ148" s="318" t="n">
        <v>-0.1125</v>
      </c>
      <c r="AK148" s="318" t="n">
        <v>-0.008999999</v>
      </c>
      <c r="AL148" s="318" t="n">
        <v>0.031</v>
      </c>
      <c r="AM148" s="318" t="n">
        <v>0.65</v>
      </c>
      <c r="AN148" s="318" t="n">
        <v>-0.0225</v>
      </c>
      <c r="AO148" s="318" t="n">
        <v>-0.34</v>
      </c>
      <c r="AP148" s="318" t="n">
        <v>-0.07</v>
      </c>
      <c r="AQ148" s="318" t="n">
        <v>-0.13</v>
      </c>
      <c r="AR148" s="318" t="n">
        <v>0.248</v>
      </c>
      <c r="AS148" s="318" t="n">
        <v>-0.26</v>
      </c>
      <c r="AT148" s="318" t="n">
        <v>0</v>
      </c>
      <c r="AU148" s="318" t="n">
        <v>0.35</v>
      </c>
      <c r="AV148" s="318" t="n">
        <v>-0.34</v>
      </c>
      <c r="AW148" s="318" t="n">
        <v>-0.137</v>
      </c>
      <c r="AX148" s="318" t="n">
        <v>-0.06</v>
      </c>
      <c r="AY148" s="318" t="n">
        <v>-0.077</v>
      </c>
      <c r="AZ148" s="318" t="n">
        <v>-0.0375</v>
      </c>
      <c r="BA148" s="318" t="n">
        <v>-0.067</v>
      </c>
      <c r="BB148" s="318" t="n">
        <v>-0.014</v>
      </c>
      <c r="BC148" s="318" t="n">
        <v>-0.0575</v>
      </c>
      <c r="BD148" s="318" t="n">
        <v>-0.0525</v>
      </c>
      <c r="BE148" s="318" t="n">
        <v>-0.075</v>
      </c>
      <c r="BF148" s="318" t="n">
        <v>0</v>
      </c>
      <c r="BG148" s="318" t="n">
        <v>0.17</v>
      </c>
      <c r="BH148" s="318" t="n">
        <v>0.175</v>
      </c>
      <c r="BI148" s="318" t="n">
        <v>0.155</v>
      </c>
      <c r="BJ148" s="318" t="n">
        <v>0.46</v>
      </c>
      <c r="BK148" s="318" t="n">
        <v>0.0025</v>
      </c>
      <c r="BL148" s="318" t="n">
        <v>-0.02</v>
      </c>
      <c r="BM148" s="318" t="n">
        <v>0.005</v>
      </c>
      <c r="BN148" s="318" t="n">
        <v>0</v>
      </c>
      <c r="BO148" s="318" t="n">
        <v>0</v>
      </c>
      <c r="BP148" s="318" t="n">
        <v>0.005</v>
      </c>
      <c r="BQ148" s="318" t="n">
        <v>0.005</v>
      </c>
      <c r="BR148" s="318" t="n">
        <v>0.055</v>
      </c>
      <c r="BS148" s="0" t="n">
        <v>0.02</v>
      </c>
      <c r="BT148" s="0" t="n">
        <v>0</v>
      </c>
      <c r="BU148" s="0" t="n">
        <v>0</v>
      </c>
      <c r="BV148" s="0" t="n">
        <v>0.03</v>
      </c>
    </row>
    <row r="149" customFormat="false" ht="12.75" hidden="false" customHeight="false" outlineLevel="0" collapsed="false">
      <c r="A149" s="320" t="e">
        <f aca="false">#REF!-B149</f>
        <v>#REF!</v>
      </c>
      <c r="B149" s="320" t="n">
        <v>3.506</v>
      </c>
      <c r="C149" s="327" t="n">
        <f aca="false">EOMONTH(C148,0)+1</f>
        <v>41640</v>
      </c>
      <c r="D149" s="0" t="n">
        <f aca="false">D137+0.05</f>
        <v>3.949</v>
      </c>
      <c r="E149" s="320" t="n">
        <v>0.17</v>
      </c>
      <c r="F149" s="318" t="n">
        <v>0.0602401399929824</v>
      </c>
      <c r="G149" s="318" t="n">
        <v>-0.1325</v>
      </c>
      <c r="H149" s="318" t="n">
        <v>-0.1525</v>
      </c>
      <c r="I149" s="330" t="n">
        <v>-0.005</v>
      </c>
      <c r="J149" s="330" t="n">
        <v>-0.13</v>
      </c>
      <c r="K149" s="318" t="n">
        <v>0.005</v>
      </c>
      <c r="L149" s="318" t="n">
        <v>-0.0375</v>
      </c>
      <c r="M149" s="318" t="n">
        <v>-0.0725</v>
      </c>
      <c r="N149" s="318" t="n">
        <v>-0.1225</v>
      </c>
      <c r="O149" s="318" t="n">
        <v>-0.1225</v>
      </c>
      <c r="P149" s="318" t="n">
        <v>-0.1325</v>
      </c>
      <c r="Q149" s="318" t="n">
        <v>-0.08625</v>
      </c>
      <c r="R149" s="318" t="n">
        <v>-0.0375</v>
      </c>
      <c r="S149" s="318" t="n">
        <v>0.155</v>
      </c>
      <c r="T149" s="318" t="n">
        <v>0.175</v>
      </c>
      <c r="U149" s="318" t="n">
        <v>0.13</v>
      </c>
      <c r="V149" s="318" t="n">
        <v>0.5</v>
      </c>
      <c r="W149" s="318" t="n">
        <v>0.215</v>
      </c>
      <c r="X149" s="318" t="n">
        <v>0.29</v>
      </c>
      <c r="Y149" s="318" t="n">
        <v>-0.008999999</v>
      </c>
      <c r="Z149" s="318" t="n">
        <v>-0.0275</v>
      </c>
      <c r="AA149" s="318" t="n">
        <v>0.0115</v>
      </c>
      <c r="AB149" s="318" t="n">
        <v>-0.0015</v>
      </c>
      <c r="AC149" s="318" t="n">
        <v>0.0025</v>
      </c>
      <c r="AD149" s="318" t="n">
        <v>-0.0225</v>
      </c>
      <c r="AE149" s="318" t="n">
        <v>-0.075</v>
      </c>
      <c r="AF149" s="318" t="n">
        <v>-0.0515</v>
      </c>
      <c r="AG149" s="318" t="n">
        <v>-0.074</v>
      </c>
      <c r="AH149" s="318" t="n">
        <v>-0.006499999</v>
      </c>
      <c r="AI149" s="318" t="n">
        <v>-0.064</v>
      </c>
      <c r="AJ149" s="318" t="n">
        <v>-0.135</v>
      </c>
      <c r="AK149" s="318" t="n">
        <v>-0.008999999</v>
      </c>
      <c r="AL149" s="318" t="n">
        <v>0.031</v>
      </c>
      <c r="AM149" s="318" t="n">
        <v>0.98</v>
      </c>
      <c r="AN149" s="318" t="n">
        <v>-0.045</v>
      </c>
      <c r="AO149" s="318" t="n">
        <v>-0.34</v>
      </c>
      <c r="AP149" s="318" t="n">
        <v>-0.07</v>
      </c>
      <c r="AQ149" s="318" t="n">
        <v>-0.13</v>
      </c>
      <c r="AR149" s="318" t="n">
        <v>0.308</v>
      </c>
      <c r="AS149" s="318" t="n">
        <v>-0.26</v>
      </c>
      <c r="AT149" s="318" t="n">
        <v>0</v>
      </c>
      <c r="AU149" s="318" t="n">
        <v>0.35</v>
      </c>
      <c r="AV149" s="318" t="n">
        <v>-0.34</v>
      </c>
      <c r="AW149" s="318" t="n">
        <v>-0.1645</v>
      </c>
      <c r="AX149" s="318" t="n">
        <v>-0.06</v>
      </c>
      <c r="AY149" s="318" t="n">
        <v>-0.1045</v>
      </c>
      <c r="AZ149" s="318" t="n">
        <v>-0.0375</v>
      </c>
      <c r="BA149" s="318" t="n">
        <v>-0.0945</v>
      </c>
      <c r="BB149" s="318" t="n">
        <v>-0.0115</v>
      </c>
      <c r="BC149" s="318" t="n">
        <v>-0.0575</v>
      </c>
      <c r="BD149" s="318" t="n">
        <v>-0.075</v>
      </c>
      <c r="BE149" s="318" t="n">
        <v>-0.075</v>
      </c>
      <c r="BF149" s="318" t="n">
        <v>0</v>
      </c>
      <c r="BG149" s="318" t="n">
        <v>0.17</v>
      </c>
      <c r="BH149" s="318" t="n">
        <v>0.175</v>
      </c>
      <c r="BI149" s="318" t="n">
        <v>0.155</v>
      </c>
      <c r="BJ149" s="318" t="n">
        <v>0.77</v>
      </c>
      <c r="BK149" s="318" t="n">
        <v>0.0025</v>
      </c>
      <c r="BL149" s="318" t="n">
        <v>-0.025</v>
      </c>
      <c r="BM149" s="318" t="n">
        <v>0.005</v>
      </c>
      <c r="BN149" s="318" t="n">
        <v>0</v>
      </c>
      <c r="BO149" s="318" t="n">
        <v>0</v>
      </c>
      <c r="BP149" s="318" t="n">
        <v>0.005</v>
      </c>
      <c r="BQ149" s="318" t="n">
        <v>0.005</v>
      </c>
      <c r="BR149" s="318" t="n">
        <v>0.25</v>
      </c>
      <c r="BS149" s="0" t="n">
        <v>0.02</v>
      </c>
      <c r="BT149" s="0" t="n">
        <v>0</v>
      </c>
      <c r="BU149" s="0" t="n">
        <v>0</v>
      </c>
      <c r="BV149" s="0" t="n">
        <v>0.03</v>
      </c>
    </row>
    <row r="150" customFormat="false" ht="12.75" hidden="false" customHeight="false" outlineLevel="0" collapsed="false">
      <c r="A150" s="320" t="e">
        <f aca="false">#REF!-B150</f>
        <v>#REF!</v>
      </c>
      <c r="B150" s="320" t="n">
        <v>3.571</v>
      </c>
      <c r="C150" s="327" t="n">
        <f aca="false">EOMONTH(C149,0)+1</f>
        <v>41671</v>
      </c>
      <c r="D150" s="0" t="n">
        <f aca="false">D138+0.05</f>
        <v>3.801</v>
      </c>
      <c r="E150" s="320" t="n">
        <v>0.17</v>
      </c>
      <c r="F150" s="318" t="n">
        <v>0.0602839682121181</v>
      </c>
      <c r="G150" s="318" t="n">
        <v>-0.135</v>
      </c>
      <c r="H150" s="318" t="n">
        <v>-0.155</v>
      </c>
      <c r="I150" s="330" t="n">
        <v>0.015</v>
      </c>
      <c r="J150" s="330" t="n">
        <v>-0.13</v>
      </c>
      <c r="K150" s="318" t="n">
        <v>0.025</v>
      </c>
      <c r="L150" s="318" t="n">
        <v>-0.0375</v>
      </c>
      <c r="M150" s="318" t="n">
        <v>-0.0725</v>
      </c>
      <c r="N150" s="318" t="n">
        <v>-0.125</v>
      </c>
      <c r="O150" s="318" t="n">
        <v>-0.125</v>
      </c>
      <c r="P150" s="318" t="n">
        <v>-0.135</v>
      </c>
      <c r="Q150" s="318" t="n">
        <v>-0.0875</v>
      </c>
      <c r="R150" s="318" t="n">
        <v>-0.0375</v>
      </c>
      <c r="S150" s="318" t="n">
        <v>0.155</v>
      </c>
      <c r="T150" s="318" t="n">
        <v>0.175</v>
      </c>
      <c r="U150" s="318" t="n">
        <v>0.13</v>
      </c>
      <c r="V150" s="318" t="n">
        <v>0.5</v>
      </c>
      <c r="W150" s="318" t="n">
        <v>0.235</v>
      </c>
      <c r="X150" s="318" t="n">
        <v>0.34</v>
      </c>
      <c r="Y150" s="318" t="n">
        <v>-0.006999999</v>
      </c>
      <c r="Z150" s="318" t="n">
        <v>-0.0275</v>
      </c>
      <c r="AA150" s="318" t="n">
        <v>0.0115</v>
      </c>
      <c r="AB150" s="318" t="n">
        <v>-0.0015</v>
      </c>
      <c r="AC150" s="318" t="n">
        <v>0.0025</v>
      </c>
      <c r="AD150" s="318" t="n">
        <v>-0.0205</v>
      </c>
      <c r="AE150" s="318" t="n">
        <v>-0.075</v>
      </c>
      <c r="AF150" s="318" t="n">
        <v>-0.0515</v>
      </c>
      <c r="AG150" s="318" t="n">
        <v>-0.074</v>
      </c>
      <c r="AH150" s="318" t="n">
        <v>-0.006499999</v>
      </c>
      <c r="AI150" s="318" t="n">
        <v>-0.064</v>
      </c>
      <c r="AJ150" s="318" t="n">
        <v>-0.1375</v>
      </c>
      <c r="AK150" s="318" t="n">
        <v>-0.008999999</v>
      </c>
      <c r="AL150" s="318" t="n">
        <v>0.031</v>
      </c>
      <c r="AM150" s="318" t="n">
        <v>1.6</v>
      </c>
      <c r="AN150" s="318" t="n">
        <v>-0.0475</v>
      </c>
      <c r="AO150" s="318" t="n">
        <v>-0.34</v>
      </c>
      <c r="AP150" s="318" t="n">
        <v>-0.07</v>
      </c>
      <c r="AQ150" s="318" t="n">
        <v>-0.13</v>
      </c>
      <c r="AR150" s="318" t="n">
        <v>0.378</v>
      </c>
      <c r="AS150" s="318" t="n">
        <v>-0.26</v>
      </c>
      <c r="AT150" s="318" t="n">
        <v>0</v>
      </c>
      <c r="AU150" s="318" t="n">
        <v>0.35</v>
      </c>
      <c r="AV150" s="318" t="n">
        <v>-0.34</v>
      </c>
      <c r="AW150" s="318" t="n">
        <v>-0.1795</v>
      </c>
      <c r="AX150" s="318" t="n">
        <v>-0.06</v>
      </c>
      <c r="AY150" s="318" t="n">
        <v>-0.1195</v>
      </c>
      <c r="AZ150" s="318" t="n">
        <v>-0.0375</v>
      </c>
      <c r="BA150" s="318" t="n">
        <v>-0.095</v>
      </c>
      <c r="BB150" s="318" t="n">
        <v>-0.0115</v>
      </c>
      <c r="BC150" s="318" t="n">
        <v>-0.0575</v>
      </c>
      <c r="BD150" s="318" t="n">
        <v>-0.0775</v>
      </c>
      <c r="BE150" s="318" t="n">
        <v>-0.075</v>
      </c>
      <c r="BF150" s="318" t="n">
        <v>0</v>
      </c>
      <c r="BG150" s="318" t="n">
        <v>0.17</v>
      </c>
      <c r="BH150" s="318" t="n">
        <v>0.175</v>
      </c>
      <c r="BI150" s="318" t="n">
        <v>0.155</v>
      </c>
      <c r="BJ150" s="318" t="n">
        <v>1.04</v>
      </c>
      <c r="BK150" s="318" t="n">
        <v>0.0025</v>
      </c>
      <c r="BL150" s="318" t="n">
        <v>-0.025</v>
      </c>
      <c r="BM150" s="318" t="n">
        <v>0.005</v>
      </c>
      <c r="BN150" s="318" t="n">
        <v>0</v>
      </c>
      <c r="BO150" s="318" t="n">
        <v>0</v>
      </c>
      <c r="BP150" s="318" t="n">
        <v>0.005</v>
      </c>
      <c r="BQ150" s="318" t="n">
        <v>0.005</v>
      </c>
      <c r="BR150" s="318" t="n">
        <v>0.45</v>
      </c>
      <c r="BS150" s="0" t="n">
        <v>0.02</v>
      </c>
      <c r="BT150" s="0" t="n">
        <v>0</v>
      </c>
      <c r="BU150" s="0" t="n">
        <v>0</v>
      </c>
      <c r="BV150" s="0" t="n">
        <v>0.03</v>
      </c>
    </row>
    <row r="151" customFormat="false" ht="12.75" hidden="false" customHeight="false" outlineLevel="0" collapsed="false">
      <c r="A151" s="320" t="e">
        <f aca="false">#REF!-B151</f>
        <v>#REF!</v>
      </c>
      <c r="B151" s="320" t="n">
        <v>3.566</v>
      </c>
      <c r="C151" s="327" t="n">
        <f aca="false">EOMONTH(C150,0)+1</f>
        <v>41699</v>
      </c>
      <c r="D151" s="0" t="n">
        <f aca="false">D139+0.05</f>
        <v>3.75</v>
      </c>
      <c r="E151" s="320" t="n">
        <v>0.17</v>
      </c>
      <c r="F151" s="318" t="n">
        <v>0.0603277964318911</v>
      </c>
      <c r="G151" s="318" t="n">
        <v>-0.1275</v>
      </c>
      <c r="H151" s="318" t="n">
        <v>-0.1475</v>
      </c>
      <c r="I151" s="330" t="n">
        <v>0.01</v>
      </c>
      <c r="J151" s="330" t="n">
        <v>-0.13</v>
      </c>
      <c r="K151" s="318" t="n">
        <v>0.02</v>
      </c>
      <c r="L151" s="318" t="n">
        <v>-0.0375</v>
      </c>
      <c r="M151" s="318" t="n">
        <v>-0.0725</v>
      </c>
      <c r="N151" s="318" t="n">
        <v>-0.1175</v>
      </c>
      <c r="O151" s="318" t="n">
        <v>-0.1175</v>
      </c>
      <c r="P151" s="318" t="n">
        <v>-0.1275</v>
      </c>
      <c r="Q151" s="318" t="n">
        <v>-0.07875</v>
      </c>
      <c r="R151" s="318" t="n">
        <v>-0.0375</v>
      </c>
      <c r="S151" s="318" t="n">
        <v>0.155</v>
      </c>
      <c r="T151" s="318" t="n">
        <v>0.175</v>
      </c>
      <c r="U151" s="318" t="n">
        <v>0.13</v>
      </c>
      <c r="V151" s="318" t="n">
        <v>0.5</v>
      </c>
      <c r="W151" s="318" t="n">
        <v>0.235</v>
      </c>
      <c r="X151" s="318" t="n">
        <v>0.34</v>
      </c>
      <c r="Y151" s="318" t="n">
        <v>-0.006999999</v>
      </c>
      <c r="Z151" s="318" t="n">
        <v>-0.0275</v>
      </c>
      <c r="AA151" s="318" t="n">
        <v>0.0115</v>
      </c>
      <c r="AB151" s="318" t="n">
        <v>-0.0015</v>
      </c>
      <c r="AC151" s="318" t="n">
        <v>0.0025</v>
      </c>
      <c r="AD151" s="318" t="n">
        <v>-0.0205</v>
      </c>
      <c r="AE151" s="318" t="n">
        <v>-0.075</v>
      </c>
      <c r="AF151" s="318" t="n">
        <v>-0.0515</v>
      </c>
      <c r="AG151" s="318" t="n">
        <v>-0.074</v>
      </c>
      <c r="AH151" s="318" t="n">
        <v>-0.006499999</v>
      </c>
      <c r="AI151" s="318" t="n">
        <v>-0.064</v>
      </c>
      <c r="AJ151" s="318" t="n">
        <v>-0.12</v>
      </c>
      <c r="AK151" s="318" t="n">
        <v>-0.008999999</v>
      </c>
      <c r="AL151" s="318" t="n">
        <v>0.031</v>
      </c>
      <c r="AM151" s="318" t="n">
        <v>1.6</v>
      </c>
      <c r="AN151" s="318" t="n">
        <v>-0.03</v>
      </c>
      <c r="AO151" s="318" t="n">
        <v>-0.34</v>
      </c>
      <c r="AP151" s="318" t="n">
        <v>-0.07</v>
      </c>
      <c r="AQ151" s="318" t="n">
        <v>-0.13</v>
      </c>
      <c r="AR151" s="318" t="n">
        <v>0.248</v>
      </c>
      <c r="AS151" s="318" t="n">
        <v>-0.26</v>
      </c>
      <c r="AT151" s="318" t="n">
        <v>0</v>
      </c>
      <c r="AU151" s="318" t="n">
        <v>0.35</v>
      </c>
      <c r="AV151" s="318" t="n">
        <v>-0.34</v>
      </c>
      <c r="AW151" s="318" t="n">
        <v>-0.1695</v>
      </c>
      <c r="AX151" s="318" t="n">
        <v>-0.06</v>
      </c>
      <c r="AY151" s="318" t="n">
        <v>-0.1095</v>
      </c>
      <c r="AZ151" s="318" t="n">
        <v>-0.0375</v>
      </c>
      <c r="BA151" s="318" t="n">
        <v>-0.095</v>
      </c>
      <c r="BB151" s="318" t="n">
        <v>-0.0115</v>
      </c>
      <c r="BC151" s="318" t="n">
        <v>-0.0575</v>
      </c>
      <c r="BD151" s="318" t="n">
        <v>-0.06</v>
      </c>
      <c r="BE151" s="318" t="n">
        <v>-0.075</v>
      </c>
      <c r="BF151" s="318" t="n">
        <v>0</v>
      </c>
      <c r="BG151" s="318" t="n">
        <v>0.17</v>
      </c>
      <c r="BH151" s="318" t="n">
        <v>0.175</v>
      </c>
      <c r="BI151" s="318" t="n">
        <v>0.155</v>
      </c>
      <c r="BJ151" s="318" t="n">
        <v>1.04</v>
      </c>
      <c r="BK151" s="318" t="n">
        <v>0.0025</v>
      </c>
      <c r="BL151" s="318" t="n">
        <v>-0.025</v>
      </c>
      <c r="BM151" s="318" t="n">
        <v>0.005</v>
      </c>
      <c r="BN151" s="318" t="n">
        <v>0</v>
      </c>
      <c r="BO151" s="318" t="n">
        <v>0</v>
      </c>
      <c r="BP151" s="318" t="n">
        <v>0.005</v>
      </c>
      <c r="BQ151" s="318" t="n">
        <v>0.005</v>
      </c>
      <c r="BR151" s="318" t="n">
        <v>0.45</v>
      </c>
      <c r="BS151" s="0" t="n">
        <v>0.02</v>
      </c>
      <c r="BT151" s="0" t="n">
        <v>0</v>
      </c>
      <c r="BU151" s="0" t="n">
        <v>0</v>
      </c>
      <c r="BV151" s="0" t="n">
        <v>0.03</v>
      </c>
    </row>
    <row r="152" customFormat="false" ht="12.75" hidden="false" customHeight="false" outlineLevel="0" collapsed="false">
      <c r="A152" s="320" t="e">
        <f aca="false">#REF!-B152</f>
        <v>#REF!</v>
      </c>
      <c r="B152" s="320" t="n">
        <v>3.547</v>
      </c>
      <c r="C152" s="327" t="n">
        <f aca="false">EOMONTH(C151,0)+1</f>
        <v>41730</v>
      </c>
      <c r="D152" s="0" t="n">
        <f aca="false">D140+0.05</f>
        <v>3.531</v>
      </c>
      <c r="E152" s="320" t="n">
        <v>0.17</v>
      </c>
      <c r="F152" s="318" t="n">
        <v>0.0603673832115903</v>
      </c>
      <c r="G152" s="318" t="n">
        <v>-0.125</v>
      </c>
      <c r="H152" s="318" t="n">
        <v>-0.145</v>
      </c>
      <c r="I152" s="330" t="n">
        <v>-0.01</v>
      </c>
      <c r="J152" s="330" t="n">
        <v>-0.13</v>
      </c>
      <c r="K152" s="318" t="n">
        <v>0</v>
      </c>
      <c r="L152" s="318" t="n">
        <v>-0.0375</v>
      </c>
      <c r="M152" s="318" t="n">
        <v>-0.0725</v>
      </c>
      <c r="N152" s="318" t="n">
        <v>-0.115</v>
      </c>
      <c r="O152" s="318" t="n">
        <v>-0.115</v>
      </c>
      <c r="P152" s="318" t="n">
        <v>-0.125</v>
      </c>
      <c r="Q152" s="318" t="n">
        <v>-0.0725</v>
      </c>
      <c r="R152" s="318" t="n">
        <v>-0.0375</v>
      </c>
      <c r="S152" s="318" t="n">
        <v>0.155</v>
      </c>
      <c r="T152" s="318" t="n">
        <v>0.175</v>
      </c>
      <c r="U152" s="318" t="n">
        <v>0.13</v>
      </c>
      <c r="V152" s="318" t="n">
        <v>0.5</v>
      </c>
      <c r="W152" s="318" t="n">
        <v>0.195</v>
      </c>
      <c r="X152" s="318" t="n">
        <v>0.29</v>
      </c>
      <c r="Y152" s="318" t="n">
        <v>-0.006999999</v>
      </c>
      <c r="Z152" s="318" t="n">
        <v>-0.0275</v>
      </c>
      <c r="AA152" s="318" t="n">
        <v>0.019</v>
      </c>
      <c r="AB152" s="318" t="n">
        <v>0.004</v>
      </c>
      <c r="AC152" s="318" t="n">
        <v>0.0025</v>
      </c>
      <c r="AD152" s="318" t="n">
        <v>-0.0205</v>
      </c>
      <c r="AE152" s="318" t="n">
        <v>-0.075</v>
      </c>
      <c r="AF152" s="318" t="n">
        <v>-0.0515</v>
      </c>
      <c r="AG152" s="318" t="n">
        <v>-0.074</v>
      </c>
      <c r="AH152" s="318" t="n">
        <v>-0.006499999</v>
      </c>
      <c r="AI152" s="318" t="n">
        <v>-0.064</v>
      </c>
      <c r="AJ152" s="318" t="n">
        <v>-0.1075</v>
      </c>
      <c r="AK152" s="318" t="n">
        <v>-0.008999999</v>
      </c>
      <c r="AL152" s="318" t="n">
        <v>0.031</v>
      </c>
      <c r="AM152" s="318" t="n">
        <v>0.64</v>
      </c>
      <c r="AN152" s="318" t="n">
        <v>-0.0175</v>
      </c>
      <c r="AO152" s="318" t="n">
        <v>-0.34</v>
      </c>
      <c r="AP152" s="318" t="n">
        <v>-0.07</v>
      </c>
      <c r="AQ152" s="318" t="n">
        <v>-0.13</v>
      </c>
      <c r="AR152" s="318" t="n">
        <v>0.068</v>
      </c>
      <c r="AS152" s="318" t="n">
        <v>-0.26</v>
      </c>
      <c r="AT152" s="318" t="n">
        <v>0</v>
      </c>
      <c r="AU152" s="318" t="n">
        <v>0.35</v>
      </c>
      <c r="AV152" s="318" t="n">
        <v>-0.34</v>
      </c>
      <c r="AW152" s="318" t="n">
        <v>-0.1595</v>
      </c>
      <c r="AX152" s="318" t="n">
        <v>-0.06</v>
      </c>
      <c r="AY152" s="318" t="n">
        <v>-0.0995</v>
      </c>
      <c r="AZ152" s="318" t="n">
        <v>-0.0375</v>
      </c>
      <c r="BA152" s="318" t="n">
        <v>-0.095</v>
      </c>
      <c r="BB152" s="318" t="n">
        <v>-0.0115</v>
      </c>
      <c r="BC152" s="318" t="n">
        <v>-0.0575</v>
      </c>
      <c r="BD152" s="318" t="n">
        <v>-0.0475</v>
      </c>
      <c r="BE152" s="318" t="n">
        <v>-0.075</v>
      </c>
      <c r="BF152" s="318" t="n">
        <v>0</v>
      </c>
      <c r="BG152" s="318" t="n">
        <v>0.17</v>
      </c>
      <c r="BH152" s="318" t="n">
        <v>0.175</v>
      </c>
      <c r="BI152" s="318" t="n">
        <v>0.155</v>
      </c>
      <c r="BJ152" s="318" t="n">
        <v>0.54</v>
      </c>
      <c r="BK152" s="318" t="n">
        <v>0.0025</v>
      </c>
      <c r="BL152" s="318" t="n">
        <v>-0.02</v>
      </c>
      <c r="BM152" s="318" t="n">
        <v>0.005</v>
      </c>
      <c r="BN152" s="318" t="n">
        <v>0</v>
      </c>
      <c r="BO152" s="318" t="n">
        <v>0</v>
      </c>
      <c r="BP152" s="318" t="n">
        <v>0.005</v>
      </c>
      <c r="BQ152" s="318" t="n">
        <v>0.005</v>
      </c>
      <c r="BR152" s="318" t="n">
        <v>0.1</v>
      </c>
      <c r="BS152" s="0" t="n">
        <v>0.02</v>
      </c>
      <c r="BT152" s="0" t="n">
        <v>0</v>
      </c>
      <c r="BU152" s="0" t="n">
        <v>0</v>
      </c>
      <c r="BV152" s="0" t="n">
        <v>0.03</v>
      </c>
    </row>
    <row r="153" customFormat="false" ht="12.75" hidden="false" customHeight="false" outlineLevel="0" collapsed="false">
      <c r="A153" s="320" t="e">
        <f aca="false">#REF!-B153</f>
        <v>#REF!</v>
      </c>
      <c r="B153" s="320" t="n">
        <v>3.556</v>
      </c>
      <c r="C153" s="327" t="n">
        <f aca="false">EOMONTH(C152,0)+1</f>
        <v>41760</v>
      </c>
      <c r="D153" s="0" t="n">
        <f aca="false">D141+0.05</f>
        <v>3.534</v>
      </c>
      <c r="E153" s="320" t="n">
        <v>0.17</v>
      </c>
      <c r="F153" s="318" t="n">
        <v>0.0604112114325779</v>
      </c>
      <c r="G153" s="318" t="n">
        <v>-0.13</v>
      </c>
      <c r="H153" s="318" t="n">
        <v>-0.15</v>
      </c>
      <c r="I153" s="330" t="n">
        <v>-0.09</v>
      </c>
      <c r="J153" s="330" t="n">
        <v>-0.13</v>
      </c>
      <c r="K153" s="318" t="n">
        <v>-0.09</v>
      </c>
      <c r="L153" s="318" t="n">
        <v>-0.03</v>
      </c>
      <c r="M153" s="318" t="n">
        <v>-0.0555</v>
      </c>
      <c r="N153" s="318" t="n">
        <v>-0.12</v>
      </c>
      <c r="O153" s="318" t="n">
        <v>-0.12</v>
      </c>
      <c r="P153" s="318" t="n">
        <v>-0.13</v>
      </c>
      <c r="Q153" s="318" t="n">
        <v>-0.0525</v>
      </c>
      <c r="R153" s="318" t="n">
        <v>-0.035</v>
      </c>
      <c r="S153" s="318" t="n">
        <v>0.125</v>
      </c>
      <c r="T153" s="318" t="n">
        <v>0.145</v>
      </c>
      <c r="U153" s="318" t="n">
        <v>0.04</v>
      </c>
      <c r="V153" s="318" t="n">
        <v>0.5</v>
      </c>
      <c r="W153" s="318" t="n">
        <v>0.145</v>
      </c>
      <c r="X153" s="318" t="n">
        <v>0.195</v>
      </c>
      <c r="Y153" s="318" t="n">
        <v>-0.009499999</v>
      </c>
      <c r="Z153" s="318" t="n">
        <v>-0.0425</v>
      </c>
      <c r="AA153" s="318" t="n">
        <v>0.019</v>
      </c>
      <c r="AB153" s="318" t="n">
        <v>0.004</v>
      </c>
      <c r="AC153" s="318" t="n">
        <v>0.0025</v>
      </c>
      <c r="AD153" s="318" t="n">
        <v>-0.0205</v>
      </c>
      <c r="AE153" s="318" t="n">
        <v>-0.0725</v>
      </c>
      <c r="AF153" s="318" t="n">
        <v>-0.049</v>
      </c>
      <c r="AG153" s="318" t="n">
        <v>-0.0715</v>
      </c>
      <c r="AH153" s="318" t="n">
        <v>-0.0115</v>
      </c>
      <c r="AI153" s="318" t="n">
        <v>-0.072</v>
      </c>
      <c r="AJ153" s="318" t="n">
        <v>-0.07</v>
      </c>
      <c r="AK153" s="318" t="n">
        <v>-0.017</v>
      </c>
      <c r="AL153" s="318" t="n">
        <v>0.023</v>
      </c>
      <c r="AM153" s="318" t="n">
        <v>0.38</v>
      </c>
      <c r="AN153" s="318" t="n">
        <v>0.02</v>
      </c>
      <c r="AO153" s="318" t="n">
        <v>-0.45</v>
      </c>
      <c r="AP153" s="318" t="n">
        <v>-0.07</v>
      </c>
      <c r="AQ153" s="318" t="n">
        <v>-0.195</v>
      </c>
      <c r="AR153" s="318" t="n">
        <v>-0.25</v>
      </c>
      <c r="AS153" s="318" t="n">
        <v>-0.37</v>
      </c>
      <c r="AT153" s="318" t="n">
        <v>0</v>
      </c>
      <c r="AU153" s="318" t="n">
        <v>0.43</v>
      </c>
      <c r="AV153" s="318" t="n">
        <v>-0.45</v>
      </c>
      <c r="AW153" s="318" t="n">
        <v>-0.2</v>
      </c>
      <c r="AX153" s="318" t="n">
        <v>-0.06</v>
      </c>
      <c r="AY153" s="318" t="n">
        <v>-0.14</v>
      </c>
      <c r="AZ153" s="318" t="n">
        <v>-0.035</v>
      </c>
      <c r="BA153" s="318" t="n">
        <v>-0.1175</v>
      </c>
      <c r="BB153" s="318" t="n">
        <v>-0.0115</v>
      </c>
      <c r="BC153" s="318" t="n">
        <v>-0.0405</v>
      </c>
      <c r="BD153" s="318" t="n">
        <v>-0.01</v>
      </c>
      <c r="BE153" s="318" t="n">
        <v>-0.0725</v>
      </c>
      <c r="BF153" s="318" t="n">
        <v>0</v>
      </c>
      <c r="BG153" s="318" t="n">
        <v>0.14</v>
      </c>
      <c r="BH153" s="318" t="n">
        <v>0.145</v>
      </c>
      <c r="BI153" s="318" t="n">
        <v>0.125</v>
      </c>
      <c r="BJ153" s="318" t="n">
        <v>0.36</v>
      </c>
      <c r="BK153" s="318" t="n">
        <v>0.0025</v>
      </c>
      <c r="BL153" s="318" t="n">
        <v>-0.015</v>
      </c>
      <c r="BM153" s="318" t="n">
        <v>0.005</v>
      </c>
      <c r="BN153" s="318" t="n">
        <v>-0.01</v>
      </c>
      <c r="BO153" s="318" t="n">
        <v>0</v>
      </c>
      <c r="BP153" s="318" t="n">
        <v>0.005</v>
      </c>
      <c r="BQ153" s="318" t="n">
        <v>0.0025</v>
      </c>
      <c r="BR153" s="318" t="n">
        <v>0.02</v>
      </c>
      <c r="BS153" s="0" t="n">
        <v>0.005</v>
      </c>
      <c r="BT153" s="0" t="n">
        <v>0</v>
      </c>
      <c r="BU153" s="0" t="n">
        <v>0</v>
      </c>
      <c r="BV153" s="0" t="n">
        <v>0.03</v>
      </c>
    </row>
    <row r="154" customFormat="false" ht="12.75" hidden="false" customHeight="false" outlineLevel="0" collapsed="false">
      <c r="A154" s="320" t="e">
        <f aca="false">#REF!-B154</f>
        <v>#REF!</v>
      </c>
      <c r="B154" s="320" t="n">
        <v>3.623</v>
      </c>
      <c r="C154" s="327" t="n">
        <f aca="false">EOMONTH(C153,0)+1</f>
        <v>41791</v>
      </c>
      <c r="D154" s="0" t="n">
        <f aca="false">D142+0.05</f>
        <v>3.574</v>
      </c>
      <c r="E154" s="320" t="n">
        <v>0.17</v>
      </c>
      <c r="F154" s="318" t="n">
        <v>0.0604536258405934</v>
      </c>
      <c r="G154" s="318" t="n">
        <v>-0.13</v>
      </c>
      <c r="H154" s="318" t="n">
        <v>-0.15</v>
      </c>
      <c r="I154" s="330" t="n">
        <v>-0.09</v>
      </c>
      <c r="J154" s="330" t="n">
        <v>-0.13</v>
      </c>
      <c r="K154" s="318" t="n">
        <v>-0.09</v>
      </c>
      <c r="L154" s="318" t="n">
        <v>-0.03</v>
      </c>
      <c r="M154" s="318" t="n">
        <v>-0.0555</v>
      </c>
      <c r="N154" s="318" t="n">
        <v>-0.12</v>
      </c>
      <c r="O154" s="318" t="n">
        <v>-0.12</v>
      </c>
      <c r="P154" s="318" t="n">
        <v>-0.13</v>
      </c>
      <c r="Q154" s="318" t="n">
        <v>-0.0525</v>
      </c>
      <c r="R154" s="318" t="n">
        <v>-0.035</v>
      </c>
      <c r="S154" s="318" t="n">
        <v>0.125</v>
      </c>
      <c r="T154" s="318" t="n">
        <v>0.145</v>
      </c>
      <c r="U154" s="318" t="n">
        <v>0.04</v>
      </c>
      <c r="V154" s="318" t="n">
        <v>0.5</v>
      </c>
      <c r="W154" s="318" t="n">
        <v>0.125</v>
      </c>
      <c r="X154" s="318" t="n">
        <v>0.135</v>
      </c>
      <c r="Y154" s="318" t="n">
        <v>-0.009499999</v>
      </c>
      <c r="Z154" s="318" t="n">
        <v>-0.0425</v>
      </c>
      <c r="AA154" s="318" t="n">
        <v>0.0215</v>
      </c>
      <c r="AB154" s="318" t="n">
        <v>0.0065</v>
      </c>
      <c r="AC154" s="318" t="n">
        <v>0.0025</v>
      </c>
      <c r="AD154" s="318" t="n">
        <v>-0.0205</v>
      </c>
      <c r="AE154" s="318" t="n">
        <v>-0.0725</v>
      </c>
      <c r="AF154" s="318" t="n">
        <v>-0.049</v>
      </c>
      <c r="AG154" s="318" t="n">
        <v>-0.0715</v>
      </c>
      <c r="AH154" s="318" t="n">
        <v>-0.0115</v>
      </c>
      <c r="AI154" s="318" t="n">
        <v>-0.072</v>
      </c>
      <c r="AJ154" s="318" t="n">
        <v>-0.07</v>
      </c>
      <c r="AK154" s="318" t="n">
        <v>-0.017</v>
      </c>
      <c r="AL154" s="318" t="n">
        <v>0.023</v>
      </c>
      <c r="AM154" s="318" t="n">
        <v>0.33</v>
      </c>
      <c r="AN154" s="318" t="n">
        <v>0.02</v>
      </c>
      <c r="AO154" s="318" t="n">
        <v>-0.45</v>
      </c>
      <c r="AP154" s="318" t="n">
        <v>-0.07</v>
      </c>
      <c r="AQ154" s="318" t="n">
        <v>-0.195</v>
      </c>
      <c r="AR154" s="318" t="n">
        <v>-0.1</v>
      </c>
      <c r="AS154" s="318" t="n">
        <v>-0.37</v>
      </c>
      <c r="AT154" s="318" t="n">
        <v>0</v>
      </c>
      <c r="AU154" s="318" t="n">
        <v>0.43</v>
      </c>
      <c r="AV154" s="318" t="n">
        <v>-0.45</v>
      </c>
      <c r="AW154" s="318" t="n">
        <v>-0.1775</v>
      </c>
      <c r="AX154" s="318" t="n">
        <v>-0.06</v>
      </c>
      <c r="AY154" s="318" t="n">
        <v>-0.1175</v>
      </c>
      <c r="AZ154" s="318" t="n">
        <v>-0.035</v>
      </c>
      <c r="BA154" s="318" t="n">
        <v>-0.11</v>
      </c>
      <c r="BB154" s="318" t="n">
        <v>-0.0115</v>
      </c>
      <c r="BC154" s="318" t="n">
        <v>-0.0405</v>
      </c>
      <c r="BD154" s="318" t="n">
        <v>-0.01</v>
      </c>
      <c r="BE154" s="318" t="n">
        <v>-0.0725</v>
      </c>
      <c r="BF154" s="318" t="n">
        <v>0</v>
      </c>
      <c r="BG154" s="318" t="n">
        <v>0.14</v>
      </c>
      <c r="BH154" s="318" t="n">
        <v>0.145</v>
      </c>
      <c r="BI154" s="318" t="n">
        <v>0.125</v>
      </c>
      <c r="BJ154" s="318" t="n">
        <v>0.325</v>
      </c>
      <c r="BK154" s="318" t="n">
        <v>0.0025</v>
      </c>
      <c r="BL154" s="318" t="n">
        <v>-0.015</v>
      </c>
      <c r="BM154" s="318" t="n">
        <v>0.005</v>
      </c>
      <c r="BN154" s="318" t="n">
        <v>-0.01</v>
      </c>
      <c r="BO154" s="318" t="n">
        <v>0</v>
      </c>
      <c r="BP154" s="318" t="n">
        <v>0.005</v>
      </c>
      <c r="BQ154" s="318" t="n">
        <v>0.0025</v>
      </c>
      <c r="BR154" s="318" t="n">
        <v>0.02</v>
      </c>
      <c r="BS154" s="0" t="n">
        <v>0.005</v>
      </c>
      <c r="BT154" s="0" t="n">
        <v>0</v>
      </c>
      <c r="BU154" s="0" t="n">
        <v>0</v>
      </c>
      <c r="BV154" s="0" t="n">
        <v>0.03</v>
      </c>
    </row>
    <row r="155" customFormat="false" ht="12.75" hidden="false" customHeight="false" outlineLevel="0" collapsed="false">
      <c r="A155" s="320" t="e">
        <f aca="false">#REF!-B155</f>
        <v>#REF!</v>
      </c>
      <c r="B155" s="320" t="n">
        <v>3.705</v>
      </c>
      <c r="C155" s="327" t="n">
        <f aca="false">EOMONTH(C154,0)+1</f>
        <v>41821</v>
      </c>
      <c r="D155" s="0" t="n">
        <f aca="false">D143+0.05</f>
        <v>3.614</v>
      </c>
      <c r="E155" s="320" t="n">
        <v>0.17</v>
      </c>
      <c r="F155" s="318" t="n">
        <v>0.0604974540628369</v>
      </c>
      <c r="G155" s="318" t="n">
        <v>-0.13</v>
      </c>
      <c r="H155" s="318" t="n">
        <v>-0.15</v>
      </c>
      <c r="I155" s="330" t="n">
        <v>-0.09</v>
      </c>
      <c r="J155" s="330" t="n">
        <v>-0.13</v>
      </c>
      <c r="K155" s="318" t="n">
        <v>-0.09</v>
      </c>
      <c r="L155" s="318" t="n">
        <v>-0.03</v>
      </c>
      <c r="M155" s="318" t="n">
        <v>-0.0555</v>
      </c>
      <c r="N155" s="318" t="n">
        <v>-0.12</v>
      </c>
      <c r="O155" s="318" t="n">
        <v>-0.12</v>
      </c>
      <c r="P155" s="318" t="n">
        <v>-0.13</v>
      </c>
      <c r="Q155" s="318" t="n">
        <v>-0.05</v>
      </c>
      <c r="R155" s="318" t="n">
        <v>-0.035</v>
      </c>
      <c r="S155" s="318" t="n">
        <v>0.125</v>
      </c>
      <c r="T155" s="318" t="n">
        <v>0.145</v>
      </c>
      <c r="U155" s="318" t="n">
        <v>0.04</v>
      </c>
      <c r="V155" s="318" t="n">
        <v>0.5</v>
      </c>
      <c r="W155" s="318" t="n">
        <v>0.145</v>
      </c>
      <c r="X155" s="318" t="n">
        <v>0.165</v>
      </c>
      <c r="Y155" s="318" t="n">
        <v>-0.009499999</v>
      </c>
      <c r="Z155" s="318" t="n">
        <v>-0.04</v>
      </c>
      <c r="AA155" s="318" t="n">
        <v>0.0215</v>
      </c>
      <c r="AB155" s="318" t="n">
        <v>0.0065</v>
      </c>
      <c r="AC155" s="318" t="n">
        <v>0.0025</v>
      </c>
      <c r="AD155" s="318" t="n">
        <v>-0.0205</v>
      </c>
      <c r="AE155" s="318" t="n">
        <v>-0.0725</v>
      </c>
      <c r="AF155" s="318" t="n">
        <v>-0.049</v>
      </c>
      <c r="AG155" s="318" t="n">
        <v>-0.0715</v>
      </c>
      <c r="AH155" s="318" t="n">
        <v>-0.0115</v>
      </c>
      <c r="AI155" s="318" t="n">
        <v>-0.072</v>
      </c>
      <c r="AJ155" s="318" t="n">
        <v>-0.065</v>
      </c>
      <c r="AK155" s="318" t="n">
        <v>-0.017</v>
      </c>
      <c r="AL155" s="318" t="n">
        <v>0.023</v>
      </c>
      <c r="AM155" s="318" t="n">
        <v>0.37</v>
      </c>
      <c r="AN155" s="318" t="n">
        <v>0.025</v>
      </c>
      <c r="AO155" s="318" t="n">
        <v>-0.45</v>
      </c>
      <c r="AP155" s="318" t="n">
        <v>-0.07</v>
      </c>
      <c r="AQ155" s="318" t="n">
        <v>-0.195</v>
      </c>
      <c r="AR155" s="318" t="n">
        <v>-0.1</v>
      </c>
      <c r="AS155" s="318" t="n">
        <v>-0.37</v>
      </c>
      <c r="AT155" s="318" t="n">
        <v>0</v>
      </c>
      <c r="AU155" s="318" t="n">
        <v>0.43</v>
      </c>
      <c r="AV155" s="318" t="n">
        <v>-0.45</v>
      </c>
      <c r="AW155" s="318" t="n">
        <v>-0.125</v>
      </c>
      <c r="AX155" s="318" t="n">
        <v>-0.06</v>
      </c>
      <c r="AY155" s="318" t="n">
        <v>-0.065</v>
      </c>
      <c r="AZ155" s="318" t="n">
        <v>-0.035</v>
      </c>
      <c r="BA155" s="318" t="n">
        <v>-0.0675</v>
      </c>
      <c r="BB155" s="318" t="n">
        <v>-0.0115</v>
      </c>
      <c r="BC155" s="318" t="n">
        <v>-0.0405</v>
      </c>
      <c r="BD155" s="318" t="n">
        <v>-0.005</v>
      </c>
      <c r="BE155" s="318" t="n">
        <v>-0.0725</v>
      </c>
      <c r="BF155" s="318" t="n">
        <v>0</v>
      </c>
      <c r="BG155" s="318" t="n">
        <v>0.14</v>
      </c>
      <c r="BH155" s="318" t="n">
        <v>0.145</v>
      </c>
      <c r="BI155" s="318" t="n">
        <v>0.125</v>
      </c>
      <c r="BJ155" s="318" t="n">
        <v>0.335</v>
      </c>
      <c r="BK155" s="318" t="n">
        <v>0.0025</v>
      </c>
      <c r="BL155" s="318" t="n">
        <v>-0.015</v>
      </c>
      <c r="BM155" s="318" t="n">
        <v>0.005</v>
      </c>
      <c r="BN155" s="318" t="n">
        <v>-0.01</v>
      </c>
      <c r="BO155" s="318" t="n">
        <v>0</v>
      </c>
      <c r="BP155" s="318" t="n">
        <v>0.005</v>
      </c>
      <c r="BQ155" s="318" t="n">
        <v>0.0025</v>
      </c>
      <c r="BR155" s="318" t="n">
        <v>0.035</v>
      </c>
      <c r="BS155" s="0" t="n">
        <v>0.005</v>
      </c>
      <c r="BT155" s="0" t="n">
        <v>0</v>
      </c>
      <c r="BU155" s="0" t="n">
        <v>0</v>
      </c>
      <c r="BV155" s="0" t="n">
        <v>0.03</v>
      </c>
    </row>
    <row r="156" customFormat="false" ht="12.75" hidden="false" customHeight="false" outlineLevel="0" collapsed="false">
      <c r="A156" s="320" t="e">
        <f aca="false">#REF!-B156</f>
        <v>#REF!</v>
      </c>
      <c r="B156" s="320" t="n">
        <v>3.978</v>
      </c>
      <c r="C156" s="327" t="n">
        <f aca="false">EOMONTH(C155,0)+1</f>
        <v>41852</v>
      </c>
      <c r="D156" s="0" t="n">
        <f aca="false">D144+0.05</f>
        <v>3.664</v>
      </c>
      <c r="E156" s="320" t="n">
        <v>0.17</v>
      </c>
      <c r="F156" s="318" t="n">
        <v>0.0605398684720679</v>
      </c>
      <c r="G156" s="318" t="n">
        <v>-0.13</v>
      </c>
      <c r="H156" s="318" t="n">
        <v>-0.15</v>
      </c>
      <c r="I156" s="330" t="n">
        <v>-0.09</v>
      </c>
      <c r="J156" s="330" t="n">
        <v>-0.13</v>
      </c>
      <c r="K156" s="318" t="n">
        <v>-0.09</v>
      </c>
      <c r="L156" s="318" t="n">
        <v>-0.03</v>
      </c>
      <c r="M156" s="318" t="n">
        <v>-0.0555</v>
      </c>
      <c r="N156" s="318" t="n">
        <v>-0.12</v>
      </c>
      <c r="O156" s="318" t="n">
        <v>-0.12</v>
      </c>
      <c r="P156" s="318" t="n">
        <v>-0.13</v>
      </c>
      <c r="Q156" s="318" t="n">
        <v>-0.04875</v>
      </c>
      <c r="R156" s="318" t="n">
        <v>-0.035</v>
      </c>
      <c r="S156" s="318" t="n">
        <v>0.125</v>
      </c>
      <c r="T156" s="318" t="n">
        <v>0.145</v>
      </c>
      <c r="U156" s="318" t="n">
        <v>0.04</v>
      </c>
      <c r="V156" s="318" t="n">
        <v>0.5</v>
      </c>
      <c r="W156" s="318" t="n">
        <v>0.15</v>
      </c>
      <c r="X156" s="318" t="n">
        <v>0.205</v>
      </c>
      <c r="Y156" s="318" t="n">
        <v>-0.009499999</v>
      </c>
      <c r="Z156" s="318" t="n">
        <v>-0.04</v>
      </c>
      <c r="AA156" s="318" t="n">
        <v>0.0215</v>
      </c>
      <c r="AB156" s="318" t="n">
        <v>0.0065</v>
      </c>
      <c r="AC156" s="318" t="n">
        <v>0.0025</v>
      </c>
      <c r="AD156" s="318" t="n">
        <v>-0.0205</v>
      </c>
      <c r="AE156" s="318" t="n">
        <v>-0.0725</v>
      </c>
      <c r="AF156" s="318" t="n">
        <v>-0.049</v>
      </c>
      <c r="AG156" s="318" t="n">
        <v>-0.0715</v>
      </c>
      <c r="AH156" s="318" t="n">
        <v>-0.0115</v>
      </c>
      <c r="AI156" s="318" t="n">
        <v>-0.072</v>
      </c>
      <c r="AJ156" s="318" t="n">
        <v>-0.0625</v>
      </c>
      <c r="AK156" s="318" t="n">
        <v>-0.017</v>
      </c>
      <c r="AL156" s="318" t="n">
        <v>0.023</v>
      </c>
      <c r="AM156" s="318" t="n">
        <v>0.41</v>
      </c>
      <c r="AN156" s="318" t="n">
        <v>0.0275</v>
      </c>
      <c r="AO156" s="318" t="n">
        <v>-0.45</v>
      </c>
      <c r="AP156" s="318" t="n">
        <v>-0.07</v>
      </c>
      <c r="AQ156" s="318" t="n">
        <v>-0.195</v>
      </c>
      <c r="AR156" s="318" t="n">
        <v>-0.1</v>
      </c>
      <c r="AS156" s="318" t="n">
        <v>-0.37</v>
      </c>
      <c r="AT156" s="318" t="n">
        <v>0</v>
      </c>
      <c r="AU156" s="318" t="n">
        <v>0.43</v>
      </c>
      <c r="AV156" s="318" t="n">
        <v>-0.45</v>
      </c>
      <c r="AW156" s="318" t="n">
        <v>-0.135</v>
      </c>
      <c r="AX156" s="318" t="n">
        <v>-0.06</v>
      </c>
      <c r="AY156" s="318" t="n">
        <v>-0.075</v>
      </c>
      <c r="AZ156" s="318" t="n">
        <v>-0.035</v>
      </c>
      <c r="BA156" s="318" t="n">
        <v>-0.065</v>
      </c>
      <c r="BB156" s="318" t="n">
        <v>-0.0115</v>
      </c>
      <c r="BC156" s="318" t="n">
        <v>-0.0405</v>
      </c>
      <c r="BD156" s="318" t="n">
        <v>-0.0025</v>
      </c>
      <c r="BE156" s="318" t="n">
        <v>-0.0725</v>
      </c>
      <c r="BF156" s="318" t="n">
        <v>0</v>
      </c>
      <c r="BG156" s="318" t="n">
        <v>0.14</v>
      </c>
      <c r="BH156" s="318" t="n">
        <v>0.145</v>
      </c>
      <c r="BI156" s="318" t="n">
        <v>0.125</v>
      </c>
      <c r="BJ156" s="318" t="n">
        <v>0.35</v>
      </c>
      <c r="BK156" s="318" t="n">
        <v>0.0025</v>
      </c>
      <c r="BL156" s="318" t="n">
        <v>-0.01</v>
      </c>
      <c r="BM156" s="318" t="n">
        <v>0.005</v>
      </c>
      <c r="BN156" s="318" t="n">
        <v>-0.01</v>
      </c>
      <c r="BO156" s="318" t="n">
        <v>0</v>
      </c>
      <c r="BP156" s="318" t="n">
        <v>0.005</v>
      </c>
      <c r="BQ156" s="318" t="n">
        <v>0.0025</v>
      </c>
      <c r="BR156" s="318" t="n">
        <v>0.035</v>
      </c>
      <c r="BS156" s="0" t="n">
        <v>0.005</v>
      </c>
      <c r="BT156" s="0" t="n">
        <v>0</v>
      </c>
      <c r="BU156" s="0" t="n">
        <v>0</v>
      </c>
      <c r="BV156" s="0" t="n">
        <v>0.03</v>
      </c>
    </row>
    <row r="157" customFormat="false" ht="12.75" hidden="false" customHeight="false" outlineLevel="0" collapsed="false">
      <c r="A157" s="320" t="e">
        <f aca="false">#REF!-B157</f>
        <v>#REF!</v>
      </c>
      <c r="B157" s="320" t="n">
        <v>3.891</v>
      </c>
      <c r="C157" s="327" t="n">
        <f aca="false">EOMONTH(C156,0)+1</f>
        <v>41883</v>
      </c>
      <c r="D157" s="0" t="n">
        <f aca="false">D145+0.05</f>
        <v>3.649</v>
      </c>
      <c r="E157" s="320" t="n">
        <v>0.17</v>
      </c>
      <c r="F157" s="318" t="n">
        <v>0.0605836966955668</v>
      </c>
      <c r="G157" s="318" t="n">
        <v>-0.13</v>
      </c>
      <c r="H157" s="318" t="n">
        <v>-0.15</v>
      </c>
      <c r="I157" s="330" t="n">
        <v>-0.09</v>
      </c>
      <c r="J157" s="330" t="n">
        <v>-0.13</v>
      </c>
      <c r="K157" s="318" t="n">
        <v>-0.09</v>
      </c>
      <c r="L157" s="318" t="n">
        <v>-0.03</v>
      </c>
      <c r="M157" s="318" t="n">
        <v>-0.0555</v>
      </c>
      <c r="N157" s="318" t="n">
        <v>-0.12</v>
      </c>
      <c r="O157" s="318" t="n">
        <v>-0.12</v>
      </c>
      <c r="P157" s="318" t="n">
        <v>-0.13</v>
      </c>
      <c r="Q157" s="318" t="n">
        <v>-0.0475</v>
      </c>
      <c r="R157" s="318" t="n">
        <v>-0.035</v>
      </c>
      <c r="S157" s="318" t="n">
        <v>0.125</v>
      </c>
      <c r="T157" s="318" t="n">
        <v>0.145</v>
      </c>
      <c r="U157" s="318" t="n">
        <v>0.04</v>
      </c>
      <c r="V157" s="318" t="n">
        <v>0.5</v>
      </c>
      <c r="W157" s="318" t="n">
        <v>0.15</v>
      </c>
      <c r="X157" s="318" t="n">
        <v>0.205</v>
      </c>
      <c r="Y157" s="318" t="n">
        <v>-0.009499999</v>
      </c>
      <c r="Z157" s="318" t="n">
        <v>-0.04</v>
      </c>
      <c r="AA157" s="318" t="n">
        <v>0.0165</v>
      </c>
      <c r="AB157" s="318" t="n">
        <v>0.0015</v>
      </c>
      <c r="AC157" s="318" t="n">
        <v>0.0025</v>
      </c>
      <c r="AD157" s="318" t="n">
        <v>-0.0205</v>
      </c>
      <c r="AE157" s="318" t="n">
        <v>-0.0725</v>
      </c>
      <c r="AF157" s="318" t="n">
        <v>-0.049</v>
      </c>
      <c r="AG157" s="318" t="n">
        <v>-0.0715</v>
      </c>
      <c r="AH157" s="318" t="n">
        <v>-0.0115</v>
      </c>
      <c r="AI157" s="318" t="n">
        <v>-0.072</v>
      </c>
      <c r="AJ157" s="318" t="n">
        <v>-0.06</v>
      </c>
      <c r="AK157" s="318" t="n">
        <v>-0.017</v>
      </c>
      <c r="AL157" s="318" t="n">
        <v>0.023</v>
      </c>
      <c r="AM157" s="318" t="n">
        <v>0.41</v>
      </c>
      <c r="AN157" s="318" t="n">
        <v>0.03</v>
      </c>
      <c r="AO157" s="318" t="n">
        <v>-0.45</v>
      </c>
      <c r="AP157" s="318" t="n">
        <v>-0.07</v>
      </c>
      <c r="AQ157" s="318" t="n">
        <v>-0.195</v>
      </c>
      <c r="AR157" s="318" t="n">
        <v>-0.1</v>
      </c>
      <c r="AS157" s="318" t="n">
        <v>-0.37</v>
      </c>
      <c r="AT157" s="318" t="n">
        <v>0</v>
      </c>
      <c r="AU157" s="318" t="n">
        <v>0.43</v>
      </c>
      <c r="AV157" s="318" t="n">
        <v>-0.45</v>
      </c>
      <c r="AW157" s="318" t="n">
        <v>-0.13</v>
      </c>
      <c r="AX157" s="318" t="n">
        <v>-0.06</v>
      </c>
      <c r="AY157" s="318" t="n">
        <v>-0.07</v>
      </c>
      <c r="AZ157" s="318" t="n">
        <v>-0.035</v>
      </c>
      <c r="BA157" s="318" t="n">
        <v>-0.0625</v>
      </c>
      <c r="BB157" s="318" t="n">
        <v>-0.0115</v>
      </c>
      <c r="BC157" s="318" t="n">
        <v>-0.0405</v>
      </c>
      <c r="BD157" s="318" t="n">
        <v>0</v>
      </c>
      <c r="BE157" s="318" t="n">
        <v>-0.0725</v>
      </c>
      <c r="BF157" s="318" t="n">
        <v>0</v>
      </c>
      <c r="BG157" s="318" t="n">
        <v>0.14</v>
      </c>
      <c r="BH157" s="318" t="n">
        <v>0.145</v>
      </c>
      <c r="BI157" s="318" t="n">
        <v>0.125</v>
      </c>
      <c r="BJ157" s="318" t="n">
        <v>0.35</v>
      </c>
      <c r="BK157" s="318" t="n">
        <v>0.0025</v>
      </c>
      <c r="BL157" s="318" t="n">
        <v>-0.01</v>
      </c>
      <c r="BM157" s="318" t="n">
        <v>0.005</v>
      </c>
      <c r="BN157" s="318" t="n">
        <v>-0.01</v>
      </c>
      <c r="BO157" s="318" t="n">
        <v>0</v>
      </c>
      <c r="BP157" s="318" t="n">
        <v>0.005</v>
      </c>
      <c r="BQ157" s="318" t="n">
        <v>0.0025</v>
      </c>
      <c r="BR157" s="318" t="n">
        <v>0.01</v>
      </c>
      <c r="BS157" s="0" t="n">
        <v>0.005</v>
      </c>
      <c r="BT157" s="0" t="n">
        <v>0</v>
      </c>
      <c r="BU157" s="0" t="n">
        <v>0</v>
      </c>
      <c r="BV157" s="0" t="n">
        <v>0.03</v>
      </c>
    </row>
    <row r="158" customFormat="false" ht="12.75" hidden="false" customHeight="false" outlineLevel="0" collapsed="false">
      <c r="A158" s="320" t="e">
        <f aca="false">#REF!-B158</f>
        <v>#REF!</v>
      </c>
      <c r="B158" s="320" t="n">
        <v>3.763</v>
      </c>
      <c r="C158" s="327" t="n">
        <f aca="false">EOMONTH(C157,0)+1</f>
        <v>41913</v>
      </c>
      <c r="D158" s="0" t="n">
        <f aca="false">D146+0.05</f>
        <v>3.664</v>
      </c>
      <c r="E158" s="320" t="n">
        <v>0.17</v>
      </c>
      <c r="F158" s="318" t="n">
        <v>0.0606275249197044</v>
      </c>
      <c r="G158" s="318" t="n">
        <v>-0.13</v>
      </c>
      <c r="H158" s="318" t="n">
        <v>-0.15</v>
      </c>
      <c r="I158" s="330" t="n">
        <v>-0.09</v>
      </c>
      <c r="J158" s="330" t="n">
        <v>-0.13</v>
      </c>
      <c r="K158" s="318" t="n">
        <v>-0.09</v>
      </c>
      <c r="L158" s="318" t="n">
        <v>-0.03</v>
      </c>
      <c r="M158" s="318" t="n">
        <v>-0.0555</v>
      </c>
      <c r="N158" s="318" t="n">
        <v>-0.12</v>
      </c>
      <c r="O158" s="318" t="n">
        <v>-0.12</v>
      </c>
      <c r="P158" s="318" t="n">
        <v>-0.13</v>
      </c>
      <c r="Q158" s="318" t="n">
        <v>-0.05125</v>
      </c>
      <c r="R158" s="318" t="n">
        <v>-0.035</v>
      </c>
      <c r="S158" s="318" t="n">
        <v>0.125</v>
      </c>
      <c r="T158" s="318" t="n">
        <v>0.145</v>
      </c>
      <c r="U158" s="318" t="n">
        <v>0.04</v>
      </c>
      <c r="V158" s="318" t="n">
        <v>0.5</v>
      </c>
      <c r="W158" s="318" t="n">
        <v>0.125</v>
      </c>
      <c r="X158" s="318" t="n">
        <v>0.145</v>
      </c>
      <c r="Y158" s="318" t="n">
        <v>-0.009499999</v>
      </c>
      <c r="Z158" s="318" t="n">
        <v>-0.045</v>
      </c>
      <c r="AA158" s="318" t="n">
        <v>0.0165</v>
      </c>
      <c r="AB158" s="318" t="n">
        <v>0.0015</v>
      </c>
      <c r="AC158" s="318" t="n">
        <v>0.0025</v>
      </c>
      <c r="AD158" s="318" t="n">
        <v>-0.0205</v>
      </c>
      <c r="AE158" s="318" t="n">
        <v>-0.0725</v>
      </c>
      <c r="AF158" s="318" t="n">
        <v>-0.049</v>
      </c>
      <c r="AG158" s="318" t="n">
        <v>-0.0715</v>
      </c>
      <c r="AH158" s="318" t="n">
        <v>-0.0115</v>
      </c>
      <c r="AI158" s="318" t="n">
        <v>-0.072</v>
      </c>
      <c r="AJ158" s="318" t="n">
        <v>-0.0675</v>
      </c>
      <c r="AK158" s="318" t="n">
        <v>-0.017</v>
      </c>
      <c r="AL158" s="318" t="n">
        <v>0.023</v>
      </c>
      <c r="AM158" s="318" t="n">
        <v>0.36</v>
      </c>
      <c r="AN158" s="318" t="n">
        <v>0.0225</v>
      </c>
      <c r="AO158" s="318" t="n">
        <v>-0.45</v>
      </c>
      <c r="AP158" s="318" t="n">
        <v>-0.07</v>
      </c>
      <c r="AQ158" s="318" t="n">
        <v>-0.195</v>
      </c>
      <c r="AR158" s="318" t="n">
        <v>-0.1</v>
      </c>
      <c r="AS158" s="318" t="n">
        <v>-0.37</v>
      </c>
      <c r="AT158" s="318" t="n">
        <v>0</v>
      </c>
      <c r="AU158" s="318" t="n">
        <v>0.43</v>
      </c>
      <c r="AV158" s="318" t="n">
        <v>-0.45</v>
      </c>
      <c r="AW158" s="318" t="n">
        <v>-0.14</v>
      </c>
      <c r="AX158" s="318" t="n">
        <v>-0.06</v>
      </c>
      <c r="AY158" s="318" t="n">
        <v>-0.08</v>
      </c>
      <c r="AZ158" s="318" t="n">
        <v>-0.035</v>
      </c>
      <c r="BA158" s="318" t="n">
        <v>-0.0675</v>
      </c>
      <c r="BB158" s="318" t="n">
        <v>-0.0115</v>
      </c>
      <c r="BC158" s="318" t="n">
        <v>-0.0405</v>
      </c>
      <c r="BD158" s="318" t="n">
        <v>-0.0075</v>
      </c>
      <c r="BE158" s="318" t="n">
        <v>-0.0725</v>
      </c>
      <c r="BF158" s="318" t="n">
        <v>0</v>
      </c>
      <c r="BG158" s="318" t="n">
        <v>0.14</v>
      </c>
      <c r="BH158" s="318" t="n">
        <v>0.145</v>
      </c>
      <c r="BI158" s="318" t="n">
        <v>0.125</v>
      </c>
      <c r="BJ158" s="318" t="n">
        <v>0.315</v>
      </c>
      <c r="BK158" s="318" t="n">
        <v>0.0025</v>
      </c>
      <c r="BL158" s="318" t="n">
        <v>-0.01</v>
      </c>
      <c r="BM158" s="318" t="n">
        <v>0.005</v>
      </c>
      <c r="BN158" s="318" t="n">
        <v>-0.01</v>
      </c>
      <c r="BO158" s="318" t="n">
        <v>0</v>
      </c>
      <c r="BP158" s="318" t="n">
        <v>0.005</v>
      </c>
      <c r="BQ158" s="318" t="n">
        <v>0.0025</v>
      </c>
      <c r="BR158" s="318" t="n">
        <v>0.01</v>
      </c>
      <c r="BS158" s="0" t="n">
        <v>0.005</v>
      </c>
      <c r="BT158" s="0" t="n">
        <v>0</v>
      </c>
      <c r="BU158" s="0" t="n">
        <v>0</v>
      </c>
      <c r="BV158" s="0" t="n">
        <v>0.03</v>
      </c>
    </row>
    <row r="159" customFormat="false" ht="12.75" hidden="false" customHeight="false" outlineLevel="0" collapsed="false">
      <c r="A159" s="320" t="e">
        <f aca="false">#REF!-B159</f>
        <v>#REF!</v>
      </c>
      <c r="B159" s="320" t="n">
        <v>3.638</v>
      </c>
      <c r="C159" s="327" t="n">
        <f aca="false">EOMONTH(C158,0)+1</f>
        <v>41944</v>
      </c>
      <c r="D159" s="0" t="n">
        <f aca="false">D147+0.05</f>
        <v>3.809</v>
      </c>
      <c r="E159" s="320" t="n">
        <v>0.17</v>
      </c>
      <c r="F159" s="318" t="n">
        <v>0.0606699393307668</v>
      </c>
      <c r="G159" s="318" t="n">
        <v>-0.13</v>
      </c>
      <c r="H159" s="318" t="n">
        <v>-0.15</v>
      </c>
      <c r="I159" s="330" t="n">
        <v>-0.09</v>
      </c>
      <c r="J159" s="330" t="n">
        <v>-0.13</v>
      </c>
      <c r="K159" s="318" t="n">
        <v>-0.09</v>
      </c>
      <c r="L159" s="318" t="n">
        <v>-0.03</v>
      </c>
      <c r="M159" s="318" t="n">
        <v>-0.0555</v>
      </c>
      <c r="N159" s="318" t="n">
        <v>-0.12</v>
      </c>
      <c r="O159" s="318" t="n">
        <v>-0.12</v>
      </c>
      <c r="P159" s="318" t="n">
        <v>-0.13</v>
      </c>
      <c r="Q159" s="318" t="n">
        <v>-0.05625</v>
      </c>
      <c r="R159" s="318" t="n">
        <v>-0.035</v>
      </c>
      <c r="S159" s="318" t="n">
        <v>0.125</v>
      </c>
      <c r="T159" s="318" t="n">
        <v>0.145</v>
      </c>
      <c r="U159" s="318" t="n">
        <v>0.04</v>
      </c>
      <c r="V159" s="318" t="n">
        <v>0.5</v>
      </c>
      <c r="W159" s="318" t="n">
        <v>0.145</v>
      </c>
      <c r="X159" s="318" t="n">
        <v>0.175</v>
      </c>
      <c r="Y159" s="318" t="n">
        <v>-0.009499999</v>
      </c>
      <c r="Z159" s="318" t="n">
        <v>-0.045</v>
      </c>
      <c r="AA159" s="318" t="n">
        <v>0.0115</v>
      </c>
      <c r="AB159" s="318" t="n">
        <v>-0.0035</v>
      </c>
      <c r="AC159" s="318" t="n">
        <v>0.0025</v>
      </c>
      <c r="AD159" s="318" t="n">
        <v>-0.0205</v>
      </c>
      <c r="AE159" s="318" t="n">
        <v>-0.0725</v>
      </c>
      <c r="AF159" s="318" t="n">
        <v>-0.049</v>
      </c>
      <c r="AG159" s="318" t="n">
        <v>-0.0715</v>
      </c>
      <c r="AH159" s="318" t="n">
        <v>-0.0115</v>
      </c>
      <c r="AI159" s="318" t="n">
        <v>-0.072</v>
      </c>
      <c r="AJ159" s="318" t="n">
        <v>-0.0775</v>
      </c>
      <c r="AK159" s="318" t="n">
        <v>-0.017</v>
      </c>
      <c r="AL159" s="318" t="n">
        <v>0.023</v>
      </c>
      <c r="AM159" s="318" t="n">
        <v>0.4</v>
      </c>
      <c r="AN159" s="318" t="n">
        <v>0.0125</v>
      </c>
      <c r="AO159" s="318" t="n">
        <v>-0.45</v>
      </c>
      <c r="AP159" s="318" t="n">
        <v>-0.07</v>
      </c>
      <c r="AQ159" s="318" t="n">
        <v>-0.195</v>
      </c>
      <c r="AR159" s="318" t="n">
        <v>-0.1</v>
      </c>
      <c r="AS159" s="318" t="n">
        <v>-0.37</v>
      </c>
      <c r="AT159" s="318" t="n">
        <v>0</v>
      </c>
      <c r="AU159" s="318" t="n">
        <v>0.43</v>
      </c>
      <c r="AV159" s="318" t="n">
        <v>-0.45</v>
      </c>
      <c r="AW159" s="318" t="n">
        <v>-0.1275</v>
      </c>
      <c r="AX159" s="318" t="n">
        <v>-0.06</v>
      </c>
      <c r="AY159" s="318" t="n">
        <v>-0.0675</v>
      </c>
      <c r="AZ159" s="318" t="n">
        <v>-0.035</v>
      </c>
      <c r="BA159" s="318" t="n">
        <v>-0.07</v>
      </c>
      <c r="BB159" s="318" t="n">
        <v>-0.0115</v>
      </c>
      <c r="BC159" s="318" t="n">
        <v>-0.0405</v>
      </c>
      <c r="BD159" s="318" t="n">
        <v>-0.0175</v>
      </c>
      <c r="BE159" s="318" t="n">
        <v>-0.0725</v>
      </c>
      <c r="BF159" s="318" t="n">
        <v>0</v>
      </c>
      <c r="BG159" s="318" t="n">
        <v>0.14</v>
      </c>
      <c r="BH159" s="318" t="n">
        <v>0.145</v>
      </c>
      <c r="BI159" s="318" t="n">
        <v>0.125</v>
      </c>
      <c r="BJ159" s="318" t="n">
        <v>0.36</v>
      </c>
      <c r="BK159" s="318" t="n">
        <v>0.0025</v>
      </c>
      <c r="BL159" s="318" t="n">
        <v>-0.015</v>
      </c>
      <c r="BM159" s="318" t="n">
        <v>0.005</v>
      </c>
      <c r="BN159" s="318" t="n">
        <v>-0.01</v>
      </c>
      <c r="BO159" s="318" t="n">
        <v>0</v>
      </c>
      <c r="BP159" s="318" t="n">
        <v>0.005</v>
      </c>
      <c r="BQ159" s="318" t="n">
        <v>0.0025</v>
      </c>
      <c r="BR159" s="318" t="n">
        <v>0.01</v>
      </c>
      <c r="BS159" s="0" t="n">
        <v>0.005</v>
      </c>
      <c r="BT159" s="0" t="n">
        <v>0</v>
      </c>
      <c r="BU159" s="0" t="n">
        <v>0</v>
      </c>
      <c r="BV159" s="0" t="n">
        <v>0.03</v>
      </c>
    </row>
    <row r="160" customFormat="false" ht="12.75" hidden="false" customHeight="false" outlineLevel="0" collapsed="false">
      <c r="A160" s="320" t="e">
        <f aca="false">#REF!-B160</f>
        <v>#REF!</v>
      </c>
      <c r="B160" s="320" t="n">
        <v>3.62</v>
      </c>
      <c r="C160" s="327" t="n">
        <f aca="false">EOMONTH(C159,0)+1</f>
        <v>41974</v>
      </c>
      <c r="D160" s="0" t="n">
        <f aca="false">D148+0.05</f>
        <v>3.944</v>
      </c>
      <c r="E160" s="320" t="n">
        <v>0.17</v>
      </c>
      <c r="F160" s="318" t="n">
        <v>0.0607137675561602</v>
      </c>
      <c r="G160" s="318" t="n">
        <v>-0.13</v>
      </c>
      <c r="H160" s="318" t="n">
        <v>-0.15</v>
      </c>
      <c r="I160" s="330" t="n">
        <v>-0.01</v>
      </c>
      <c r="J160" s="330" t="n">
        <v>-0.13</v>
      </c>
      <c r="K160" s="318" t="n">
        <v>0</v>
      </c>
      <c r="L160" s="318" t="n">
        <v>-0.03</v>
      </c>
      <c r="M160" s="318" t="n">
        <v>-0.07</v>
      </c>
      <c r="N160" s="318" t="n">
        <v>-0.12</v>
      </c>
      <c r="O160" s="318" t="n">
        <v>-0.12</v>
      </c>
      <c r="P160" s="318" t="n">
        <v>-0.13</v>
      </c>
      <c r="Q160" s="318" t="n">
        <v>-0.0735</v>
      </c>
      <c r="R160" s="318" t="n">
        <v>-0.0345</v>
      </c>
      <c r="S160" s="318" t="n">
        <v>0</v>
      </c>
      <c r="T160" s="318" t="n">
        <v>0.02</v>
      </c>
      <c r="U160" s="318" t="n">
        <v>0</v>
      </c>
      <c r="V160" s="318" t="n">
        <v>0.5</v>
      </c>
      <c r="W160" s="318" t="n">
        <v>0.195</v>
      </c>
      <c r="X160" s="318" t="n">
        <v>0.21</v>
      </c>
      <c r="Y160" s="318" t="n">
        <v>-0.006999999</v>
      </c>
      <c r="Z160" s="318" t="n">
        <v>-0.026</v>
      </c>
      <c r="AA160" s="318" t="n">
        <v>0.0125</v>
      </c>
      <c r="AB160" s="318" t="n">
        <v>-0.0025</v>
      </c>
      <c r="AC160" s="318" t="n">
        <v>0.0025</v>
      </c>
      <c r="AD160" s="318" t="n">
        <v>-0.0205</v>
      </c>
      <c r="AE160" s="318" t="n">
        <v>-0.075</v>
      </c>
      <c r="AF160" s="318" t="n">
        <v>-0.0515</v>
      </c>
      <c r="AG160" s="318" t="n">
        <v>-0.074</v>
      </c>
      <c r="AH160" s="318" t="n">
        <v>-0.007999999</v>
      </c>
      <c r="AI160" s="318" t="n">
        <v>-0.064</v>
      </c>
      <c r="AJ160" s="318" t="n">
        <v>-0.1125</v>
      </c>
      <c r="AK160" s="318" t="n">
        <v>-0.008999999</v>
      </c>
      <c r="AL160" s="318" t="n">
        <v>0.031</v>
      </c>
      <c r="AM160" s="318" t="n">
        <v>0.65</v>
      </c>
      <c r="AN160" s="318" t="n">
        <v>-0.0225</v>
      </c>
      <c r="AO160" s="318" t="n">
        <v>-0.34</v>
      </c>
      <c r="AP160" s="318" t="n">
        <v>-0.07</v>
      </c>
      <c r="AQ160" s="318" t="n">
        <v>-0.13</v>
      </c>
      <c r="AR160" s="318" t="n">
        <v>0.248</v>
      </c>
      <c r="AS160" s="318" t="n">
        <v>-0.26</v>
      </c>
      <c r="AT160" s="318" t="n">
        <v>0</v>
      </c>
      <c r="AU160" s="318" t="n">
        <v>0.35</v>
      </c>
      <c r="AV160" s="318" t="n">
        <v>-0.34</v>
      </c>
      <c r="AW160" s="318" t="n">
        <v>-0.135</v>
      </c>
      <c r="AX160" s="318" t="n">
        <v>-0.06</v>
      </c>
      <c r="AY160" s="318" t="n">
        <v>-0.075</v>
      </c>
      <c r="AZ160" s="318" t="n">
        <v>-0.0345</v>
      </c>
      <c r="BA160" s="318" t="n">
        <v>-0.065</v>
      </c>
      <c r="BB160" s="318" t="n">
        <v>-0.013</v>
      </c>
      <c r="BC160" s="318" t="n">
        <v>-0.055</v>
      </c>
      <c r="BD160" s="318" t="n">
        <v>-0.0525</v>
      </c>
      <c r="BE160" s="318" t="n">
        <v>-0.075</v>
      </c>
      <c r="BF160" s="318" t="n">
        <v>0</v>
      </c>
      <c r="BG160" s="318" t="n">
        <v>0</v>
      </c>
      <c r="BH160" s="318" t="n">
        <v>0.02</v>
      </c>
      <c r="BI160" s="318" t="n">
        <v>0</v>
      </c>
      <c r="BJ160" s="318" t="n">
        <v>0.46</v>
      </c>
      <c r="BK160" s="318" t="n">
        <v>0.0025</v>
      </c>
      <c r="BL160" s="318" t="n">
        <v>-0.02</v>
      </c>
      <c r="BM160" s="318" t="n">
        <v>0.005</v>
      </c>
      <c r="BN160" s="318" t="n">
        <v>0</v>
      </c>
      <c r="BO160" s="318" t="n">
        <v>0</v>
      </c>
      <c r="BP160" s="318" t="n">
        <v>0.005</v>
      </c>
      <c r="BQ160" s="318" t="n">
        <v>0.005</v>
      </c>
      <c r="BR160" s="318" t="n">
        <v>0.055</v>
      </c>
      <c r="BS160" s="0" t="n">
        <v>0.02</v>
      </c>
      <c r="BT160" s="0" t="n">
        <v>0</v>
      </c>
      <c r="BU160" s="0" t="n">
        <v>0</v>
      </c>
      <c r="BV160" s="0" t="n">
        <v>0.03</v>
      </c>
    </row>
    <row r="161" customFormat="false" ht="12.75" hidden="false" customHeight="false" outlineLevel="0" collapsed="false">
      <c r="A161" s="320" t="e">
        <f aca="false">#REF!-B161</f>
        <v>#REF!</v>
      </c>
      <c r="B161" s="320" t="n">
        <v>3.61</v>
      </c>
      <c r="C161" s="327" t="n">
        <f aca="false">EOMONTH(C160,0)+1</f>
        <v>42005</v>
      </c>
      <c r="D161" s="0" t="n">
        <f aca="false">D149+0.05</f>
        <v>3.999</v>
      </c>
      <c r="E161" s="320" t="n">
        <v>0.17</v>
      </c>
      <c r="F161" s="318" t="n">
        <v>0.0607561819684377</v>
      </c>
      <c r="G161" s="318" t="n">
        <v>-0.1325</v>
      </c>
      <c r="H161" s="318" t="n">
        <v>-0.1525</v>
      </c>
      <c r="I161" s="330" t="n">
        <v>-0.005</v>
      </c>
      <c r="J161" s="330" t="n">
        <v>-0.13</v>
      </c>
      <c r="K161" s="318" t="n">
        <v>0.005</v>
      </c>
      <c r="L161" s="318" t="n">
        <v>-0.03</v>
      </c>
      <c r="M161" s="318" t="n">
        <v>-0.07</v>
      </c>
      <c r="N161" s="318" t="n">
        <v>-0.1225</v>
      </c>
      <c r="O161" s="318" t="n">
        <v>-0.1225</v>
      </c>
      <c r="P161" s="318" t="n">
        <v>-0.1325</v>
      </c>
      <c r="Q161" s="318" t="n">
        <v>-0.08475</v>
      </c>
      <c r="R161" s="318" t="n">
        <v>-0.0345</v>
      </c>
      <c r="S161" s="318" t="n">
        <v>0</v>
      </c>
      <c r="T161" s="318" t="n">
        <v>0.02</v>
      </c>
      <c r="U161" s="318" t="n">
        <v>0</v>
      </c>
      <c r="V161" s="318" t="n">
        <v>0.5</v>
      </c>
      <c r="W161" s="318" t="n">
        <v>0.215</v>
      </c>
      <c r="X161" s="318" t="n">
        <v>0.29</v>
      </c>
      <c r="Y161" s="318" t="n">
        <v>-0.006999999</v>
      </c>
      <c r="Z161" s="318" t="n">
        <v>-0.026</v>
      </c>
      <c r="AA161" s="318" t="n">
        <v>0.0125</v>
      </c>
      <c r="AB161" s="318" t="n">
        <v>-0.0025</v>
      </c>
      <c r="AC161" s="318" t="n">
        <v>0.0025</v>
      </c>
      <c r="AD161" s="318" t="n">
        <v>-0.0205</v>
      </c>
      <c r="AE161" s="318" t="n">
        <v>-0.075</v>
      </c>
      <c r="AF161" s="318" t="n">
        <v>-0.0495</v>
      </c>
      <c r="AG161" s="318" t="n">
        <v>-0.072</v>
      </c>
      <c r="AH161" s="318" t="n">
        <v>-0.005499999</v>
      </c>
      <c r="AI161" s="318" t="n">
        <v>-0.064</v>
      </c>
      <c r="AJ161" s="318" t="n">
        <v>-0.135</v>
      </c>
      <c r="AK161" s="318" t="n">
        <v>-0.008999999</v>
      </c>
      <c r="AL161" s="318" t="n">
        <v>0.031</v>
      </c>
      <c r="AM161" s="318" t="n">
        <v>0.98</v>
      </c>
      <c r="AN161" s="318" t="n">
        <v>-0.045</v>
      </c>
      <c r="AO161" s="318" t="n">
        <v>-0.34</v>
      </c>
      <c r="AP161" s="318" t="n">
        <v>-0.07</v>
      </c>
      <c r="AQ161" s="318" t="n">
        <v>-0.13</v>
      </c>
      <c r="AR161" s="318" t="n">
        <v>0.308</v>
      </c>
      <c r="AS161" s="318" t="n">
        <v>-0.26</v>
      </c>
      <c r="AT161" s="318" t="n">
        <v>0</v>
      </c>
      <c r="AU161" s="318" t="n">
        <v>0.35</v>
      </c>
      <c r="AV161" s="318" t="n">
        <v>-0.34</v>
      </c>
      <c r="AW161" s="318" t="n">
        <v>-0.1625</v>
      </c>
      <c r="AX161" s="318" t="n">
        <v>-0.06</v>
      </c>
      <c r="AY161" s="318" t="n">
        <v>-0.1025</v>
      </c>
      <c r="AZ161" s="318" t="n">
        <v>-0.0345</v>
      </c>
      <c r="BA161" s="318" t="n">
        <v>-0.0925</v>
      </c>
      <c r="BB161" s="318" t="n">
        <v>-0.0105</v>
      </c>
      <c r="BC161" s="318" t="n">
        <v>-0.055</v>
      </c>
      <c r="BD161" s="318" t="n">
        <v>-0.075</v>
      </c>
      <c r="BE161" s="318" t="n">
        <v>-0.075</v>
      </c>
      <c r="BF161" s="318" t="n">
        <v>0</v>
      </c>
      <c r="BG161" s="318" t="n">
        <v>0</v>
      </c>
      <c r="BH161" s="318" t="n">
        <v>0.02</v>
      </c>
      <c r="BI161" s="318" t="n">
        <v>0</v>
      </c>
      <c r="BJ161" s="318" t="n">
        <v>0.77</v>
      </c>
      <c r="BK161" s="318" t="n">
        <v>0.0025</v>
      </c>
      <c r="BL161" s="318" t="n">
        <v>-0.025</v>
      </c>
      <c r="BM161" s="318" t="n">
        <v>0.005</v>
      </c>
      <c r="BN161" s="318" t="n">
        <v>0</v>
      </c>
      <c r="BO161" s="318" t="n">
        <v>0</v>
      </c>
      <c r="BP161" s="318" t="n">
        <v>0.005</v>
      </c>
      <c r="BQ161" s="318" t="n">
        <v>0.005</v>
      </c>
      <c r="BR161" s="318" t="n">
        <v>0.25</v>
      </c>
      <c r="BS161" s="0" t="n">
        <v>0.02</v>
      </c>
      <c r="BT161" s="0" t="n">
        <v>0</v>
      </c>
      <c r="BU161" s="0" t="n">
        <v>0</v>
      </c>
      <c r="BV161" s="0" t="n">
        <v>0.03</v>
      </c>
    </row>
    <row r="162" customFormat="false" ht="12.75" hidden="false" customHeight="false" outlineLevel="0" collapsed="false">
      <c r="A162" s="320" t="e">
        <f aca="false">#REF!-B162</f>
        <v>#REF!</v>
      </c>
      <c r="B162" s="320" t="n">
        <v>3.675</v>
      </c>
      <c r="C162" s="327" t="n">
        <f aca="false">EOMONTH(C161,0)+1</f>
        <v>42036</v>
      </c>
      <c r="D162" s="0" t="n">
        <f aca="false">D150+0.05</f>
        <v>3.851</v>
      </c>
      <c r="E162" s="320" t="n">
        <v>0.17</v>
      </c>
      <c r="F162" s="318" t="n">
        <v>0.0608000101950865</v>
      </c>
      <c r="G162" s="318" t="n">
        <v>-0.135</v>
      </c>
      <c r="H162" s="318" t="n">
        <v>-0.155</v>
      </c>
      <c r="I162" s="330" t="n">
        <v>0.015</v>
      </c>
      <c r="J162" s="330" t="n">
        <v>-0.13</v>
      </c>
      <c r="K162" s="318" t="n">
        <v>0.025</v>
      </c>
      <c r="L162" s="318" t="n">
        <v>-0.03</v>
      </c>
      <c r="M162" s="318" t="n">
        <v>-0.07</v>
      </c>
      <c r="N162" s="318" t="n">
        <v>-0.125</v>
      </c>
      <c r="O162" s="318" t="n">
        <v>-0.125</v>
      </c>
      <c r="P162" s="318" t="n">
        <v>-0.135</v>
      </c>
      <c r="Q162" s="318" t="n">
        <v>-0.085</v>
      </c>
      <c r="R162" s="318" t="n">
        <v>-0.0325</v>
      </c>
      <c r="S162" s="318" t="n">
        <v>0</v>
      </c>
      <c r="T162" s="318" t="n">
        <v>0.02</v>
      </c>
      <c r="U162" s="318" t="n">
        <v>0</v>
      </c>
      <c r="V162" s="318" t="n">
        <v>0.5</v>
      </c>
      <c r="W162" s="318" t="n">
        <v>0.235</v>
      </c>
      <c r="X162" s="318" t="n">
        <v>0.34</v>
      </c>
      <c r="Y162" s="318" t="n">
        <v>-0.004999999</v>
      </c>
      <c r="Z162" s="318" t="n">
        <v>-0.026</v>
      </c>
      <c r="AA162" s="318" t="n">
        <v>0.0125</v>
      </c>
      <c r="AB162" s="318" t="n">
        <v>-0.0025</v>
      </c>
      <c r="AC162" s="318" t="n">
        <v>0.0025</v>
      </c>
      <c r="AD162" s="318" t="n">
        <v>-0.0185</v>
      </c>
      <c r="AE162" s="318" t="n">
        <v>-0.075</v>
      </c>
      <c r="AF162" s="318" t="n">
        <v>-0.0495</v>
      </c>
      <c r="AG162" s="318" t="n">
        <v>-0.072</v>
      </c>
      <c r="AH162" s="318" t="n">
        <v>-0.005499999</v>
      </c>
      <c r="AI162" s="318" t="n">
        <v>-0.064</v>
      </c>
      <c r="AJ162" s="318" t="n">
        <v>-0.1375</v>
      </c>
      <c r="AK162" s="318" t="n">
        <v>-0.008999999</v>
      </c>
      <c r="AL162" s="318" t="n">
        <v>0.031</v>
      </c>
      <c r="AM162" s="318" t="n">
        <v>1.6</v>
      </c>
      <c r="AN162" s="318" t="n">
        <v>-0.0475</v>
      </c>
      <c r="AO162" s="318" t="n">
        <v>-0.34</v>
      </c>
      <c r="AP162" s="318" t="n">
        <v>-0.07</v>
      </c>
      <c r="AQ162" s="318" t="n">
        <v>-0.13</v>
      </c>
      <c r="AR162" s="318" t="n">
        <v>0.378</v>
      </c>
      <c r="AS162" s="318" t="n">
        <v>-0.26</v>
      </c>
      <c r="AT162" s="318" t="n">
        <v>0</v>
      </c>
      <c r="AU162" s="318" t="n">
        <v>0.35</v>
      </c>
      <c r="AV162" s="318" t="n">
        <v>-0.34</v>
      </c>
      <c r="AW162" s="318" t="n">
        <v>-0.1775</v>
      </c>
      <c r="AX162" s="318" t="n">
        <v>-0.06</v>
      </c>
      <c r="AY162" s="318" t="n">
        <v>-0.1175</v>
      </c>
      <c r="AZ162" s="318" t="n">
        <v>-0.0325</v>
      </c>
      <c r="BA162" s="318" t="n">
        <v>-0.093</v>
      </c>
      <c r="BB162" s="318" t="n">
        <v>-0.0105</v>
      </c>
      <c r="BC162" s="318" t="n">
        <v>-0.055</v>
      </c>
      <c r="BD162" s="318" t="n">
        <v>-0.0775</v>
      </c>
      <c r="BE162" s="318" t="n">
        <v>-0.075</v>
      </c>
      <c r="BF162" s="318" t="n">
        <v>0</v>
      </c>
      <c r="BG162" s="318" t="n">
        <v>0</v>
      </c>
      <c r="BH162" s="318" t="n">
        <v>0.02</v>
      </c>
      <c r="BI162" s="318" t="n">
        <v>0</v>
      </c>
      <c r="BJ162" s="318" t="n">
        <v>1.04</v>
      </c>
      <c r="BK162" s="318" t="n">
        <v>0.0025</v>
      </c>
      <c r="BL162" s="318" t="n">
        <v>-0.025</v>
      </c>
      <c r="BM162" s="318" t="n">
        <v>0.005</v>
      </c>
      <c r="BN162" s="318" t="n">
        <v>0</v>
      </c>
      <c r="BO162" s="318" t="n">
        <v>0</v>
      </c>
      <c r="BP162" s="318" t="n">
        <v>0.005</v>
      </c>
      <c r="BQ162" s="318" t="n">
        <v>0</v>
      </c>
      <c r="BR162" s="318" t="n">
        <v>0.45</v>
      </c>
      <c r="BS162" s="0" t="n">
        <v>0.02</v>
      </c>
      <c r="BT162" s="0" t="n">
        <v>0</v>
      </c>
      <c r="BU162" s="0" t="n">
        <v>0</v>
      </c>
      <c r="BV162" s="0" t="n">
        <v>0.03</v>
      </c>
    </row>
    <row r="163" customFormat="false" ht="12.75" hidden="false" customHeight="false" outlineLevel="0" collapsed="false">
      <c r="A163" s="320" t="e">
        <f aca="false">#REF!-B163</f>
        <v>#REF!</v>
      </c>
      <c r="B163" s="320" t="n">
        <v>3.67</v>
      </c>
      <c r="C163" s="327" t="n">
        <f aca="false">EOMONTH(C162,0)+1</f>
        <v>42064</v>
      </c>
      <c r="D163" s="0" t="n">
        <f aca="false">D151+0.05</f>
        <v>3.8</v>
      </c>
      <c r="E163" s="320" t="n">
        <v>0.17</v>
      </c>
      <c r="F163" s="318" t="n">
        <v>0.0608438384223726</v>
      </c>
      <c r="G163" s="318" t="n">
        <v>-0.1275</v>
      </c>
      <c r="H163" s="318" t="n">
        <v>-0.1475</v>
      </c>
      <c r="I163" s="330" t="n">
        <v>0.01</v>
      </c>
      <c r="J163" s="330" t="n">
        <v>-0.13</v>
      </c>
      <c r="K163" s="318" t="n">
        <v>0.02</v>
      </c>
      <c r="L163" s="318" t="n">
        <v>-0.03</v>
      </c>
      <c r="M163" s="318" t="n">
        <v>-0.07</v>
      </c>
      <c r="N163" s="318" t="n">
        <v>-0.1175</v>
      </c>
      <c r="O163" s="318" t="n">
        <v>-0.1175</v>
      </c>
      <c r="P163" s="318" t="n">
        <v>-0.1275</v>
      </c>
      <c r="Q163" s="318" t="n">
        <v>-0.07625</v>
      </c>
      <c r="R163" s="318" t="n">
        <v>-0.0325</v>
      </c>
      <c r="S163" s="318" t="n">
        <v>0</v>
      </c>
      <c r="T163" s="318" t="n">
        <v>0.02</v>
      </c>
      <c r="U163" s="318" t="n">
        <v>0</v>
      </c>
      <c r="V163" s="318" t="n">
        <v>0.5</v>
      </c>
      <c r="W163" s="318" t="n">
        <v>0.235</v>
      </c>
      <c r="X163" s="318" t="n">
        <v>0.34</v>
      </c>
      <c r="Y163" s="318" t="n">
        <v>-0.004999999</v>
      </c>
      <c r="Z163" s="318" t="n">
        <v>-0.026</v>
      </c>
      <c r="AA163" s="318" t="n">
        <v>0.0125</v>
      </c>
      <c r="AB163" s="318" t="n">
        <v>-0.0025</v>
      </c>
      <c r="AC163" s="318" t="n">
        <v>0.0025</v>
      </c>
      <c r="AD163" s="318" t="n">
        <v>-0.0185</v>
      </c>
      <c r="AE163" s="318" t="n">
        <v>-0.075</v>
      </c>
      <c r="AF163" s="318" t="n">
        <v>-0.0495</v>
      </c>
      <c r="AG163" s="318" t="n">
        <v>-0.072</v>
      </c>
      <c r="AH163" s="318" t="n">
        <v>-0.005499999</v>
      </c>
      <c r="AI163" s="318" t="n">
        <v>-0.064</v>
      </c>
      <c r="AJ163" s="318" t="n">
        <v>-0.12</v>
      </c>
      <c r="AK163" s="318" t="n">
        <v>-0.008999999</v>
      </c>
      <c r="AL163" s="318" t="n">
        <v>0.031</v>
      </c>
      <c r="AM163" s="318" t="n">
        <v>1.6</v>
      </c>
      <c r="AN163" s="318" t="n">
        <v>-0.03</v>
      </c>
      <c r="AO163" s="318" t="n">
        <v>-0.34</v>
      </c>
      <c r="AP163" s="318" t="n">
        <v>-0.07</v>
      </c>
      <c r="AQ163" s="318" t="n">
        <v>-0.13</v>
      </c>
      <c r="AR163" s="318" t="n">
        <v>0.248</v>
      </c>
      <c r="AS163" s="318" t="n">
        <v>-0.26</v>
      </c>
      <c r="AT163" s="318" t="n">
        <v>0</v>
      </c>
      <c r="AU163" s="318" t="n">
        <v>0.35</v>
      </c>
      <c r="AV163" s="318" t="n">
        <v>-0.34</v>
      </c>
      <c r="AW163" s="318" t="n">
        <v>-0.1675</v>
      </c>
      <c r="AX163" s="318" t="n">
        <v>-0.06</v>
      </c>
      <c r="AY163" s="318" t="n">
        <v>-0.1075</v>
      </c>
      <c r="AZ163" s="318" t="n">
        <v>-0.0325</v>
      </c>
      <c r="BA163" s="318" t="n">
        <v>-0.093</v>
      </c>
      <c r="BB163" s="318" t="n">
        <v>-0.0105</v>
      </c>
      <c r="BC163" s="318" t="n">
        <v>-0.055</v>
      </c>
      <c r="BD163" s="318" t="n">
        <v>-0.06</v>
      </c>
      <c r="BE163" s="318" t="n">
        <v>-0.075</v>
      </c>
      <c r="BF163" s="318" t="n">
        <v>0</v>
      </c>
      <c r="BG163" s="318" t="n">
        <v>0</v>
      </c>
      <c r="BH163" s="318" t="n">
        <v>0.02</v>
      </c>
      <c r="BI163" s="318" t="n">
        <v>0</v>
      </c>
      <c r="BJ163" s="318" t="n">
        <v>1.04</v>
      </c>
      <c r="BK163" s="318" t="n">
        <v>0.0025</v>
      </c>
      <c r="BL163" s="318" t="n">
        <v>-0.025</v>
      </c>
      <c r="BM163" s="318" t="n">
        <v>0.005</v>
      </c>
      <c r="BN163" s="318" t="n">
        <v>0</v>
      </c>
      <c r="BO163" s="318" t="n">
        <v>0</v>
      </c>
      <c r="BP163" s="318" t="n">
        <v>0.005</v>
      </c>
      <c r="BQ163" s="318" t="n">
        <v>0</v>
      </c>
      <c r="BR163" s="318" t="n">
        <v>0.45</v>
      </c>
      <c r="BS163" s="0" t="n">
        <v>0.02</v>
      </c>
      <c r="BT163" s="0" t="n">
        <v>0</v>
      </c>
      <c r="BU163" s="0" t="n">
        <v>0</v>
      </c>
      <c r="BV163" s="0" t="n">
        <v>0.03</v>
      </c>
    </row>
    <row r="164" customFormat="false" ht="12.75" hidden="false" customHeight="false" outlineLevel="0" collapsed="false">
      <c r="A164" s="320" t="e">
        <f aca="false">#REF!-B164</f>
        <v>#REF!</v>
      </c>
      <c r="B164" s="320" t="n">
        <v>3.65</v>
      </c>
      <c r="C164" s="327" t="n">
        <f aca="false">EOMONTH(C163,0)+1</f>
        <v>42095</v>
      </c>
      <c r="D164" s="0" t="n">
        <f aca="false">D152+0.05</f>
        <v>3.581</v>
      </c>
      <c r="E164" s="320" t="n">
        <v>0.17</v>
      </c>
      <c r="F164" s="318" t="n">
        <v>0.060883425208857</v>
      </c>
      <c r="G164" s="318" t="n">
        <v>-0.125</v>
      </c>
      <c r="H164" s="318" t="n">
        <v>-0.145</v>
      </c>
      <c r="I164" s="330" t="n">
        <v>-0.01</v>
      </c>
      <c r="J164" s="330" t="n">
        <v>-0.13</v>
      </c>
      <c r="K164" s="318" t="n">
        <v>0</v>
      </c>
      <c r="L164" s="318" t="n">
        <v>-0.03</v>
      </c>
      <c r="M164" s="318" t="n">
        <v>-0.07</v>
      </c>
      <c r="N164" s="318" t="n">
        <v>-0.115</v>
      </c>
      <c r="O164" s="318" t="n">
        <v>-0.115</v>
      </c>
      <c r="P164" s="318" t="n">
        <v>-0.125</v>
      </c>
      <c r="Q164" s="318" t="n">
        <v>-0.07</v>
      </c>
      <c r="R164" s="318" t="n">
        <v>-0.0325</v>
      </c>
      <c r="S164" s="318" t="n">
        <v>0</v>
      </c>
      <c r="T164" s="318" t="n">
        <v>0.02</v>
      </c>
      <c r="U164" s="318" t="n">
        <v>0</v>
      </c>
      <c r="V164" s="318" t="n">
        <v>0.5</v>
      </c>
      <c r="W164" s="318" t="n">
        <v>0.195</v>
      </c>
      <c r="X164" s="318" t="n">
        <v>0.29</v>
      </c>
      <c r="Y164" s="318" t="n">
        <v>-0.004999999</v>
      </c>
      <c r="Z164" s="318" t="n">
        <v>-0.026</v>
      </c>
      <c r="AA164" s="318" t="n">
        <v>0.02</v>
      </c>
      <c r="AB164" s="318" t="n">
        <v>0.005</v>
      </c>
      <c r="AC164" s="318" t="n">
        <v>0.0025</v>
      </c>
      <c r="AD164" s="318" t="n">
        <v>-0.0185</v>
      </c>
      <c r="AE164" s="318" t="n">
        <v>-0.075</v>
      </c>
      <c r="AF164" s="318" t="n">
        <v>-0.0495</v>
      </c>
      <c r="AG164" s="318" t="n">
        <v>-0.072</v>
      </c>
      <c r="AH164" s="318" t="n">
        <v>-0.005499999</v>
      </c>
      <c r="AI164" s="318" t="n">
        <v>-0.064</v>
      </c>
      <c r="AJ164" s="318" t="n">
        <v>-0.1075</v>
      </c>
      <c r="AK164" s="318" t="n">
        <v>-0.008999999</v>
      </c>
      <c r="AL164" s="318" t="n">
        <v>0.031</v>
      </c>
      <c r="AM164" s="318" t="n">
        <v>0.64</v>
      </c>
      <c r="AN164" s="318" t="n">
        <v>-0.0175</v>
      </c>
      <c r="AO164" s="318" t="n">
        <v>-0.34</v>
      </c>
      <c r="AP164" s="318" t="n">
        <v>-0.07</v>
      </c>
      <c r="AQ164" s="318" t="n">
        <v>-0.13</v>
      </c>
      <c r="AR164" s="318" t="n">
        <v>0.068</v>
      </c>
      <c r="AS164" s="318" t="n">
        <v>-0.26</v>
      </c>
      <c r="AT164" s="318" t="n">
        <v>0</v>
      </c>
      <c r="AU164" s="318" t="n">
        <v>0.35</v>
      </c>
      <c r="AV164" s="318" t="n">
        <v>-0.34</v>
      </c>
      <c r="AW164" s="318" t="n">
        <v>-0.1575</v>
      </c>
      <c r="AX164" s="318" t="n">
        <v>-0.06</v>
      </c>
      <c r="AY164" s="318" t="n">
        <v>-0.0975</v>
      </c>
      <c r="AZ164" s="318" t="n">
        <v>-0.0325</v>
      </c>
      <c r="BA164" s="318" t="n">
        <v>-0.093</v>
      </c>
      <c r="BB164" s="318" t="n">
        <v>-0.0105</v>
      </c>
      <c r="BC164" s="318" t="n">
        <v>-0.055</v>
      </c>
      <c r="BD164" s="318" t="n">
        <v>-0.0475</v>
      </c>
      <c r="BE164" s="318" t="n">
        <v>-0.075</v>
      </c>
      <c r="BF164" s="318" t="n">
        <v>0</v>
      </c>
      <c r="BG164" s="318" t="n">
        <v>0</v>
      </c>
      <c r="BH164" s="318" t="n">
        <v>0.02</v>
      </c>
      <c r="BI164" s="318" t="n">
        <v>0</v>
      </c>
      <c r="BJ164" s="318" t="n">
        <v>0.54</v>
      </c>
      <c r="BK164" s="318" t="n">
        <v>0.0025</v>
      </c>
      <c r="BL164" s="318" t="n">
        <v>-0.02</v>
      </c>
      <c r="BM164" s="318" t="n">
        <v>0.005</v>
      </c>
      <c r="BN164" s="318" t="n">
        <v>0</v>
      </c>
      <c r="BO164" s="318" t="n">
        <v>0</v>
      </c>
      <c r="BP164" s="318" t="n">
        <v>0.005</v>
      </c>
      <c r="BQ164" s="318" t="n">
        <v>0</v>
      </c>
      <c r="BR164" s="318" t="n">
        <v>0.1</v>
      </c>
      <c r="BS164" s="0" t="n">
        <v>0.02</v>
      </c>
      <c r="BT164" s="0" t="n">
        <v>0</v>
      </c>
      <c r="BU164" s="0" t="n">
        <v>0</v>
      </c>
      <c r="BV164" s="0" t="n">
        <v>0.03</v>
      </c>
    </row>
    <row r="165" customFormat="false" ht="12.75" hidden="false" customHeight="false" outlineLevel="0" collapsed="false">
      <c r="A165" s="320" t="e">
        <f aca="false">#REF!-B165</f>
        <v>#REF!</v>
      </c>
      <c r="B165" s="320" t="n">
        <v>3.658</v>
      </c>
      <c r="C165" s="327" t="n">
        <f aca="false">EOMONTH(C164,0)+1</f>
        <v>42125</v>
      </c>
      <c r="D165" s="0" t="n">
        <f aca="false">D153+0.05</f>
        <v>3.584</v>
      </c>
      <c r="E165" s="320" t="n">
        <v>0.17</v>
      </c>
      <c r="F165" s="318" t="n">
        <v>0.0609272534373577</v>
      </c>
      <c r="G165" s="318" t="n">
        <v>-0.13</v>
      </c>
      <c r="H165" s="318" t="n">
        <v>-0.15</v>
      </c>
      <c r="I165" s="330" t="n">
        <v>-0.09</v>
      </c>
      <c r="J165" s="330" t="n">
        <v>-0.13</v>
      </c>
      <c r="K165" s="318" t="n">
        <v>-0.09</v>
      </c>
      <c r="L165" s="318" t="n">
        <v>-0.03</v>
      </c>
      <c r="M165" s="318" t="n">
        <v>-0.053</v>
      </c>
      <c r="N165" s="318" t="n">
        <v>-0.12</v>
      </c>
      <c r="O165" s="318" t="n">
        <v>-0.12</v>
      </c>
      <c r="P165" s="318" t="n">
        <v>-0.13</v>
      </c>
      <c r="Q165" s="318" t="n">
        <v>-0.05</v>
      </c>
      <c r="R165" s="318" t="n">
        <v>-0.03</v>
      </c>
      <c r="S165" s="318" t="n">
        <v>0</v>
      </c>
      <c r="T165" s="318" t="n">
        <v>0.02</v>
      </c>
      <c r="U165" s="318" t="n">
        <v>0</v>
      </c>
      <c r="V165" s="318" t="n">
        <v>0.5</v>
      </c>
      <c r="W165" s="318" t="n">
        <v>0.145</v>
      </c>
      <c r="X165" s="318" t="n">
        <v>0.195</v>
      </c>
      <c r="Y165" s="318" t="n">
        <v>-0.007499999</v>
      </c>
      <c r="Z165" s="318" t="n">
        <v>-0.041</v>
      </c>
      <c r="AA165" s="318" t="n">
        <v>0.02</v>
      </c>
      <c r="AB165" s="318" t="n">
        <v>0.005</v>
      </c>
      <c r="AC165" s="318" t="n">
        <v>0.0025</v>
      </c>
      <c r="AD165" s="318" t="n">
        <v>-0.0185</v>
      </c>
      <c r="AE165" s="318" t="n">
        <v>-0.0725</v>
      </c>
      <c r="AF165" s="318" t="n">
        <v>-0.047</v>
      </c>
      <c r="AG165" s="318" t="n">
        <v>-0.0695</v>
      </c>
      <c r="AH165" s="318" t="n">
        <v>-0.0105</v>
      </c>
      <c r="AI165" s="318" t="n">
        <v>-0.072</v>
      </c>
      <c r="AJ165" s="318" t="n">
        <v>-0.07</v>
      </c>
      <c r="AK165" s="318" t="n">
        <v>-0.017</v>
      </c>
      <c r="AL165" s="318" t="n">
        <v>0.023</v>
      </c>
      <c r="AM165" s="318" t="n">
        <v>0.38</v>
      </c>
      <c r="AN165" s="318" t="n">
        <v>0.02</v>
      </c>
      <c r="AO165" s="318" t="n">
        <v>0</v>
      </c>
      <c r="AP165" s="318" t="n">
        <v>-0.07</v>
      </c>
      <c r="AQ165" s="318" t="n">
        <v>-0.195</v>
      </c>
      <c r="AR165" s="318" t="n">
        <v>-0.25</v>
      </c>
      <c r="AS165" s="318" t="n">
        <v>-0.37</v>
      </c>
      <c r="AT165" s="318" t="n">
        <v>0</v>
      </c>
      <c r="AU165" s="318" t="n">
        <v>0.43</v>
      </c>
      <c r="AV165" s="318" t="n">
        <v>0</v>
      </c>
      <c r="AW165" s="318" t="n">
        <v>-0.198</v>
      </c>
      <c r="AX165" s="318" t="n">
        <v>-0.06</v>
      </c>
      <c r="AY165" s="318" t="n">
        <v>-0.138</v>
      </c>
      <c r="AZ165" s="318" t="n">
        <v>-0.03</v>
      </c>
      <c r="BA165" s="318" t="n">
        <v>-0.1155</v>
      </c>
      <c r="BB165" s="318" t="n">
        <v>-0.0105</v>
      </c>
      <c r="BC165" s="318" t="n">
        <v>-0.038</v>
      </c>
      <c r="BD165" s="318" t="n">
        <v>-0.01</v>
      </c>
      <c r="BE165" s="318" t="n">
        <v>-0.0725</v>
      </c>
      <c r="BF165" s="318" t="n">
        <v>0</v>
      </c>
      <c r="BG165" s="318" t="n">
        <v>0</v>
      </c>
      <c r="BH165" s="318" t="n">
        <v>0.02</v>
      </c>
      <c r="BI165" s="318" t="n">
        <v>0</v>
      </c>
      <c r="BJ165" s="318" t="n">
        <v>0.36</v>
      </c>
      <c r="BK165" s="318" t="n">
        <v>0.0025</v>
      </c>
      <c r="BL165" s="318" t="n">
        <v>-0.015</v>
      </c>
      <c r="BM165" s="318" t="n">
        <v>0.005</v>
      </c>
      <c r="BN165" s="318" t="n">
        <v>-0.01</v>
      </c>
      <c r="BO165" s="318" t="n">
        <v>0</v>
      </c>
      <c r="BP165" s="318" t="n">
        <v>0.005</v>
      </c>
      <c r="BQ165" s="318" t="n">
        <v>0</v>
      </c>
      <c r="BR165" s="318" t="n">
        <v>0.02</v>
      </c>
      <c r="BS165" s="0" t="n">
        <v>0.005</v>
      </c>
      <c r="BT165" s="0" t="n">
        <v>0</v>
      </c>
      <c r="BU165" s="0" t="n">
        <v>0</v>
      </c>
      <c r="BV165" s="0" t="n">
        <v>0.03</v>
      </c>
    </row>
    <row r="166" customFormat="false" ht="12.75" hidden="false" customHeight="false" outlineLevel="0" collapsed="false">
      <c r="A166" s="320" t="e">
        <f aca="false">#REF!-B166</f>
        <v>#REF!</v>
      </c>
      <c r="B166" s="320" t="n">
        <v>3.72</v>
      </c>
      <c r="C166" s="327" t="n">
        <f aca="false">EOMONTH(C165,0)+1</f>
        <v>42156</v>
      </c>
      <c r="D166" s="0" t="n">
        <f aca="false">D154+0.05</f>
        <v>3.624</v>
      </c>
      <c r="E166" s="320" t="n">
        <v>0.17</v>
      </c>
      <c r="F166" s="318" t="n">
        <v>0.060969667852643</v>
      </c>
      <c r="G166" s="318" t="n">
        <v>-0.13</v>
      </c>
      <c r="H166" s="318" t="n">
        <v>-0.15</v>
      </c>
      <c r="I166" s="330" t="n">
        <v>-0.09</v>
      </c>
      <c r="J166" s="330" t="n">
        <v>-0.13</v>
      </c>
      <c r="K166" s="318" t="n">
        <v>-0.09</v>
      </c>
      <c r="L166" s="318" t="n">
        <v>-0.03</v>
      </c>
      <c r="M166" s="318" t="n">
        <v>-0.053</v>
      </c>
      <c r="N166" s="318" t="n">
        <v>-0.12</v>
      </c>
      <c r="O166" s="318" t="n">
        <v>-0.12</v>
      </c>
      <c r="P166" s="318" t="n">
        <v>-0.13</v>
      </c>
      <c r="Q166" s="318" t="n">
        <v>-0.05</v>
      </c>
      <c r="R166" s="318" t="n">
        <v>-0.03</v>
      </c>
      <c r="S166" s="318" t="n">
        <v>0</v>
      </c>
      <c r="T166" s="318" t="n">
        <v>0.02</v>
      </c>
      <c r="U166" s="318" t="n">
        <v>0</v>
      </c>
      <c r="V166" s="318" t="n">
        <v>0.5</v>
      </c>
      <c r="W166" s="318" t="n">
        <v>0.125</v>
      </c>
      <c r="X166" s="318" t="n">
        <v>0.135</v>
      </c>
      <c r="Y166" s="318" t="n">
        <v>-0.007499999</v>
      </c>
      <c r="Z166" s="318" t="n">
        <v>-0.041</v>
      </c>
      <c r="AA166" s="318" t="n">
        <v>0.0225</v>
      </c>
      <c r="AB166" s="318" t="n">
        <v>0.0075</v>
      </c>
      <c r="AC166" s="318" t="n">
        <v>0.0025</v>
      </c>
      <c r="AD166" s="318" t="n">
        <v>-0.0185</v>
      </c>
      <c r="AE166" s="318" t="n">
        <v>-0.0725</v>
      </c>
      <c r="AF166" s="318" t="n">
        <v>-0.047</v>
      </c>
      <c r="AG166" s="318" t="n">
        <v>-0.0695</v>
      </c>
      <c r="AH166" s="318" t="n">
        <v>-0.0105</v>
      </c>
      <c r="AI166" s="318" t="n">
        <v>-0.072</v>
      </c>
      <c r="AJ166" s="318" t="n">
        <v>-0.07</v>
      </c>
      <c r="AK166" s="318" t="n">
        <v>-0.017</v>
      </c>
      <c r="AL166" s="318" t="n">
        <v>0.023</v>
      </c>
      <c r="AM166" s="318" t="n">
        <v>0.33</v>
      </c>
      <c r="AN166" s="318" t="n">
        <v>0.02</v>
      </c>
      <c r="AO166" s="318" t="n">
        <v>0</v>
      </c>
      <c r="AP166" s="318" t="n">
        <v>-0.07</v>
      </c>
      <c r="AQ166" s="318" t="n">
        <v>-0.195</v>
      </c>
      <c r="AR166" s="318" t="n">
        <v>-0.1</v>
      </c>
      <c r="AS166" s="318" t="n">
        <v>-0.37</v>
      </c>
      <c r="AT166" s="318" t="n">
        <v>0</v>
      </c>
      <c r="AU166" s="318" t="n">
        <v>0.43</v>
      </c>
      <c r="AV166" s="318" t="n">
        <v>0</v>
      </c>
      <c r="AW166" s="318" t="n">
        <v>-0.1755</v>
      </c>
      <c r="AX166" s="318" t="n">
        <v>-0.06</v>
      </c>
      <c r="AY166" s="318" t="n">
        <v>-0.1155</v>
      </c>
      <c r="AZ166" s="318" t="n">
        <v>-0.03</v>
      </c>
      <c r="BA166" s="318" t="n">
        <v>-0.108</v>
      </c>
      <c r="BB166" s="318" t="n">
        <v>-0.0105</v>
      </c>
      <c r="BC166" s="318" t="n">
        <v>-0.038</v>
      </c>
      <c r="BD166" s="318" t="n">
        <v>-0.01</v>
      </c>
      <c r="BE166" s="318" t="n">
        <v>-0.0725</v>
      </c>
      <c r="BF166" s="318" t="n">
        <v>0</v>
      </c>
      <c r="BG166" s="318" t="n">
        <v>0</v>
      </c>
      <c r="BH166" s="318" t="n">
        <v>0.02</v>
      </c>
      <c r="BI166" s="318" t="n">
        <v>0</v>
      </c>
      <c r="BJ166" s="318" t="n">
        <v>0.325</v>
      </c>
      <c r="BK166" s="318" t="n">
        <v>0.0025</v>
      </c>
      <c r="BL166" s="318" t="n">
        <v>-0.015</v>
      </c>
      <c r="BM166" s="318" t="n">
        <v>0.005</v>
      </c>
      <c r="BN166" s="318" t="n">
        <v>-0.01</v>
      </c>
      <c r="BO166" s="318" t="n">
        <v>0</v>
      </c>
      <c r="BP166" s="318" t="n">
        <v>0.005</v>
      </c>
      <c r="BQ166" s="318" t="n">
        <v>0</v>
      </c>
      <c r="BR166" s="318" t="n">
        <v>0.02</v>
      </c>
      <c r="BS166" s="0" t="n">
        <v>0.005</v>
      </c>
      <c r="BT166" s="0" t="n">
        <v>0</v>
      </c>
      <c r="BU166" s="0" t="n">
        <v>0</v>
      </c>
      <c r="BV166" s="0" t="n">
        <v>0.03</v>
      </c>
    </row>
    <row r="167" customFormat="false" ht="12.75" hidden="false" customHeight="false" outlineLevel="0" collapsed="false">
      <c r="A167" s="320" t="e">
        <f aca="false">#REF!-B167</f>
        <v>#REF!</v>
      </c>
      <c r="B167" s="320" t="n">
        <v>3.799</v>
      </c>
      <c r="C167" s="327" t="n">
        <f aca="false">EOMONTH(C166,0)+1</f>
        <v>42186</v>
      </c>
      <c r="D167" s="0" t="n">
        <f aca="false">D155+0.05</f>
        <v>3.664</v>
      </c>
      <c r="E167" s="320" t="n">
        <v>0.17</v>
      </c>
      <c r="F167" s="318" t="n">
        <v>0.0610134960823987</v>
      </c>
      <c r="G167" s="318" t="n">
        <v>-0.13</v>
      </c>
      <c r="H167" s="318" t="n">
        <v>-0.15</v>
      </c>
      <c r="I167" s="330" t="n">
        <v>-0.09</v>
      </c>
      <c r="J167" s="330" t="n">
        <v>-0.13</v>
      </c>
      <c r="K167" s="318" t="n">
        <v>-0.09</v>
      </c>
      <c r="L167" s="318" t="n">
        <v>-0.03</v>
      </c>
      <c r="M167" s="318" t="n">
        <v>-0.053</v>
      </c>
      <c r="N167" s="318" t="n">
        <v>-0.12</v>
      </c>
      <c r="O167" s="318" t="n">
        <v>-0.12</v>
      </c>
      <c r="P167" s="318" t="n">
        <v>-0.13</v>
      </c>
      <c r="Q167" s="318" t="n">
        <v>-0.0475</v>
      </c>
      <c r="R167" s="318" t="n">
        <v>-0.03</v>
      </c>
      <c r="S167" s="318" t="n">
        <v>0</v>
      </c>
      <c r="T167" s="318" t="n">
        <v>0.02</v>
      </c>
      <c r="U167" s="318" t="n">
        <v>0</v>
      </c>
      <c r="V167" s="318" t="n">
        <v>0.5</v>
      </c>
      <c r="W167" s="318" t="n">
        <v>0.145</v>
      </c>
      <c r="X167" s="318" t="n">
        <v>0.165</v>
      </c>
      <c r="Y167" s="318" t="n">
        <v>-0.007499999</v>
      </c>
      <c r="Z167" s="318" t="n">
        <v>-0.0385</v>
      </c>
      <c r="AA167" s="318" t="n">
        <v>0.0225</v>
      </c>
      <c r="AB167" s="318" t="n">
        <v>0.0075</v>
      </c>
      <c r="AC167" s="318" t="n">
        <v>0.0025</v>
      </c>
      <c r="AD167" s="318" t="n">
        <v>-0.0185</v>
      </c>
      <c r="AE167" s="318" t="n">
        <v>-0.0725</v>
      </c>
      <c r="AF167" s="318" t="n">
        <v>-0.047</v>
      </c>
      <c r="AG167" s="318" t="n">
        <v>-0.0695</v>
      </c>
      <c r="AH167" s="318" t="n">
        <v>-0.0105</v>
      </c>
      <c r="AI167" s="318" t="n">
        <v>-0.072</v>
      </c>
      <c r="AJ167" s="318" t="n">
        <v>-0.065</v>
      </c>
      <c r="AK167" s="318" t="n">
        <v>-0.017</v>
      </c>
      <c r="AL167" s="318" t="n">
        <v>0.023</v>
      </c>
      <c r="AM167" s="318" t="n">
        <v>0.37</v>
      </c>
      <c r="AN167" s="318" t="n">
        <v>0.025</v>
      </c>
      <c r="AO167" s="318" t="n">
        <v>0</v>
      </c>
      <c r="AP167" s="318" t="n">
        <v>-0.07</v>
      </c>
      <c r="AQ167" s="318" t="n">
        <v>-0.195</v>
      </c>
      <c r="AR167" s="318" t="n">
        <v>-0.1</v>
      </c>
      <c r="AS167" s="318" t="n">
        <v>-0.37</v>
      </c>
      <c r="AT167" s="318" t="n">
        <v>0</v>
      </c>
      <c r="AU167" s="318" t="n">
        <v>0.43</v>
      </c>
      <c r="AV167" s="318" t="n">
        <v>0</v>
      </c>
      <c r="AW167" s="318" t="n">
        <v>-0.123</v>
      </c>
      <c r="AX167" s="318" t="n">
        <v>-0.06</v>
      </c>
      <c r="AY167" s="318" t="n">
        <v>-0.063</v>
      </c>
      <c r="AZ167" s="318" t="n">
        <v>-0.03</v>
      </c>
      <c r="BA167" s="318" t="n">
        <v>-0.0655</v>
      </c>
      <c r="BB167" s="318" t="n">
        <v>-0.0105</v>
      </c>
      <c r="BC167" s="318" t="n">
        <v>-0.038</v>
      </c>
      <c r="BD167" s="318" t="n">
        <v>-0.005</v>
      </c>
      <c r="BE167" s="318" t="n">
        <v>-0.0725</v>
      </c>
      <c r="BF167" s="318" t="n">
        <v>0</v>
      </c>
      <c r="BG167" s="318" t="n">
        <v>0</v>
      </c>
      <c r="BH167" s="318" t="n">
        <v>0.02</v>
      </c>
      <c r="BI167" s="318" t="n">
        <v>0</v>
      </c>
      <c r="BJ167" s="318" t="n">
        <v>0.335</v>
      </c>
      <c r="BK167" s="318" t="n">
        <v>0.0025</v>
      </c>
      <c r="BL167" s="318" t="n">
        <v>-0.015</v>
      </c>
      <c r="BM167" s="318" t="n">
        <v>0.005</v>
      </c>
      <c r="BN167" s="318" t="n">
        <v>-0.01</v>
      </c>
      <c r="BO167" s="318" t="n">
        <v>0</v>
      </c>
      <c r="BP167" s="318" t="n">
        <v>0.005</v>
      </c>
      <c r="BQ167" s="318" t="n">
        <v>0</v>
      </c>
      <c r="BR167" s="318" t="n">
        <v>0.035</v>
      </c>
      <c r="BS167" s="0" t="n">
        <v>0.005</v>
      </c>
      <c r="BT167" s="0" t="n">
        <v>0</v>
      </c>
      <c r="BU167" s="0" t="n">
        <v>0</v>
      </c>
      <c r="BV167" s="0" t="n">
        <v>0.03</v>
      </c>
    </row>
    <row r="168" customFormat="false" ht="12.75" hidden="false" customHeight="false" outlineLevel="0" collapsed="false">
      <c r="A168" s="320" t="e">
        <f aca="false">#REF!-B168</f>
        <v>#REF!</v>
      </c>
      <c r="B168" s="320" t="n">
        <v>4.075</v>
      </c>
      <c r="C168" s="327" t="n">
        <f aca="false">EOMONTH(C167,0)+1</f>
        <v>42217</v>
      </c>
      <c r="D168" s="0" t="n">
        <f aca="false">D156+0.05</f>
        <v>3.714</v>
      </c>
      <c r="E168" s="320" t="n">
        <v>0.17</v>
      </c>
      <c r="F168" s="318" t="n">
        <v>0.061055910498899</v>
      </c>
      <c r="G168" s="318" t="n">
        <v>-0.13</v>
      </c>
      <c r="H168" s="318" t="n">
        <v>-0.15</v>
      </c>
      <c r="I168" s="330" t="n">
        <v>-0.09</v>
      </c>
      <c r="J168" s="330" t="n">
        <v>-0.13</v>
      </c>
      <c r="K168" s="318" t="n">
        <v>-0.09</v>
      </c>
      <c r="L168" s="318" t="n">
        <v>-0.03</v>
      </c>
      <c r="M168" s="318" t="n">
        <v>-0.053</v>
      </c>
      <c r="N168" s="318" t="n">
        <v>-0.12</v>
      </c>
      <c r="O168" s="318" t="n">
        <v>-0.12</v>
      </c>
      <c r="P168" s="318" t="n">
        <v>-0.13</v>
      </c>
      <c r="Q168" s="318" t="n">
        <v>-0.04625</v>
      </c>
      <c r="R168" s="318" t="n">
        <v>-0.03</v>
      </c>
      <c r="S168" s="318" t="n">
        <v>0</v>
      </c>
      <c r="T168" s="318" t="n">
        <v>0.02</v>
      </c>
      <c r="U168" s="318" t="n">
        <v>0</v>
      </c>
      <c r="V168" s="318" t="n">
        <v>0.5</v>
      </c>
      <c r="W168" s="318" t="n">
        <v>0.15</v>
      </c>
      <c r="X168" s="318" t="n">
        <v>0.205</v>
      </c>
      <c r="Y168" s="318" t="n">
        <v>-0.007499999</v>
      </c>
      <c r="Z168" s="318" t="n">
        <v>-0.0385</v>
      </c>
      <c r="AA168" s="318" t="n">
        <v>0.0225</v>
      </c>
      <c r="AB168" s="318" t="n">
        <v>0.0075</v>
      </c>
      <c r="AC168" s="318" t="n">
        <v>0.0025</v>
      </c>
      <c r="AD168" s="318" t="n">
        <v>-0.0185</v>
      </c>
      <c r="AE168" s="318" t="n">
        <v>-0.0725</v>
      </c>
      <c r="AF168" s="318" t="n">
        <v>-0.047</v>
      </c>
      <c r="AG168" s="318" t="n">
        <v>-0.0695</v>
      </c>
      <c r="AH168" s="318" t="n">
        <v>-0.0105</v>
      </c>
      <c r="AI168" s="318" t="n">
        <v>-0.072</v>
      </c>
      <c r="AJ168" s="318" t="n">
        <v>-0.0625</v>
      </c>
      <c r="AK168" s="318" t="n">
        <v>-0.017</v>
      </c>
      <c r="AL168" s="318" t="n">
        <v>0.023</v>
      </c>
      <c r="AM168" s="318" t="n">
        <v>0.41</v>
      </c>
      <c r="AN168" s="318" t="n">
        <v>0.0275</v>
      </c>
      <c r="AO168" s="318" t="n">
        <v>0</v>
      </c>
      <c r="AP168" s="318" t="n">
        <v>-0.07</v>
      </c>
      <c r="AQ168" s="318" t="n">
        <v>-0.195</v>
      </c>
      <c r="AR168" s="318" t="n">
        <v>-0.1</v>
      </c>
      <c r="AS168" s="318" t="n">
        <v>-0.37</v>
      </c>
      <c r="AT168" s="318" t="n">
        <v>0</v>
      </c>
      <c r="AU168" s="318" t="n">
        <v>0.43</v>
      </c>
      <c r="AV168" s="318" t="n">
        <v>0</v>
      </c>
      <c r="AW168" s="318" t="n">
        <v>-0.133</v>
      </c>
      <c r="AX168" s="318" t="n">
        <v>-0.06</v>
      </c>
      <c r="AY168" s="318" t="n">
        <v>-0.073</v>
      </c>
      <c r="AZ168" s="318" t="n">
        <v>-0.03</v>
      </c>
      <c r="BA168" s="318" t="n">
        <v>-0.063</v>
      </c>
      <c r="BB168" s="318" t="n">
        <v>-0.0105</v>
      </c>
      <c r="BC168" s="318" t="n">
        <v>-0.038</v>
      </c>
      <c r="BD168" s="318" t="n">
        <v>-0.0025</v>
      </c>
      <c r="BE168" s="318" t="n">
        <v>-0.0725</v>
      </c>
      <c r="BF168" s="318" t="n">
        <v>0</v>
      </c>
      <c r="BG168" s="318" t="n">
        <v>0</v>
      </c>
      <c r="BH168" s="318" t="n">
        <v>0.02</v>
      </c>
      <c r="BI168" s="318" t="n">
        <v>0</v>
      </c>
      <c r="BJ168" s="318" t="n">
        <v>0.35</v>
      </c>
      <c r="BK168" s="318" t="n">
        <v>0.0025</v>
      </c>
      <c r="BL168" s="318" t="n">
        <v>-0.01</v>
      </c>
      <c r="BM168" s="318" t="n">
        <v>0.005</v>
      </c>
      <c r="BN168" s="318" t="n">
        <v>-0.01</v>
      </c>
      <c r="BO168" s="318" t="n">
        <v>0</v>
      </c>
      <c r="BP168" s="318" t="n">
        <v>0.005</v>
      </c>
      <c r="BQ168" s="318" t="n">
        <v>0</v>
      </c>
      <c r="BR168" s="318" t="n">
        <v>0.035</v>
      </c>
      <c r="BS168" s="0" t="n">
        <v>0.005</v>
      </c>
      <c r="BT168" s="0" t="n">
        <v>0</v>
      </c>
      <c r="BU168" s="0" t="n">
        <v>0</v>
      </c>
      <c r="BV168" s="0" t="n">
        <v>0.03</v>
      </c>
    </row>
    <row r="169" customFormat="false" ht="12.75" hidden="false" customHeight="false" outlineLevel="0" collapsed="false">
      <c r="A169" s="320" t="e">
        <f aca="false">#REF!-B169</f>
        <v>#REF!</v>
      </c>
      <c r="B169" s="320" t="n">
        <v>3.992</v>
      </c>
      <c r="C169" s="327" t="n">
        <f aca="false">EOMONTH(C168,0)+1</f>
        <v>42248</v>
      </c>
      <c r="D169" s="0" t="n">
        <f aca="false">D157+0.05</f>
        <v>3.699</v>
      </c>
      <c r="E169" s="320" t="n">
        <v>0.17</v>
      </c>
      <c r="F169" s="318" t="n">
        <v>0.0610997387299097</v>
      </c>
      <c r="G169" s="318" t="n">
        <v>-0.13</v>
      </c>
      <c r="H169" s="318" t="n">
        <v>-0.15</v>
      </c>
      <c r="I169" s="330" t="n">
        <v>-0.09</v>
      </c>
      <c r="J169" s="330" t="n">
        <v>-0.13</v>
      </c>
      <c r="K169" s="318" t="n">
        <v>-0.09</v>
      </c>
      <c r="L169" s="318" t="n">
        <v>-0.03</v>
      </c>
      <c r="M169" s="318" t="n">
        <v>-0.053</v>
      </c>
      <c r="N169" s="318" t="n">
        <v>-0.12</v>
      </c>
      <c r="O169" s="318" t="n">
        <v>-0.12</v>
      </c>
      <c r="P169" s="318" t="n">
        <v>-0.13</v>
      </c>
      <c r="Q169" s="318" t="n">
        <v>-0.045</v>
      </c>
      <c r="R169" s="318" t="n">
        <v>-0.03</v>
      </c>
      <c r="S169" s="318" t="n">
        <v>0</v>
      </c>
      <c r="T169" s="318" t="n">
        <v>0.02</v>
      </c>
      <c r="U169" s="318" t="n">
        <v>0</v>
      </c>
      <c r="V169" s="318" t="n">
        <v>0.5</v>
      </c>
      <c r="W169" s="318" t="n">
        <v>0.15</v>
      </c>
      <c r="X169" s="318" t="n">
        <v>0.205</v>
      </c>
      <c r="Y169" s="318" t="n">
        <v>-0.007499999</v>
      </c>
      <c r="Z169" s="318" t="n">
        <v>-0.0385</v>
      </c>
      <c r="AA169" s="318" t="n">
        <v>0.0175</v>
      </c>
      <c r="AB169" s="318" t="n">
        <v>0.0025</v>
      </c>
      <c r="AC169" s="318" t="n">
        <v>0.0025</v>
      </c>
      <c r="AD169" s="318" t="n">
        <v>-0.0185</v>
      </c>
      <c r="AE169" s="318" t="n">
        <v>-0.0725</v>
      </c>
      <c r="AF169" s="318" t="n">
        <v>-0.047</v>
      </c>
      <c r="AG169" s="318" t="n">
        <v>-0.0695</v>
      </c>
      <c r="AH169" s="318" t="n">
        <v>-0.0105</v>
      </c>
      <c r="AI169" s="318" t="n">
        <v>-0.072</v>
      </c>
      <c r="AJ169" s="318" t="n">
        <v>-0.06</v>
      </c>
      <c r="AK169" s="318" t="n">
        <v>-0.017</v>
      </c>
      <c r="AL169" s="318" t="n">
        <v>0.023</v>
      </c>
      <c r="AM169" s="318" t="n">
        <v>0.41</v>
      </c>
      <c r="AN169" s="318" t="n">
        <v>0.03</v>
      </c>
      <c r="AO169" s="318" t="n">
        <v>0</v>
      </c>
      <c r="AP169" s="318" t="n">
        <v>-0.07</v>
      </c>
      <c r="AQ169" s="318" t="n">
        <v>-0.195</v>
      </c>
      <c r="AR169" s="318" t="n">
        <v>-0.1</v>
      </c>
      <c r="AS169" s="318" t="n">
        <v>-0.37</v>
      </c>
      <c r="AT169" s="318" t="n">
        <v>0</v>
      </c>
      <c r="AU169" s="318" t="n">
        <v>0.43</v>
      </c>
      <c r="AV169" s="318" t="n">
        <v>0</v>
      </c>
      <c r="AW169" s="318" t="n">
        <v>-0.128</v>
      </c>
      <c r="AX169" s="318" t="n">
        <v>-0.06</v>
      </c>
      <c r="AY169" s="318" t="n">
        <v>-0.068</v>
      </c>
      <c r="AZ169" s="318" t="n">
        <v>-0.03</v>
      </c>
      <c r="BA169" s="318" t="n">
        <v>-0.0605</v>
      </c>
      <c r="BB169" s="318" t="n">
        <v>-0.0105</v>
      </c>
      <c r="BC169" s="318" t="n">
        <v>-0.038</v>
      </c>
      <c r="BD169" s="318" t="n">
        <v>0</v>
      </c>
      <c r="BE169" s="318" t="n">
        <v>-0.0725</v>
      </c>
      <c r="BF169" s="318" t="n">
        <v>0</v>
      </c>
      <c r="BG169" s="318" t="n">
        <v>0</v>
      </c>
      <c r="BH169" s="318" t="n">
        <v>0.02</v>
      </c>
      <c r="BI169" s="318" t="n">
        <v>0</v>
      </c>
      <c r="BJ169" s="318" t="n">
        <v>0.35</v>
      </c>
      <c r="BK169" s="318" t="n">
        <v>0.0025</v>
      </c>
      <c r="BL169" s="318" t="n">
        <v>-0.01</v>
      </c>
      <c r="BM169" s="318" t="n">
        <v>0.005</v>
      </c>
      <c r="BN169" s="318" t="n">
        <v>-0.01</v>
      </c>
      <c r="BO169" s="318" t="n">
        <v>0</v>
      </c>
      <c r="BP169" s="318" t="n">
        <v>0.005</v>
      </c>
      <c r="BQ169" s="318" t="n">
        <v>0</v>
      </c>
      <c r="BR169" s="318" t="n">
        <v>0.01</v>
      </c>
      <c r="BS169" s="0" t="n">
        <v>0.005</v>
      </c>
      <c r="BT169" s="0" t="n">
        <v>0</v>
      </c>
      <c r="BU169" s="0" t="n">
        <v>0</v>
      </c>
      <c r="BV169" s="0" t="n">
        <v>0.03</v>
      </c>
    </row>
    <row r="170" customFormat="false" ht="12.75" hidden="false" customHeight="false" outlineLevel="0" collapsed="false">
      <c r="A170" s="320" t="e">
        <f aca="false">#REF!-B170</f>
        <v>#REF!</v>
      </c>
      <c r="B170" s="320" t="n">
        <v>3.867</v>
      </c>
      <c r="C170" s="327" t="n">
        <f aca="false">EOMONTH(C169,0)+1</f>
        <v>42278</v>
      </c>
      <c r="D170" s="0" t="n">
        <f aca="false">D158+0.05</f>
        <v>3.714</v>
      </c>
      <c r="E170" s="320" t="n">
        <v>0.17</v>
      </c>
      <c r="F170" s="318" t="n">
        <v>0.061143566961559</v>
      </c>
      <c r="G170" s="318" t="n">
        <v>-0.13</v>
      </c>
      <c r="H170" s="318" t="n">
        <v>-0.15</v>
      </c>
      <c r="I170" s="330" t="n">
        <v>-0.09</v>
      </c>
      <c r="J170" s="330" t="n">
        <v>-0.13</v>
      </c>
      <c r="K170" s="318" t="n">
        <v>-0.09</v>
      </c>
      <c r="L170" s="318" t="n">
        <v>0</v>
      </c>
      <c r="M170" s="318" t="n">
        <v>-0.053</v>
      </c>
      <c r="N170" s="318" t="n">
        <v>-0.12</v>
      </c>
      <c r="O170" s="318" t="n">
        <v>-0.12</v>
      </c>
      <c r="P170" s="318" t="n">
        <v>-0.13</v>
      </c>
      <c r="Q170" s="318" t="n">
        <v>0</v>
      </c>
      <c r="R170" s="318" t="n">
        <v>0</v>
      </c>
      <c r="S170" s="318" t="n">
        <v>0</v>
      </c>
      <c r="T170" s="318" t="n">
        <v>0.02</v>
      </c>
      <c r="U170" s="318" t="n">
        <v>0</v>
      </c>
      <c r="V170" s="318" t="n">
        <v>0.5</v>
      </c>
      <c r="W170" s="318" t="n">
        <v>0.125</v>
      </c>
      <c r="X170" s="318" t="n">
        <v>0.145</v>
      </c>
      <c r="Y170" s="318" t="n">
        <v>-0.007499999</v>
      </c>
      <c r="Z170" s="318" t="n">
        <v>-0.0435</v>
      </c>
      <c r="AA170" s="318" t="n">
        <v>0.0175</v>
      </c>
      <c r="AB170" s="318" t="n">
        <v>0.0025</v>
      </c>
      <c r="AC170" s="318" t="n">
        <v>0.0025</v>
      </c>
      <c r="AD170" s="318" t="n">
        <v>-0.0185</v>
      </c>
      <c r="AE170" s="318" t="n">
        <v>-0.0725</v>
      </c>
      <c r="AF170" s="318" t="n">
        <v>-0.047</v>
      </c>
      <c r="AG170" s="318" t="n">
        <v>-0.0695</v>
      </c>
      <c r="AH170" s="318" t="n">
        <v>-0.0105</v>
      </c>
      <c r="AI170" s="318" t="n">
        <v>-0.072</v>
      </c>
      <c r="AJ170" s="318" t="n">
        <v>0</v>
      </c>
      <c r="AK170" s="318" t="n">
        <v>-0.017</v>
      </c>
      <c r="AL170" s="318" t="n">
        <v>0.023</v>
      </c>
      <c r="AM170" s="318" t="n">
        <v>0.36</v>
      </c>
      <c r="AN170" s="318" t="n">
        <v>0.0225</v>
      </c>
      <c r="AO170" s="318" t="n">
        <v>0</v>
      </c>
      <c r="AP170" s="318" t="n">
        <v>-0.07</v>
      </c>
      <c r="AQ170" s="318" t="n">
        <v>-0.195</v>
      </c>
      <c r="AR170" s="318" t="n">
        <v>-0.1</v>
      </c>
      <c r="AS170" s="318" t="n">
        <v>-0.37</v>
      </c>
      <c r="AT170" s="318" t="n">
        <v>0</v>
      </c>
      <c r="AU170" s="318" t="n">
        <v>0.43</v>
      </c>
      <c r="AV170" s="318" t="n">
        <v>0</v>
      </c>
      <c r="AW170" s="318" t="n">
        <v>-0.138</v>
      </c>
      <c r="AX170" s="318" t="n">
        <v>-0.06</v>
      </c>
      <c r="AY170" s="318" t="n">
        <v>-0.078</v>
      </c>
      <c r="AZ170" s="318" t="n">
        <v>0</v>
      </c>
      <c r="BA170" s="318" t="n">
        <v>-0.0655</v>
      </c>
      <c r="BB170" s="318" t="n">
        <v>-0.0105</v>
      </c>
      <c r="BC170" s="318" t="n">
        <v>-0.038</v>
      </c>
      <c r="BD170" s="318" t="n">
        <v>-0.0075</v>
      </c>
      <c r="BE170" s="318" t="n">
        <v>-0.0725</v>
      </c>
      <c r="BF170" s="318" t="n">
        <v>0</v>
      </c>
      <c r="BG170" s="318" t="n">
        <v>0</v>
      </c>
      <c r="BH170" s="318" t="n">
        <v>0.02</v>
      </c>
      <c r="BI170" s="318" t="n">
        <v>0</v>
      </c>
      <c r="BJ170" s="318" t="n">
        <v>0.315</v>
      </c>
      <c r="BK170" s="318" t="n">
        <v>0.0025</v>
      </c>
      <c r="BL170" s="318" t="n">
        <v>-0.01</v>
      </c>
      <c r="BM170" s="318" t="n">
        <v>0.005</v>
      </c>
      <c r="BN170" s="318" t="n">
        <v>-0.01</v>
      </c>
      <c r="BO170" s="318" t="n">
        <v>0</v>
      </c>
      <c r="BP170" s="318" t="n">
        <v>0.005</v>
      </c>
      <c r="BQ170" s="318" t="n">
        <v>0</v>
      </c>
      <c r="BR170" s="318" t="n">
        <v>0.01</v>
      </c>
      <c r="BS170" s="0" t="n">
        <v>0.005</v>
      </c>
      <c r="BT170" s="0" t="n">
        <v>0</v>
      </c>
      <c r="BU170" s="0" t="n">
        <v>0</v>
      </c>
      <c r="BV170" s="0" t="n">
        <v>0.03</v>
      </c>
    </row>
    <row r="171" customFormat="false" ht="12.75" hidden="false" customHeight="false" outlineLevel="0" collapsed="false">
      <c r="A171" s="320" t="e">
        <f aca="false">#REF!-B171</f>
        <v>#REF!</v>
      </c>
      <c r="B171" s="320" t="n">
        <v>3.745</v>
      </c>
      <c r="C171" s="327" t="n">
        <f aca="false">EOMONTH(C170,0)+1</f>
        <v>42309</v>
      </c>
      <c r="D171" s="0" t="n">
        <f aca="false">D159+0.05</f>
        <v>3.859</v>
      </c>
      <c r="E171" s="320" t="n">
        <v>0.17</v>
      </c>
      <c r="F171" s="318" t="n">
        <v>0.0611859813798912</v>
      </c>
      <c r="G171" s="318" t="n">
        <v>-0.13</v>
      </c>
      <c r="H171" s="318" t="n">
        <v>-0.15</v>
      </c>
      <c r="I171" s="330" t="n">
        <v>-0.09</v>
      </c>
      <c r="J171" s="330" t="n">
        <v>-0.13</v>
      </c>
      <c r="K171" s="318" t="n">
        <v>-0.09</v>
      </c>
      <c r="L171" s="318" t="n">
        <v>0</v>
      </c>
      <c r="M171" s="318" t="n">
        <v>-0.053</v>
      </c>
      <c r="N171" s="318" t="n">
        <v>-0.12</v>
      </c>
      <c r="O171" s="318" t="n">
        <v>-0.12</v>
      </c>
      <c r="P171" s="318" t="n">
        <v>-0.13</v>
      </c>
      <c r="Q171" s="318" t="n">
        <v>0</v>
      </c>
      <c r="R171" s="318" t="n">
        <v>0</v>
      </c>
      <c r="S171" s="318" t="n">
        <v>0</v>
      </c>
      <c r="T171" s="318" t="n">
        <v>0.02</v>
      </c>
      <c r="U171" s="318" t="n">
        <v>0</v>
      </c>
      <c r="V171" s="318" t="n">
        <v>0.5</v>
      </c>
      <c r="W171" s="318" t="n">
        <v>0.145</v>
      </c>
      <c r="X171" s="318" t="n">
        <v>0.175</v>
      </c>
      <c r="Y171" s="318" t="n">
        <v>-0.007499999</v>
      </c>
      <c r="Z171" s="318" t="n">
        <v>-0.0435</v>
      </c>
      <c r="AA171" s="318" t="n">
        <v>0.0125</v>
      </c>
      <c r="AB171" s="318" t="n">
        <v>-0.0025</v>
      </c>
      <c r="AC171" s="318" t="n">
        <v>0.0025</v>
      </c>
      <c r="AD171" s="318" t="n">
        <v>-0.0185</v>
      </c>
      <c r="AE171" s="318" t="n">
        <v>-0.0725</v>
      </c>
      <c r="AF171" s="318" t="n">
        <v>-0.047</v>
      </c>
      <c r="AG171" s="318" t="n">
        <v>-0.0695</v>
      </c>
      <c r="AH171" s="318" t="n">
        <v>-0.0105</v>
      </c>
      <c r="AI171" s="318" t="n">
        <v>-0.072</v>
      </c>
      <c r="AJ171" s="318" t="n">
        <v>0</v>
      </c>
      <c r="AK171" s="318" t="n">
        <v>-0.017</v>
      </c>
      <c r="AL171" s="318" t="n">
        <v>0.023</v>
      </c>
      <c r="AM171" s="318" t="n">
        <v>0.4</v>
      </c>
      <c r="AN171" s="318" t="n">
        <v>0.0125</v>
      </c>
      <c r="AO171" s="318" t="n">
        <v>0</v>
      </c>
      <c r="AP171" s="318" t="n">
        <v>-0.07</v>
      </c>
      <c r="AQ171" s="318" t="n">
        <v>-0.195</v>
      </c>
      <c r="AR171" s="318" t="n">
        <v>-0.1</v>
      </c>
      <c r="AS171" s="318" t="n">
        <v>-0.37</v>
      </c>
      <c r="AT171" s="318" t="n">
        <v>0</v>
      </c>
      <c r="AU171" s="318" t="n">
        <v>0.43</v>
      </c>
      <c r="AV171" s="318" t="n">
        <v>0</v>
      </c>
      <c r="AW171" s="318" t="n">
        <v>-0.1255</v>
      </c>
      <c r="AX171" s="318" t="n">
        <v>-0.06</v>
      </c>
      <c r="AY171" s="318" t="n">
        <v>-0.0655</v>
      </c>
      <c r="AZ171" s="318" t="n">
        <v>0</v>
      </c>
      <c r="BA171" s="318" t="n">
        <v>-0.068</v>
      </c>
      <c r="BB171" s="318" t="n">
        <v>-0.0105</v>
      </c>
      <c r="BC171" s="318" t="n">
        <v>-0.038</v>
      </c>
      <c r="BD171" s="318" t="n">
        <v>-0.0175</v>
      </c>
      <c r="BE171" s="318" t="n">
        <v>-0.0725</v>
      </c>
      <c r="BF171" s="318" t="n">
        <v>0</v>
      </c>
      <c r="BG171" s="318" t="n">
        <v>0</v>
      </c>
      <c r="BH171" s="318" t="n">
        <v>0.02</v>
      </c>
      <c r="BI171" s="318" t="n">
        <v>0</v>
      </c>
      <c r="BJ171" s="318" t="n">
        <v>0.36</v>
      </c>
      <c r="BK171" s="318" t="n">
        <v>0.0025</v>
      </c>
      <c r="BL171" s="318" t="n">
        <v>-0.015</v>
      </c>
      <c r="BM171" s="318" t="n">
        <v>0.005</v>
      </c>
      <c r="BN171" s="318" t="n">
        <v>-0.01</v>
      </c>
      <c r="BO171" s="318" t="n">
        <v>0</v>
      </c>
      <c r="BP171" s="318" t="n">
        <v>0.005</v>
      </c>
      <c r="BQ171" s="318" t="n">
        <v>0</v>
      </c>
      <c r="BR171" s="318" t="n">
        <v>0.01</v>
      </c>
      <c r="BS171" s="0" t="n">
        <v>0.005</v>
      </c>
      <c r="BT171" s="0" t="n">
        <v>0</v>
      </c>
      <c r="BU171" s="0" t="n">
        <v>0</v>
      </c>
      <c r="BV171" s="0" t="n">
        <v>0.03</v>
      </c>
    </row>
    <row r="172" customFormat="false" ht="12.75" hidden="false" customHeight="false" outlineLevel="0" collapsed="false">
      <c r="A172" s="320" t="e">
        <f aca="false">#REF!-B172</f>
        <v>#REF!</v>
      </c>
      <c r="B172" s="320" t="n">
        <v>3.728</v>
      </c>
      <c r="C172" s="327" t="n">
        <f aca="false">EOMONTH(C171,0)+1</f>
        <v>42339</v>
      </c>
      <c r="D172" s="0" t="n">
        <f aca="false">D160+0.05</f>
        <v>3.994</v>
      </c>
      <c r="E172" s="320" t="n">
        <v>0.17</v>
      </c>
      <c r="F172" s="318" t="n">
        <v>0.0612298096127954</v>
      </c>
      <c r="G172" s="318" t="n">
        <v>-0.13</v>
      </c>
      <c r="H172" s="318" t="n">
        <v>-0.15</v>
      </c>
      <c r="I172" s="330" t="n">
        <v>-0.01</v>
      </c>
      <c r="J172" s="330" t="n">
        <v>-0.13</v>
      </c>
      <c r="K172" s="318" t="n">
        <v>0</v>
      </c>
      <c r="L172" s="318" t="n">
        <v>0</v>
      </c>
      <c r="M172" s="318" t="n">
        <v>-0.0675</v>
      </c>
      <c r="N172" s="318" t="n">
        <v>-0.12</v>
      </c>
      <c r="O172" s="318" t="n">
        <v>-0.12</v>
      </c>
      <c r="P172" s="318" t="n">
        <v>-0.13</v>
      </c>
      <c r="Q172" s="318" t="n">
        <v>0</v>
      </c>
      <c r="R172" s="318" t="n">
        <v>0</v>
      </c>
      <c r="S172" s="318" t="n">
        <v>0</v>
      </c>
      <c r="T172" s="318" t="n">
        <v>0.02</v>
      </c>
      <c r="U172" s="318" t="n">
        <v>0</v>
      </c>
      <c r="V172" s="318" t="n">
        <v>0.5</v>
      </c>
      <c r="W172" s="318" t="n">
        <v>0.195</v>
      </c>
      <c r="X172" s="318" t="n">
        <v>0.21</v>
      </c>
      <c r="Y172" s="318" t="n">
        <v>-0.004999999</v>
      </c>
      <c r="Z172" s="318" t="n">
        <v>-0.0245</v>
      </c>
      <c r="AA172" s="318" t="n">
        <v>0.0135</v>
      </c>
      <c r="AB172" s="318" t="n">
        <v>-0.001499999</v>
      </c>
      <c r="AC172" s="318" t="n">
        <v>0.0025</v>
      </c>
      <c r="AD172" s="318" t="n">
        <v>-0.0185</v>
      </c>
      <c r="AE172" s="318" t="n">
        <v>-0.075</v>
      </c>
      <c r="AF172" s="318" t="n">
        <v>-0.0495</v>
      </c>
      <c r="AG172" s="318" t="n">
        <v>-0.072</v>
      </c>
      <c r="AH172" s="318" t="n">
        <v>-0.006999999</v>
      </c>
      <c r="AI172" s="318" t="n">
        <v>-0.064</v>
      </c>
      <c r="AJ172" s="318" t="n">
        <v>0</v>
      </c>
      <c r="AK172" s="318" t="n">
        <v>-0.008999999</v>
      </c>
      <c r="AL172" s="318" t="n">
        <v>0.031</v>
      </c>
      <c r="AM172" s="318" t="n">
        <v>0.65</v>
      </c>
      <c r="AN172" s="318" t="n">
        <v>-0.0225</v>
      </c>
      <c r="AO172" s="318" t="n">
        <v>0</v>
      </c>
      <c r="AP172" s="318" t="n">
        <v>-0.07</v>
      </c>
      <c r="AQ172" s="318" t="n">
        <v>-0.13</v>
      </c>
      <c r="AR172" s="318" t="n">
        <v>0</v>
      </c>
      <c r="AS172" s="318" t="n">
        <v>-0.26</v>
      </c>
      <c r="AT172" s="318" t="n">
        <v>0</v>
      </c>
      <c r="AU172" s="318" t="n">
        <v>0.35</v>
      </c>
      <c r="AV172" s="318" t="n">
        <v>0</v>
      </c>
      <c r="AW172" s="318" t="n">
        <v>-0.133</v>
      </c>
      <c r="AX172" s="318" t="n">
        <v>-0.06</v>
      </c>
      <c r="AY172" s="318" t="n">
        <v>-0.073</v>
      </c>
      <c r="AZ172" s="318" t="n">
        <v>0</v>
      </c>
      <c r="BA172" s="318" t="n">
        <v>-0.063</v>
      </c>
      <c r="BB172" s="318" t="n">
        <v>-0.012</v>
      </c>
      <c r="BC172" s="318" t="n">
        <v>-0.0525</v>
      </c>
      <c r="BD172" s="318" t="n">
        <v>-0.0525</v>
      </c>
      <c r="BE172" s="318" t="n">
        <v>-0.075</v>
      </c>
      <c r="BF172" s="318" t="n">
        <v>0</v>
      </c>
      <c r="BG172" s="318" t="n">
        <v>0</v>
      </c>
      <c r="BH172" s="318" t="n">
        <v>0.02</v>
      </c>
      <c r="BI172" s="318" t="n">
        <v>0</v>
      </c>
      <c r="BJ172" s="318" t="n">
        <v>0.46</v>
      </c>
      <c r="BK172" s="318" t="n">
        <v>0.0025</v>
      </c>
      <c r="BL172" s="318" t="n">
        <v>-0.02</v>
      </c>
      <c r="BM172" s="318" t="n">
        <v>0.005</v>
      </c>
      <c r="BN172" s="318" t="n">
        <v>0</v>
      </c>
      <c r="BO172" s="318" t="n">
        <v>0</v>
      </c>
      <c r="BP172" s="318" t="n">
        <v>0.005</v>
      </c>
      <c r="BQ172" s="318" t="n">
        <v>0</v>
      </c>
      <c r="BR172" s="318" t="n">
        <v>0.055</v>
      </c>
      <c r="BS172" s="0" t="n">
        <v>0.02</v>
      </c>
      <c r="BT172" s="0" t="n">
        <v>0</v>
      </c>
      <c r="BU172" s="0" t="n">
        <v>0</v>
      </c>
      <c r="BV172" s="0" t="n">
        <v>0</v>
      </c>
    </row>
    <row r="173" customFormat="false" ht="12.75" hidden="false" customHeight="false" outlineLevel="0" collapsed="false">
      <c r="A173" s="320" t="e">
        <f aca="false">#REF!-B173</f>
        <v>#REF!</v>
      </c>
      <c r="B173" s="320" t="n">
        <v>3.719</v>
      </c>
      <c r="C173" s="327" t="n">
        <f aca="false">EOMONTH(C172,0)+1</f>
        <v>42370</v>
      </c>
      <c r="D173" s="0" t="n">
        <f aca="false">D161+0.05</f>
        <v>4.049</v>
      </c>
      <c r="E173" s="320" t="n">
        <v>0.17</v>
      </c>
      <c r="F173" s="318" t="n">
        <v>0.0612722240323422</v>
      </c>
      <c r="G173" s="318" t="n">
        <v>-0.1325</v>
      </c>
      <c r="H173" s="318" t="n">
        <v>-0.1525</v>
      </c>
      <c r="I173" s="330" t="n">
        <v>-0.005</v>
      </c>
      <c r="J173" s="330" t="n">
        <v>-0.13</v>
      </c>
      <c r="K173" s="318" t="n">
        <v>0.005</v>
      </c>
      <c r="L173" s="318" t="n">
        <v>0</v>
      </c>
      <c r="M173" s="318" t="n">
        <v>-0.0675</v>
      </c>
      <c r="N173" s="318" t="n">
        <v>-0.1225</v>
      </c>
      <c r="O173" s="318" t="n">
        <v>-0.1225</v>
      </c>
      <c r="P173" s="318" t="n">
        <v>-0.1325</v>
      </c>
      <c r="Q173" s="318" t="n">
        <v>0</v>
      </c>
      <c r="R173" s="318" t="n">
        <v>0</v>
      </c>
      <c r="S173" s="318" t="n">
        <v>0</v>
      </c>
      <c r="T173" s="318" t="n">
        <v>0.02</v>
      </c>
      <c r="U173" s="318" t="n">
        <v>0</v>
      </c>
      <c r="V173" s="318" t="n">
        <v>0.5</v>
      </c>
      <c r="W173" s="318" t="n">
        <v>0.215</v>
      </c>
      <c r="X173" s="318" t="n">
        <v>0.29</v>
      </c>
      <c r="Y173" s="318" t="n">
        <v>-0.004999999</v>
      </c>
      <c r="Z173" s="318" t="n">
        <v>-0.0245</v>
      </c>
      <c r="AA173" s="318" t="n">
        <v>0.0135</v>
      </c>
      <c r="AB173" s="318" t="n">
        <v>-0.001499999</v>
      </c>
      <c r="AC173" s="318" t="n">
        <v>0.0025</v>
      </c>
      <c r="AD173" s="318" t="n">
        <v>-0.0185</v>
      </c>
      <c r="AE173" s="318" t="n">
        <v>-0.075</v>
      </c>
      <c r="AF173" s="318" t="n">
        <v>-0.0475</v>
      </c>
      <c r="AG173" s="318" t="n">
        <v>-0.07</v>
      </c>
      <c r="AH173" s="318" t="n">
        <v>-0.004499999</v>
      </c>
      <c r="AI173" s="318" t="n">
        <v>-0.064</v>
      </c>
      <c r="AJ173" s="318" t="n">
        <v>0</v>
      </c>
      <c r="AK173" s="318" t="n">
        <v>-0.008999999</v>
      </c>
      <c r="AL173" s="318" t="n">
        <v>0.031</v>
      </c>
      <c r="AM173" s="318" t="n">
        <v>0.98</v>
      </c>
      <c r="AN173" s="318" t="n">
        <v>-0.045</v>
      </c>
      <c r="AO173" s="318" t="n">
        <v>0</v>
      </c>
      <c r="AP173" s="318" t="n">
        <v>-0.07</v>
      </c>
      <c r="AQ173" s="318" t="n">
        <v>-0.13</v>
      </c>
      <c r="AR173" s="318" t="n">
        <v>0</v>
      </c>
      <c r="AS173" s="318" t="n">
        <v>-0.26</v>
      </c>
      <c r="AT173" s="318" t="n">
        <v>0</v>
      </c>
      <c r="AU173" s="318" t="n">
        <v>0.35</v>
      </c>
      <c r="AV173" s="318" t="n">
        <v>0</v>
      </c>
      <c r="AW173" s="318" t="n">
        <v>-0.1605</v>
      </c>
      <c r="AX173" s="318" t="n">
        <v>-0.06</v>
      </c>
      <c r="AY173" s="318" t="n">
        <v>-0.1005</v>
      </c>
      <c r="AZ173" s="318" t="n">
        <v>0</v>
      </c>
      <c r="BA173" s="318" t="n">
        <v>-0.0905</v>
      </c>
      <c r="BB173" s="318" t="n">
        <v>-0.009499999</v>
      </c>
      <c r="BC173" s="318" t="n">
        <v>-0.0525</v>
      </c>
      <c r="BD173" s="318" t="n">
        <v>-0.075</v>
      </c>
      <c r="BE173" s="318" t="n">
        <v>-0.075</v>
      </c>
      <c r="BF173" s="318" t="n">
        <v>0</v>
      </c>
      <c r="BG173" s="318" t="n">
        <v>0</v>
      </c>
      <c r="BH173" s="318" t="n">
        <v>0.02</v>
      </c>
      <c r="BI173" s="318" t="n">
        <v>0</v>
      </c>
      <c r="BJ173" s="318" t="n">
        <v>0.77</v>
      </c>
      <c r="BK173" s="318" t="n">
        <v>0.0025</v>
      </c>
      <c r="BL173" s="318" t="n">
        <v>-0.025</v>
      </c>
      <c r="BM173" s="318" t="n">
        <v>0.005</v>
      </c>
      <c r="BN173" s="318" t="n">
        <v>0</v>
      </c>
      <c r="BO173" s="318" t="n">
        <v>0</v>
      </c>
      <c r="BP173" s="318" t="n">
        <v>0.005</v>
      </c>
      <c r="BQ173" s="318" t="n">
        <v>0</v>
      </c>
      <c r="BR173" s="318" t="n">
        <v>0.25</v>
      </c>
      <c r="BS173" s="0" t="n">
        <v>0.02</v>
      </c>
      <c r="BT173" s="0" t="n">
        <v>0</v>
      </c>
      <c r="BU173" s="0" t="n">
        <v>0</v>
      </c>
      <c r="BV173" s="0" t="n">
        <v>0</v>
      </c>
    </row>
    <row r="174" customFormat="false" ht="12.75" hidden="false" customHeight="false" outlineLevel="0" collapsed="false">
      <c r="A174" s="320" t="e">
        <f aca="false">#REF!-B174</f>
        <v>#REF!</v>
      </c>
      <c r="B174" s="320" t="n">
        <v>3.784</v>
      </c>
      <c r="C174" s="327" t="n">
        <f aca="false">EOMONTH(C173,0)+1</f>
        <v>42401</v>
      </c>
      <c r="D174" s="0" t="n">
        <f aca="false">D162+0.05</f>
        <v>3.901</v>
      </c>
      <c r="E174" s="320" t="n">
        <v>0.17</v>
      </c>
      <c r="F174" s="318" t="n">
        <v>0.0613160522665019</v>
      </c>
      <c r="G174" s="318" t="n">
        <v>-0.135</v>
      </c>
      <c r="H174" s="318" t="n">
        <v>-0.155</v>
      </c>
      <c r="I174" s="330" t="n">
        <v>0.015</v>
      </c>
      <c r="J174" s="330" t="n">
        <v>-0.13</v>
      </c>
      <c r="K174" s="318" t="n">
        <v>0.025</v>
      </c>
      <c r="L174" s="318" t="n">
        <v>0</v>
      </c>
      <c r="M174" s="318" t="n">
        <v>-0.0675</v>
      </c>
      <c r="N174" s="318" t="n">
        <v>-0.125</v>
      </c>
      <c r="O174" s="318" t="n">
        <v>-0.125</v>
      </c>
      <c r="P174" s="318" t="n">
        <v>-0.135</v>
      </c>
      <c r="Q174" s="318" t="n">
        <v>0</v>
      </c>
      <c r="R174" s="318" t="n">
        <v>0</v>
      </c>
      <c r="S174" s="318" t="n">
        <v>0</v>
      </c>
      <c r="T174" s="318" t="n">
        <v>0.02</v>
      </c>
      <c r="U174" s="318" t="n">
        <v>0</v>
      </c>
      <c r="V174" s="318" t="n">
        <v>0.5</v>
      </c>
      <c r="W174" s="318" t="n">
        <v>0.235</v>
      </c>
      <c r="X174" s="318" t="n">
        <v>0.34</v>
      </c>
      <c r="Y174" s="318" t="n">
        <v>-0.002999999</v>
      </c>
      <c r="Z174" s="318" t="n">
        <v>-0.0245</v>
      </c>
      <c r="AA174" s="318" t="n">
        <v>0.0135</v>
      </c>
      <c r="AB174" s="318" t="n">
        <v>-0.001499999</v>
      </c>
      <c r="AC174" s="318" t="n">
        <v>0.0025</v>
      </c>
      <c r="AD174" s="318" t="n">
        <v>-0.0165</v>
      </c>
      <c r="AE174" s="318" t="n">
        <v>-0.075</v>
      </c>
      <c r="AF174" s="318" t="n">
        <v>-0.0475</v>
      </c>
      <c r="AG174" s="318" t="n">
        <v>-0.07</v>
      </c>
      <c r="AH174" s="318" t="n">
        <v>-0.004499999</v>
      </c>
      <c r="AI174" s="318" t="n">
        <v>-0.064</v>
      </c>
      <c r="AJ174" s="318" t="n">
        <v>0</v>
      </c>
      <c r="AK174" s="318" t="n">
        <v>-0.008999999</v>
      </c>
      <c r="AL174" s="318" t="n">
        <v>0.031</v>
      </c>
      <c r="AM174" s="318" t="n">
        <v>1.6</v>
      </c>
      <c r="AN174" s="318" t="n">
        <v>-0.0475</v>
      </c>
      <c r="AO174" s="318" t="n">
        <v>0</v>
      </c>
      <c r="AP174" s="318" t="n">
        <v>-0.07</v>
      </c>
      <c r="AQ174" s="318" t="n">
        <v>-0.13</v>
      </c>
      <c r="AR174" s="318" t="n">
        <v>0</v>
      </c>
      <c r="AS174" s="318" t="n">
        <v>-0.26</v>
      </c>
      <c r="AT174" s="318" t="n">
        <v>0</v>
      </c>
      <c r="AU174" s="318" t="n">
        <v>0.35</v>
      </c>
      <c r="AV174" s="318" t="n">
        <v>0</v>
      </c>
      <c r="AW174" s="318" t="n">
        <v>-0.1755</v>
      </c>
      <c r="AX174" s="318" t="n">
        <v>-0.06</v>
      </c>
      <c r="AY174" s="318" t="n">
        <v>-0.1155</v>
      </c>
      <c r="AZ174" s="318" t="n">
        <v>0</v>
      </c>
      <c r="BA174" s="318" t="n">
        <v>-0.091</v>
      </c>
      <c r="BB174" s="318" t="n">
        <v>-0.009499999</v>
      </c>
      <c r="BC174" s="318" t="n">
        <v>-0.0525</v>
      </c>
      <c r="BD174" s="318" t="n">
        <v>-0.0775</v>
      </c>
      <c r="BE174" s="318" t="n">
        <v>-0.075</v>
      </c>
      <c r="BF174" s="318" t="n">
        <v>0</v>
      </c>
      <c r="BG174" s="318" t="n">
        <v>0</v>
      </c>
      <c r="BH174" s="318" t="n">
        <v>0.02</v>
      </c>
      <c r="BI174" s="318" t="n">
        <v>0</v>
      </c>
      <c r="BJ174" s="318" t="n">
        <v>1.04</v>
      </c>
      <c r="BK174" s="318" t="n">
        <v>0.0025</v>
      </c>
      <c r="BL174" s="318" t="n">
        <v>-0.025</v>
      </c>
      <c r="BM174" s="318" t="n">
        <v>0.005</v>
      </c>
      <c r="BN174" s="318" t="n">
        <v>0</v>
      </c>
      <c r="BO174" s="318" t="n">
        <v>0</v>
      </c>
      <c r="BP174" s="318" t="n">
        <v>0.005</v>
      </c>
      <c r="BQ174" s="318" t="n">
        <v>0</v>
      </c>
      <c r="BR174" s="318" t="n">
        <v>0.45</v>
      </c>
      <c r="BS174" s="0" t="n">
        <v>0.02</v>
      </c>
      <c r="BT174" s="0" t="n">
        <v>0</v>
      </c>
      <c r="BU174" s="0" t="n">
        <v>0</v>
      </c>
      <c r="BV174" s="0" t="n">
        <v>0</v>
      </c>
    </row>
    <row r="175" customFormat="false" ht="12.75" hidden="false" customHeight="false" outlineLevel="0" collapsed="false">
      <c r="A175" s="320" t="e">
        <f aca="false">#REF!-B175</f>
        <v>#REF!</v>
      </c>
      <c r="B175" s="320" t="n">
        <v>3.779</v>
      </c>
      <c r="C175" s="327" t="n">
        <f aca="false">EOMONTH(C174,0)+1</f>
        <v>42430</v>
      </c>
      <c r="D175" s="0" t="n">
        <f aca="false">D163+0.05</f>
        <v>3.85</v>
      </c>
      <c r="E175" s="320" t="n">
        <v>0.17</v>
      </c>
      <c r="F175" s="318" t="n">
        <v>0.0613598805012994</v>
      </c>
      <c r="G175" s="318" t="n">
        <v>-0.1275</v>
      </c>
      <c r="H175" s="318" t="n">
        <v>-0.1475</v>
      </c>
      <c r="I175" s="330" t="n">
        <v>0.01</v>
      </c>
      <c r="J175" s="330" t="n">
        <v>-0.13</v>
      </c>
      <c r="K175" s="318" t="n">
        <v>0.02</v>
      </c>
      <c r="L175" s="318" t="n">
        <v>0</v>
      </c>
      <c r="M175" s="318" t="n">
        <v>-0.0675</v>
      </c>
      <c r="N175" s="318" t="n">
        <v>-0.1175</v>
      </c>
      <c r="O175" s="318" t="n">
        <v>-0.1175</v>
      </c>
      <c r="P175" s="318" t="n">
        <v>-0.1275</v>
      </c>
      <c r="Q175" s="318" t="n">
        <v>0</v>
      </c>
      <c r="R175" s="318" t="n">
        <v>0</v>
      </c>
      <c r="S175" s="318" t="n">
        <v>0</v>
      </c>
      <c r="T175" s="318" t="n">
        <v>0.02</v>
      </c>
      <c r="U175" s="318" t="n">
        <v>0</v>
      </c>
      <c r="V175" s="318" t="n">
        <v>0.5</v>
      </c>
      <c r="W175" s="318" t="n">
        <v>0.235</v>
      </c>
      <c r="X175" s="318" t="n">
        <v>0.34</v>
      </c>
      <c r="Y175" s="318" t="n">
        <v>-0.002999999</v>
      </c>
      <c r="Z175" s="318" t="n">
        <v>-0.0245</v>
      </c>
      <c r="AA175" s="318" t="n">
        <v>0.0135</v>
      </c>
      <c r="AB175" s="318" t="n">
        <v>-0.001499999</v>
      </c>
      <c r="AC175" s="318" t="n">
        <v>0.0025</v>
      </c>
      <c r="AD175" s="318" t="n">
        <v>-0.0165</v>
      </c>
      <c r="AE175" s="318" t="n">
        <v>-0.075</v>
      </c>
      <c r="AF175" s="318" t="n">
        <v>-0.0475</v>
      </c>
      <c r="AG175" s="318" t="n">
        <v>-0.07</v>
      </c>
      <c r="AH175" s="318" t="n">
        <v>-0.004499999</v>
      </c>
      <c r="AI175" s="318" t="n">
        <v>-0.064</v>
      </c>
      <c r="AJ175" s="318" t="n">
        <v>0</v>
      </c>
      <c r="AK175" s="318" t="n">
        <v>-0.008999999</v>
      </c>
      <c r="AL175" s="318" t="n">
        <v>0.031</v>
      </c>
      <c r="AM175" s="318" t="n">
        <v>1.6</v>
      </c>
      <c r="AN175" s="318" t="n">
        <v>-0.03</v>
      </c>
      <c r="AO175" s="318" t="n">
        <v>0</v>
      </c>
      <c r="AP175" s="318" t="n">
        <v>-0.07</v>
      </c>
      <c r="AQ175" s="318" t="n">
        <v>-0.13</v>
      </c>
      <c r="AR175" s="318" t="n">
        <v>0</v>
      </c>
      <c r="AS175" s="318" t="n">
        <v>-0.26</v>
      </c>
      <c r="AT175" s="318" t="n">
        <v>0</v>
      </c>
      <c r="AU175" s="318" t="n">
        <v>0.35</v>
      </c>
      <c r="AV175" s="318" t="n">
        <v>0</v>
      </c>
      <c r="AW175" s="318" t="n">
        <v>-0.1655</v>
      </c>
      <c r="AX175" s="318" t="n">
        <v>-0.06</v>
      </c>
      <c r="AY175" s="318" t="n">
        <v>-0.1055</v>
      </c>
      <c r="AZ175" s="318" t="n">
        <v>0</v>
      </c>
      <c r="BA175" s="318" t="n">
        <v>-0.091</v>
      </c>
      <c r="BB175" s="318" t="n">
        <v>-0.009499999</v>
      </c>
      <c r="BC175" s="318" t="n">
        <v>-0.0525</v>
      </c>
      <c r="BD175" s="318" t="n">
        <v>-0.06</v>
      </c>
      <c r="BE175" s="318" t="n">
        <v>-0.075</v>
      </c>
      <c r="BF175" s="318" t="n">
        <v>0</v>
      </c>
      <c r="BG175" s="318" t="n">
        <v>0</v>
      </c>
      <c r="BH175" s="318" t="n">
        <v>0.02</v>
      </c>
      <c r="BI175" s="318" t="n">
        <v>0</v>
      </c>
      <c r="BJ175" s="318" t="n">
        <v>1.04</v>
      </c>
      <c r="BK175" s="318" t="n">
        <v>0.0025</v>
      </c>
      <c r="BL175" s="318" t="n">
        <v>-0.025</v>
      </c>
      <c r="BM175" s="318" t="n">
        <v>0.005</v>
      </c>
      <c r="BN175" s="318" t="n">
        <v>0</v>
      </c>
      <c r="BO175" s="318" t="n">
        <v>0</v>
      </c>
      <c r="BP175" s="318" t="n">
        <v>0.005</v>
      </c>
      <c r="BQ175" s="318" t="n">
        <v>0</v>
      </c>
      <c r="BR175" s="318" t="n">
        <v>0.45</v>
      </c>
      <c r="BS175" s="0" t="n">
        <v>0.02</v>
      </c>
      <c r="BT175" s="0" t="n">
        <v>0</v>
      </c>
      <c r="BU175" s="0" t="n">
        <v>0</v>
      </c>
      <c r="BV175" s="0" t="n">
        <v>0</v>
      </c>
    </row>
    <row r="176" customFormat="false" ht="12.75" hidden="false" customHeight="false" outlineLevel="0" collapsed="false">
      <c r="A176" s="320"/>
      <c r="B176" s="320" t="n">
        <v>3.758</v>
      </c>
      <c r="C176" s="327" t="n">
        <f aca="false">EOMONTH(C175,0)+1</f>
        <v>42461</v>
      </c>
      <c r="D176" s="0" t="n">
        <f aca="false">D164+0.05</f>
        <v>3.631</v>
      </c>
      <c r="E176" s="320" t="n">
        <v>0.17</v>
      </c>
      <c r="F176" s="318" t="n">
        <v>0.0614008811086224</v>
      </c>
      <c r="G176" s="318" t="n">
        <v>-0.125</v>
      </c>
      <c r="H176" s="318" t="n">
        <v>-0.145</v>
      </c>
      <c r="I176" s="330" t="n">
        <v>-0.01</v>
      </c>
      <c r="J176" s="330" t="n">
        <v>-0.13</v>
      </c>
      <c r="K176" s="318" t="n">
        <v>0</v>
      </c>
      <c r="L176" s="318" t="n">
        <v>0</v>
      </c>
      <c r="M176" s="318" t="n">
        <v>-0.0675</v>
      </c>
      <c r="N176" s="318" t="n">
        <v>-0.115</v>
      </c>
      <c r="O176" s="318" t="n">
        <v>-0.115</v>
      </c>
      <c r="P176" s="318" t="n">
        <v>-0.125</v>
      </c>
      <c r="Q176" s="318" t="n">
        <v>0</v>
      </c>
      <c r="R176" s="318" t="n">
        <v>0</v>
      </c>
      <c r="S176" s="318" t="n">
        <v>0</v>
      </c>
      <c r="T176" s="318" t="n">
        <v>0.02</v>
      </c>
      <c r="U176" s="318" t="n">
        <v>0</v>
      </c>
      <c r="V176" s="318" t="n">
        <v>0.5</v>
      </c>
      <c r="W176" s="318" t="n">
        <v>0.195</v>
      </c>
      <c r="X176" s="318" t="n">
        <v>0.29</v>
      </c>
      <c r="Y176" s="318" t="n">
        <v>-0.002999999</v>
      </c>
      <c r="Z176" s="318" t="n">
        <v>-0.0245</v>
      </c>
      <c r="AA176" s="318" t="n">
        <v>0.021</v>
      </c>
      <c r="AB176" s="318" t="n">
        <v>0.006</v>
      </c>
      <c r="AC176" s="318" t="n">
        <v>0.0025</v>
      </c>
      <c r="AD176" s="318" t="n">
        <v>0</v>
      </c>
      <c r="AE176" s="318" t="n">
        <v>-0.075</v>
      </c>
      <c r="AF176" s="318" t="n">
        <v>-0.0475</v>
      </c>
      <c r="AG176" s="318" t="n">
        <v>-0.07</v>
      </c>
      <c r="AH176" s="318" t="n">
        <v>-0.004499999</v>
      </c>
      <c r="AI176" s="318" t="n">
        <v>-0.064</v>
      </c>
      <c r="AJ176" s="318" t="n">
        <v>0</v>
      </c>
      <c r="AK176" s="318" t="n">
        <v>-0.008999999</v>
      </c>
      <c r="AL176" s="318" t="n">
        <v>0.031</v>
      </c>
      <c r="AM176" s="318" t="n">
        <v>0.64</v>
      </c>
      <c r="AN176" s="318" t="n">
        <v>-0.0175</v>
      </c>
      <c r="AO176" s="318" t="n">
        <v>0</v>
      </c>
      <c r="AP176" s="318" t="n">
        <v>-0.07</v>
      </c>
      <c r="AQ176" s="318" t="n">
        <v>-0.13</v>
      </c>
      <c r="AR176" s="318" t="n">
        <v>0</v>
      </c>
      <c r="AS176" s="318" t="n">
        <v>-0.26</v>
      </c>
      <c r="AT176" s="318" t="n">
        <v>0</v>
      </c>
      <c r="AU176" s="318" t="n">
        <v>0.35</v>
      </c>
      <c r="AV176" s="318" t="n">
        <v>0</v>
      </c>
      <c r="AW176" s="318" t="n">
        <v>-0.1555</v>
      </c>
      <c r="AX176" s="318" t="n">
        <v>-0.06</v>
      </c>
      <c r="AY176" s="318" t="n">
        <v>-0.0955</v>
      </c>
      <c r="AZ176" s="318" t="n">
        <v>0</v>
      </c>
      <c r="BA176" s="318" t="n">
        <v>-0.091</v>
      </c>
      <c r="BB176" s="318" t="n">
        <v>-0.009499999</v>
      </c>
      <c r="BC176" s="318" t="n">
        <v>-0.0525</v>
      </c>
      <c r="BD176" s="318" t="n">
        <v>-0.0475</v>
      </c>
      <c r="BE176" s="318" t="n">
        <v>-0.075</v>
      </c>
      <c r="BF176" s="318" t="n">
        <v>0</v>
      </c>
      <c r="BG176" s="318" t="n">
        <v>0</v>
      </c>
      <c r="BH176" s="318" t="n">
        <v>0.02</v>
      </c>
      <c r="BI176" s="318" t="n">
        <v>0</v>
      </c>
      <c r="BJ176" s="318" t="n">
        <v>0.54</v>
      </c>
      <c r="BK176" s="318" t="n">
        <v>0</v>
      </c>
      <c r="BL176" s="318" t="n">
        <v>-0.02</v>
      </c>
      <c r="BM176" s="318" t="n">
        <v>0.005</v>
      </c>
      <c r="BN176" s="318" t="n">
        <v>0</v>
      </c>
      <c r="BO176" s="318" t="n">
        <v>0</v>
      </c>
      <c r="BP176" s="318" t="n">
        <v>0.005</v>
      </c>
      <c r="BQ176" s="318" t="n">
        <v>0</v>
      </c>
      <c r="BR176" s="318" t="n">
        <v>0.1</v>
      </c>
      <c r="BS176" s="0" t="n">
        <v>0.02</v>
      </c>
      <c r="BT176" s="0" t="n">
        <v>0</v>
      </c>
      <c r="BU176" s="0" t="n">
        <v>0</v>
      </c>
      <c r="BV176" s="0" t="n">
        <v>0</v>
      </c>
    </row>
    <row r="177" customFormat="false" ht="12.75" hidden="false" customHeight="false" outlineLevel="0" collapsed="false">
      <c r="A177" s="320"/>
      <c r="B177" s="320" t="n">
        <v>3.765</v>
      </c>
      <c r="C177" s="327" t="n">
        <f aca="false">EOMONTH(C176,0)+1</f>
        <v>42491</v>
      </c>
      <c r="D177" s="0" t="n">
        <f aca="false">D165+0.05</f>
        <v>3.634</v>
      </c>
      <c r="E177" s="320" t="n">
        <v>0.17</v>
      </c>
      <c r="F177" s="318" t="n">
        <v>0.061444709344654</v>
      </c>
      <c r="G177" s="318" t="n">
        <v>-0.13</v>
      </c>
      <c r="H177" s="318" t="n">
        <v>-0.15</v>
      </c>
      <c r="I177" s="330" t="n">
        <v>-0.09</v>
      </c>
      <c r="J177" s="330" t="n">
        <v>-0.13</v>
      </c>
      <c r="K177" s="318" t="n">
        <v>-0.09</v>
      </c>
      <c r="L177" s="318" t="n">
        <v>0</v>
      </c>
      <c r="M177" s="318" t="n">
        <v>-0.0505</v>
      </c>
      <c r="N177" s="318" t="n">
        <v>-0.12</v>
      </c>
      <c r="O177" s="318" t="n">
        <v>-0.12</v>
      </c>
      <c r="P177" s="318" t="n">
        <v>-0.13</v>
      </c>
      <c r="Q177" s="318" t="n">
        <v>0</v>
      </c>
      <c r="R177" s="318" t="n">
        <v>0</v>
      </c>
      <c r="S177" s="318" t="n">
        <v>0</v>
      </c>
      <c r="T177" s="318" t="n">
        <v>0.02</v>
      </c>
      <c r="U177" s="318" t="n">
        <v>0</v>
      </c>
      <c r="V177" s="318" t="n">
        <v>0.5</v>
      </c>
      <c r="W177" s="318" t="n">
        <v>0.145</v>
      </c>
      <c r="X177" s="318" t="n">
        <v>0.195</v>
      </c>
      <c r="Y177" s="318" t="n">
        <v>-0.005499999</v>
      </c>
      <c r="Z177" s="318" t="n">
        <v>-0.0395</v>
      </c>
      <c r="AA177" s="318" t="n">
        <v>0.021</v>
      </c>
      <c r="AB177" s="318" t="n">
        <v>0.006</v>
      </c>
      <c r="AC177" s="318" t="n">
        <v>0.0025</v>
      </c>
      <c r="AD177" s="318" t="n">
        <v>0</v>
      </c>
      <c r="AE177" s="318" t="n">
        <v>-0.0725</v>
      </c>
      <c r="AF177" s="318" t="n">
        <v>-0.045</v>
      </c>
      <c r="AG177" s="318" t="n">
        <v>-0.0675</v>
      </c>
      <c r="AH177" s="318" t="n">
        <v>-0.009499999</v>
      </c>
      <c r="AI177" s="318" t="n">
        <v>-0.072</v>
      </c>
      <c r="AJ177" s="318" t="n">
        <v>0</v>
      </c>
      <c r="AK177" s="318" t="n">
        <v>-0.017</v>
      </c>
      <c r="AL177" s="318" t="n">
        <v>0.023</v>
      </c>
      <c r="AM177" s="318" t="n">
        <v>0.38</v>
      </c>
      <c r="AN177" s="318" t="n">
        <v>0.02</v>
      </c>
      <c r="AO177" s="318" t="n">
        <v>0</v>
      </c>
      <c r="AP177" s="318" t="n">
        <v>-0.07</v>
      </c>
      <c r="AQ177" s="318" t="n">
        <v>-0.195</v>
      </c>
      <c r="AR177" s="318" t="n">
        <v>0</v>
      </c>
      <c r="AS177" s="318" t="n">
        <v>-0.37</v>
      </c>
      <c r="AT177" s="318" t="n">
        <v>0</v>
      </c>
      <c r="AU177" s="318" t="n">
        <v>0.43</v>
      </c>
      <c r="AV177" s="318" t="n">
        <v>0</v>
      </c>
      <c r="AW177" s="318" t="n">
        <v>-0.196</v>
      </c>
      <c r="AX177" s="318" t="n">
        <v>-0.06</v>
      </c>
      <c r="AY177" s="318" t="n">
        <v>-0.136</v>
      </c>
      <c r="AZ177" s="318" t="n">
        <v>0</v>
      </c>
      <c r="BA177" s="318" t="n">
        <v>-0.1135</v>
      </c>
      <c r="BB177" s="318" t="n">
        <v>-0.009499999</v>
      </c>
      <c r="BC177" s="318" t="n">
        <v>-0.0355</v>
      </c>
      <c r="BD177" s="318" t="n">
        <v>-0.01</v>
      </c>
      <c r="BE177" s="318" t="n">
        <v>-0.0725</v>
      </c>
      <c r="BF177" s="318" t="n">
        <v>0</v>
      </c>
      <c r="BG177" s="318" t="n">
        <v>0</v>
      </c>
      <c r="BH177" s="318" t="n">
        <v>0.02</v>
      </c>
      <c r="BI177" s="318" t="n">
        <v>0</v>
      </c>
      <c r="BJ177" s="318" t="n">
        <v>0.36</v>
      </c>
      <c r="BK177" s="318" t="n">
        <v>0</v>
      </c>
      <c r="BL177" s="318" t="n">
        <v>-0.015</v>
      </c>
      <c r="BM177" s="318" t="n">
        <v>0.005</v>
      </c>
      <c r="BN177" s="318" t="n">
        <v>-0.01</v>
      </c>
      <c r="BO177" s="318" t="n">
        <v>0</v>
      </c>
      <c r="BP177" s="318" t="n">
        <v>0.005</v>
      </c>
      <c r="BQ177" s="318" t="n">
        <v>0</v>
      </c>
      <c r="BR177" s="318" t="n">
        <v>0.02</v>
      </c>
      <c r="BS177" s="0" t="n">
        <v>0.005</v>
      </c>
      <c r="BT177" s="0" t="n">
        <v>0</v>
      </c>
      <c r="BU177" s="0" t="n">
        <v>0</v>
      </c>
      <c r="BV177" s="0" t="n">
        <v>0</v>
      </c>
    </row>
    <row r="178" customFormat="false" ht="12.75" hidden="false" customHeight="false" outlineLevel="0" collapsed="false">
      <c r="A178" s="320"/>
      <c r="B178" s="320" t="n">
        <v>3.822</v>
      </c>
      <c r="C178" s="327" t="n">
        <f aca="false">EOMONTH(C177,0)+1</f>
        <v>42522</v>
      </c>
      <c r="D178" s="0" t="n">
        <f aca="false">D166+0.05</f>
        <v>3.674</v>
      </c>
      <c r="E178" s="320" t="n">
        <v>0.17</v>
      </c>
      <c r="F178" s="318" t="n">
        <v>0.0614871237672272</v>
      </c>
      <c r="G178" s="318" t="n">
        <v>0</v>
      </c>
      <c r="H178" s="318" t="n">
        <v>0</v>
      </c>
      <c r="I178" s="330" t="n">
        <v>0</v>
      </c>
      <c r="J178" s="330" t="n">
        <v>0</v>
      </c>
      <c r="K178" s="318" t="n">
        <v>0</v>
      </c>
      <c r="L178" s="318" t="n">
        <v>0</v>
      </c>
      <c r="M178" s="318" t="n">
        <v>0</v>
      </c>
      <c r="N178" s="318" t="n">
        <v>0</v>
      </c>
      <c r="O178" s="318" t="n">
        <v>0</v>
      </c>
      <c r="P178" s="318" t="n">
        <v>0</v>
      </c>
      <c r="Q178" s="318" t="n">
        <v>0</v>
      </c>
      <c r="R178" s="318" t="n">
        <v>0</v>
      </c>
      <c r="S178" s="318" t="n">
        <v>0</v>
      </c>
      <c r="T178" s="318" t="n">
        <v>0.02</v>
      </c>
      <c r="U178" s="318" t="n">
        <v>0</v>
      </c>
      <c r="V178" s="318" t="n">
        <v>0.5</v>
      </c>
      <c r="W178" s="318" t="n">
        <v>0.125</v>
      </c>
      <c r="X178" s="318" t="n">
        <v>0.135</v>
      </c>
      <c r="Y178" s="318" t="n">
        <v>-0.005499999</v>
      </c>
      <c r="Z178" s="318" t="n">
        <v>-0.0395</v>
      </c>
      <c r="AA178" s="318" t="n">
        <v>0.0235</v>
      </c>
      <c r="AB178" s="318" t="n">
        <v>0.0085</v>
      </c>
      <c r="AC178" s="318" t="n">
        <v>0.0025</v>
      </c>
      <c r="AD178" s="318" t="n">
        <v>0</v>
      </c>
      <c r="AE178" s="318" t="n">
        <v>-0.0725</v>
      </c>
      <c r="AF178" s="318" t="n">
        <v>-0.045</v>
      </c>
      <c r="AG178" s="318" t="n">
        <v>-0.0675</v>
      </c>
      <c r="AH178" s="318" t="n">
        <v>-0.009499999</v>
      </c>
      <c r="AI178" s="318" t="n">
        <v>-0.072</v>
      </c>
      <c r="AJ178" s="318" t="n">
        <v>0</v>
      </c>
      <c r="AK178" s="318" t="n">
        <v>-0.017</v>
      </c>
      <c r="AL178" s="318" t="n">
        <v>0.023</v>
      </c>
      <c r="AM178" s="318" t="n">
        <v>0.33</v>
      </c>
      <c r="AN178" s="318" t="n">
        <v>0.02</v>
      </c>
      <c r="AO178" s="318" t="n">
        <v>0</v>
      </c>
      <c r="AP178" s="318" t="n">
        <v>-0.07</v>
      </c>
      <c r="AQ178" s="318" t="n">
        <v>-0.195</v>
      </c>
      <c r="AR178" s="318" t="n">
        <v>0</v>
      </c>
      <c r="AS178" s="318" t="n">
        <v>-0.37</v>
      </c>
      <c r="AT178" s="318" t="n">
        <v>0</v>
      </c>
      <c r="AU178" s="318" t="n">
        <v>0.43</v>
      </c>
      <c r="AV178" s="318" t="n">
        <v>0</v>
      </c>
      <c r="AW178" s="318" t="n">
        <v>-0.1735</v>
      </c>
      <c r="AX178" s="318" t="n">
        <v>-0.06</v>
      </c>
      <c r="AY178" s="318" t="n">
        <v>-0.1135</v>
      </c>
      <c r="AZ178" s="318" t="n">
        <v>0</v>
      </c>
      <c r="BA178" s="318" t="n">
        <v>-0.106</v>
      </c>
      <c r="BB178" s="318" t="n">
        <v>-0.009499999</v>
      </c>
      <c r="BC178" s="318" t="n">
        <v>0</v>
      </c>
      <c r="BD178" s="318" t="n">
        <v>-0.01</v>
      </c>
      <c r="BE178" s="318" t="n">
        <v>-0.0725</v>
      </c>
      <c r="BF178" s="318" t="n">
        <v>0</v>
      </c>
      <c r="BG178" s="318" t="n">
        <v>0</v>
      </c>
      <c r="BH178" s="318" t="n">
        <v>0.02</v>
      </c>
      <c r="BI178" s="318" t="n">
        <v>0</v>
      </c>
      <c r="BJ178" s="318" t="n">
        <v>0.325</v>
      </c>
      <c r="BK178" s="318" t="n">
        <v>0</v>
      </c>
      <c r="BL178" s="318" t="n">
        <v>-0.015</v>
      </c>
      <c r="BM178" s="318" t="n">
        <v>0.005</v>
      </c>
      <c r="BN178" s="318" t="n">
        <v>0</v>
      </c>
      <c r="BO178" s="318" t="n">
        <v>0</v>
      </c>
      <c r="BP178" s="318" t="n">
        <v>0.005</v>
      </c>
      <c r="BQ178" s="318" t="n">
        <v>0</v>
      </c>
      <c r="BR178" s="318" t="n">
        <v>0.02</v>
      </c>
      <c r="BS178" s="0" t="n">
        <v>0.005</v>
      </c>
      <c r="BT178" s="0" t="n">
        <v>0</v>
      </c>
      <c r="BU178" s="0" t="n">
        <v>0</v>
      </c>
      <c r="BV178" s="0" t="n">
        <v>0</v>
      </c>
    </row>
    <row r="179" customFormat="false" ht="12.75" hidden="false" customHeight="false" outlineLevel="0" collapsed="false">
      <c r="A179" s="320"/>
      <c r="B179" s="320" t="n">
        <v>3.898</v>
      </c>
      <c r="C179" s="327" t="n">
        <f aca="false">EOMONTH(C178,0)+1</f>
        <v>42552</v>
      </c>
      <c r="D179" s="0" t="n">
        <f aca="false">D167+0.05</f>
        <v>3.714</v>
      </c>
      <c r="E179" s="320" t="n">
        <v>0.17</v>
      </c>
      <c r="F179" s="318" t="n">
        <v>0.0615309520045142</v>
      </c>
      <c r="G179" s="318" t="n">
        <v>0</v>
      </c>
      <c r="H179" s="318" t="n">
        <v>0</v>
      </c>
      <c r="I179" s="330" t="n">
        <v>0</v>
      </c>
      <c r="J179" s="330" t="n">
        <v>0</v>
      </c>
      <c r="K179" s="318" t="n">
        <v>0</v>
      </c>
      <c r="L179" s="318" t="n">
        <v>0</v>
      </c>
      <c r="M179" s="318" t="n">
        <v>0</v>
      </c>
      <c r="N179" s="318" t="n">
        <v>0</v>
      </c>
      <c r="O179" s="318" t="n">
        <v>0</v>
      </c>
      <c r="P179" s="318" t="n">
        <v>0</v>
      </c>
      <c r="Q179" s="318" t="n">
        <v>0</v>
      </c>
      <c r="R179" s="318" t="n">
        <v>0</v>
      </c>
      <c r="S179" s="318" t="n">
        <v>0</v>
      </c>
      <c r="T179" s="318" t="n">
        <v>0</v>
      </c>
      <c r="U179" s="318" t="n">
        <v>0</v>
      </c>
      <c r="V179" s="318" t="n">
        <v>0.5</v>
      </c>
      <c r="W179" s="318" t="n">
        <v>0.145</v>
      </c>
      <c r="X179" s="318" t="n">
        <v>0.165</v>
      </c>
      <c r="Y179" s="318" t="n">
        <v>-0.005499999</v>
      </c>
      <c r="Z179" s="318" t="n">
        <v>-0.037</v>
      </c>
      <c r="AA179" s="318" t="n">
        <v>0.0235</v>
      </c>
      <c r="AB179" s="318" t="n">
        <v>0.0085</v>
      </c>
      <c r="AC179" s="318" t="n">
        <v>0.0025</v>
      </c>
      <c r="AD179" s="318" t="n">
        <v>0</v>
      </c>
      <c r="AE179" s="318" t="n">
        <v>-0.0725</v>
      </c>
      <c r="AF179" s="318" t="n">
        <v>-0.045</v>
      </c>
      <c r="AG179" s="318" t="n">
        <v>-0.0675</v>
      </c>
      <c r="AH179" s="318" t="n">
        <v>-0.009499999</v>
      </c>
      <c r="AI179" s="318" t="n">
        <v>-0.072</v>
      </c>
      <c r="AJ179" s="318" t="n">
        <v>0</v>
      </c>
      <c r="AK179" s="318" t="n">
        <v>-0.017</v>
      </c>
      <c r="AL179" s="318" t="n">
        <v>0.023</v>
      </c>
      <c r="AM179" s="318" t="n">
        <v>0.37</v>
      </c>
      <c r="AN179" s="318" t="n">
        <v>0.025</v>
      </c>
      <c r="AO179" s="318" t="n">
        <v>0</v>
      </c>
      <c r="AP179" s="318" t="n">
        <v>-0.07</v>
      </c>
      <c r="AQ179" s="318" t="n">
        <v>-0.195</v>
      </c>
      <c r="AR179" s="318" t="n">
        <v>0</v>
      </c>
      <c r="AS179" s="318" t="n">
        <v>-0.37</v>
      </c>
      <c r="AT179" s="318" t="n">
        <v>0</v>
      </c>
      <c r="AU179" s="318" t="n">
        <v>0.43</v>
      </c>
      <c r="AV179" s="318" t="n">
        <v>0</v>
      </c>
      <c r="AW179" s="318" t="n">
        <v>-0.121</v>
      </c>
      <c r="AX179" s="318" t="n">
        <v>-0.06</v>
      </c>
      <c r="AY179" s="318" t="n">
        <v>-0.061</v>
      </c>
      <c r="AZ179" s="318" t="n">
        <v>0</v>
      </c>
      <c r="BA179" s="318" t="n">
        <v>-0.0635</v>
      </c>
      <c r="BB179" s="318" t="n">
        <v>-0.009499999</v>
      </c>
      <c r="BC179" s="318" t="n">
        <v>0</v>
      </c>
      <c r="BD179" s="318" t="n">
        <v>-0.005</v>
      </c>
      <c r="BE179" s="318" t="n">
        <v>-0.0725</v>
      </c>
      <c r="BF179" s="318" t="n">
        <v>0</v>
      </c>
      <c r="BG179" s="318" t="n">
        <v>0</v>
      </c>
      <c r="BH179" s="318" t="n">
        <v>0</v>
      </c>
      <c r="BI179" s="318" t="n">
        <v>0</v>
      </c>
      <c r="BJ179" s="318" t="n">
        <v>0.335</v>
      </c>
      <c r="BK179" s="318" t="n">
        <v>0</v>
      </c>
      <c r="BL179" s="318" t="n">
        <v>-0.015</v>
      </c>
      <c r="BM179" s="318" t="n">
        <v>0.005</v>
      </c>
      <c r="BN179" s="318" t="n">
        <v>0</v>
      </c>
      <c r="BO179" s="318" t="n">
        <v>0</v>
      </c>
      <c r="BP179" s="318" t="n">
        <v>0.005</v>
      </c>
      <c r="BQ179" s="318" t="n">
        <v>0</v>
      </c>
      <c r="BR179" s="318" t="n">
        <v>0.035</v>
      </c>
      <c r="BS179" s="0" t="n">
        <v>0.005</v>
      </c>
      <c r="BT179" s="0" t="n">
        <v>0</v>
      </c>
      <c r="BU179" s="0" t="n">
        <v>0</v>
      </c>
      <c r="BV179" s="0" t="n">
        <v>0</v>
      </c>
    </row>
    <row r="180" customFormat="false" ht="12.75" hidden="false" customHeight="false" outlineLevel="0" collapsed="false">
      <c r="A180" s="320"/>
      <c r="B180" s="320" t="n">
        <v>4.172</v>
      </c>
      <c r="C180" s="327" t="n">
        <f aca="false">EOMONTH(C179,0)+1</f>
        <v>42583</v>
      </c>
      <c r="D180" s="0" t="n">
        <f aca="false">D168+0.05</f>
        <v>3.764</v>
      </c>
      <c r="E180" s="320" t="n">
        <v>0.17</v>
      </c>
      <c r="F180" s="318" t="n">
        <v>0.061573366428302</v>
      </c>
      <c r="G180" s="318" t="n">
        <v>0</v>
      </c>
      <c r="H180" s="318" t="n">
        <v>0</v>
      </c>
      <c r="I180" s="330" t="n">
        <v>0</v>
      </c>
      <c r="J180" s="330" t="n">
        <v>0</v>
      </c>
      <c r="K180" s="318" t="n">
        <v>0</v>
      </c>
      <c r="L180" s="318" t="n">
        <v>0</v>
      </c>
      <c r="M180" s="318" t="n">
        <v>0</v>
      </c>
      <c r="N180" s="318" t="n">
        <v>0</v>
      </c>
      <c r="O180" s="318" t="n">
        <v>0</v>
      </c>
      <c r="P180" s="318" t="n">
        <v>0</v>
      </c>
      <c r="Q180" s="318" t="n">
        <v>0</v>
      </c>
      <c r="R180" s="318" t="n">
        <v>0</v>
      </c>
      <c r="S180" s="318" t="n">
        <v>0</v>
      </c>
      <c r="T180" s="318" t="n">
        <v>0</v>
      </c>
      <c r="U180" s="318" t="n">
        <v>0</v>
      </c>
      <c r="V180" s="318" t="n">
        <v>0.5</v>
      </c>
      <c r="W180" s="318" t="n">
        <v>0.15</v>
      </c>
      <c r="X180" s="318" t="n">
        <v>0.205</v>
      </c>
      <c r="Y180" s="318" t="n">
        <v>-0.005499999</v>
      </c>
      <c r="Z180" s="318" t="n">
        <v>-0.037</v>
      </c>
      <c r="AA180" s="318" t="n">
        <v>0.0235</v>
      </c>
      <c r="AB180" s="318" t="n">
        <v>0.0085</v>
      </c>
      <c r="AC180" s="318" t="n">
        <v>0.0025</v>
      </c>
      <c r="AD180" s="318" t="n">
        <v>0</v>
      </c>
      <c r="AE180" s="318" t="n">
        <v>-0.0725</v>
      </c>
      <c r="AF180" s="318" t="n">
        <v>-0.045</v>
      </c>
      <c r="AG180" s="318" t="n">
        <v>-0.0675</v>
      </c>
      <c r="AH180" s="318" t="n">
        <v>-0.009499999</v>
      </c>
      <c r="AI180" s="318" t="n">
        <v>-0.072</v>
      </c>
      <c r="AJ180" s="318" t="n">
        <v>0</v>
      </c>
      <c r="AK180" s="318" t="n">
        <v>-0.017</v>
      </c>
      <c r="AL180" s="318" t="n">
        <v>0.023</v>
      </c>
      <c r="AM180" s="318" t="n">
        <v>0.41</v>
      </c>
      <c r="AN180" s="318" t="n">
        <v>0.0275</v>
      </c>
      <c r="AO180" s="318" t="n">
        <v>0</v>
      </c>
      <c r="AP180" s="318" t="n">
        <v>-0.07</v>
      </c>
      <c r="AQ180" s="318" t="n">
        <v>-0.195</v>
      </c>
      <c r="AR180" s="318" t="n">
        <v>0</v>
      </c>
      <c r="AS180" s="318" t="n">
        <v>-0.37</v>
      </c>
      <c r="AT180" s="318" t="n">
        <v>0</v>
      </c>
      <c r="AU180" s="318" t="n">
        <v>0.43</v>
      </c>
      <c r="AV180" s="318" t="n">
        <v>0</v>
      </c>
      <c r="AW180" s="318" t="n">
        <v>-0.131</v>
      </c>
      <c r="AX180" s="318" t="n">
        <v>-0.06</v>
      </c>
      <c r="AY180" s="318" t="n">
        <v>-0.071</v>
      </c>
      <c r="AZ180" s="318" t="n">
        <v>0</v>
      </c>
      <c r="BA180" s="318" t="n">
        <v>-0.061</v>
      </c>
      <c r="BB180" s="318" t="n">
        <v>-0.009499999</v>
      </c>
      <c r="BC180" s="318" t="n">
        <v>0</v>
      </c>
      <c r="BD180" s="318" t="n">
        <v>-0.0025</v>
      </c>
      <c r="BE180" s="318" t="n">
        <v>-0.0725</v>
      </c>
      <c r="BF180" s="318" t="n">
        <v>0</v>
      </c>
      <c r="BG180" s="318" t="n">
        <v>0</v>
      </c>
      <c r="BH180" s="318" t="n">
        <v>0</v>
      </c>
      <c r="BI180" s="318" t="n">
        <v>0</v>
      </c>
      <c r="BJ180" s="318" t="n">
        <v>0.35</v>
      </c>
      <c r="BK180" s="318" t="n">
        <v>0</v>
      </c>
      <c r="BL180" s="318" t="n">
        <v>-0.01</v>
      </c>
      <c r="BM180" s="318" t="n">
        <v>0.005</v>
      </c>
      <c r="BN180" s="318" t="n">
        <v>0</v>
      </c>
      <c r="BO180" s="318" t="n">
        <v>0</v>
      </c>
      <c r="BP180" s="318" t="n">
        <v>0.005</v>
      </c>
      <c r="BQ180" s="318" t="n">
        <v>0</v>
      </c>
      <c r="BR180" s="318" t="n">
        <v>0.035</v>
      </c>
      <c r="BS180" s="0" t="n">
        <v>0</v>
      </c>
      <c r="BT180" s="0" t="n">
        <v>0</v>
      </c>
      <c r="BU180" s="0" t="n">
        <v>0</v>
      </c>
      <c r="BV180" s="0" t="n">
        <v>0</v>
      </c>
    </row>
    <row r="181" customFormat="false" ht="12.75" hidden="false" customHeight="false" outlineLevel="0" collapsed="false">
      <c r="A181" s="320"/>
      <c r="B181" s="320" t="n">
        <v>4.093</v>
      </c>
      <c r="C181" s="327" t="n">
        <f aca="false">EOMONTH(C180,0)+1</f>
        <v>42614</v>
      </c>
      <c r="D181" s="0" t="n">
        <f aca="false">D169+0.05</f>
        <v>3.749</v>
      </c>
      <c r="E181" s="320" t="n">
        <v>0.17</v>
      </c>
      <c r="F181" s="318" t="n">
        <v>0.061617194666844</v>
      </c>
      <c r="G181" s="318" t="n">
        <v>0</v>
      </c>
      <c r="H181" s="318" t="n">
        <v>0</v>
      </c>
      <c r="I181" s="330" t="n">
        <v>0</v>
      </c>
      <c r="J181" s="330" t="n">
        <v>0</v>
      </c>
      <c r="K181" s="318" t="n">
        <v>0</v>
      </c>
      <c r="L181" s="318" t="n">
        <v>0</v>
      </c>
      <c r="M181" s="318" t="n">
        <v>0</v>
      </c>
      <c r="N181" s="318" t="n">
        <v>0</v>
      </c>
      <c r="O181" s="318" t="n">
        <v>0</v>
      </c>
      <c r="P181" s="318" t="n">
        <v>0</v>
      </c>
      <c r="Q181" s="318" t="n">
        <v>0</v>
      </c>
      <c r="R181" s="318" t="n">
        <v>0</v>
      </c>
      <c r="S181" s="318" t="n">
        <v>0</v>
      </c>
      <c r="T181" s="318" t="n">
        <v>0</v>
      </c>
      <c r="U181" s="318" t="n">
        <v>0</v>
      </c>
      <c r="V181" s="318" t="n">
        <v>0.5</v>
      </c>
      <c r="W181" s="318" t="n">
        <v>0.15</v>
      </c>
      <c r="X181" s="318" t="n">
        <v>0.205</v>
      </c>
      <c r="Y181" s="318" t="n">
        <v>-0.005499999</v>
      </c>
      <c r="Z181" s="318" t="n">
        <v>-0.037</v>
      </c>
      <c r="AA181" s="318" t="n">
        <v>0.0185</v>
      </c>
      <c r="AB181" s="318" t="n">
        <v>0.0035</v>
      </c>
      <c r="AC181" s="318" t="n">
        <v>0.0025</v>
      </c>
      <c r="AD181" s="318" t="n">
        <v>0</v>
      </c>
      <c r="AE181" s="318" t="n">
        <v>-0.0725</v>
      </c>
      <c r="AF181" s="318" t="n">
        <v>-0.045</v>
      </c>
      <c r="AG181" s="318" t="n">
        <v>-0.0675</v>
      </c>
      <c r="AH181" s="318" t="n">
        <v>-0.009499999</v>
      </c>
      <c r="AI181" s="318" t="n">
        <v>-0.072</v>
      </c>
      <c r="AJ181" s="318" t="n">
        <v>0</v>
      </c>
      <c r="AK181" s="318" t="n">
        <v>-0.017</v>
      </c>
      <c r="AL181" s="318" t="n">
        <v>0.023</v>
      </c>
      <c r="AM181" s="318" t="n">
        <v>0.41</v>
      </c>
      <c r="AN181" s="318" t="n">
        <v>0.03</v>
      </c>
      <c r="AO181" s="318" t="n">
        <v>0</v>
      </c>
      <c r="AP181" s="318" t="n">
        <v>-0.07</v>
      </c>
      <c r="AQ181" s="318" t="n">
        <v>-0.195</v>
      </c>
      <c r="AR181" s="318" t="n">
        <v>0</v>
      </c>
      <c r="AS181" s="318" t="n">
        <v>-0.37</v>
      </c>
      <c r="AT181" s="318" t="n">
        <v>0</v>
      </c>
      <c r="AU181" s="318" t="n">
        <v>0.43</v>
      </c>
      <c r="AV181" s="318" t="n">
        <v>0</v>
      </c>
      <c r="AW181" s="318" t="n">
        <v>-0.126</v>
      </c>
      <c r="AX181" s="318" t="n">
        <v>-0.06</v>
      </c>
      <c r="AY181" s="318" t="n">
        <v>-0.066</v>
      </c>
      <c r="AZ181" s="318" t="n">
        <v>0</v>
      </c>
      <c r="BA181" s="318" t="n">
        <v>-0.0585</v>
      </c>
      <c r="BB181" s="318" t="n">
        <v>-0.009499999</v>
      </c>
      <c r="BC181" s="318" t="n">
        <v>0</v>
      </c>
      <c r="BD181" s="318" t="n">
        <v>0</v>
      </c>
      <c r="BE181" s="318" t="n">
        <v>-0.0725</v>
      </c>
      <c r="BF181" s="318" t="n">
        <v>0</v>
      </c>
      <c r="BG181" s="318" t="n">
        <v>0</v>
      </c>
      <c r="BH181" s="318" t="n">
        <v>0</v>
      </c>
      <c r="BI181" s="318" t="n">
        <v>0</v>
      </c>
      <c r="BJ181" s="318" t="n">
        <v>0.35</v>
      </c>
      <c r="BK181" s="318" t="n">
        <v>0</v>
      </c>
      <c r="BL181" s="318" t="n">
        <v>-0.01</v>
      </c>
      <c r="BM181" s="318" t="n">
        <v>0.005</v>
      </c>
      <c r="BN181" s="318" t="n">
        <v>0</v>
      </c>
      <c r="BO181" s="318" t="n">
        <v>0</v>
      </c>
      <c r="BP181" s="318" t="n">
        <v>0.005</v>
      </c>
      <c r="BQ181" s="318" t="n">
        <v>0</v>
      </c>
      <c r="BR181" s="318" t="n">
        <v>0.01</v>
      </c>
      <c r="BS181" s="0" t="n">
        <v>0</v>
      </c>
      <c r="BT181" s="0" t="n">
        <v>0</v>
      </c>
      <c r="BU181" s="0" t="n">
        <v>0</v>
      </c>
      <c r="BV181" s="0" t="n">
        <v>0</v>
      </c>
    </row>
    <row r="182" customFormat="false" ht="12.75" hidden="false" customHeight="false" outlineLevel="0" collapsed="false">
      <c r="A182" s="320"/>
      <c r="B182" s="320" t="n">
        <v>3.971</v>
      </c>
      <c r="C182" s="327" t="n">
        <f aca="false">EOMONTH(C181,0)+1</f>
        <v>42644</v>
      </c>
      <c r="D182" s="0" t="n">
        <f aca="false">D170+0.05</f>
        <v>3.764</v>
      </c>
      <c r="E182" s="320" t="n">
        <v>0.17</v>
      </c>
      <c r="F182" s="318" t="n">
        <v>0.0616610229060237</v>
      </c>
      <c r="G182" s="318" t="n">
        <v>0</v>
      </c>
      <c r="H182" s="318" t="n">
        <v>0</v>
      </c>
      <c r="I182" s="330" t="n">
        <v>0</v>
      </c>
      <c r="J182" s="330" t="n">
        <v>0</v>
      </c>
      <c r="K182" s="318" t="n">
        <v>0</v>
      </c>
      <c r="L182" s="318" t="n">
        <v>0</v>
      </c>
      <c r="M182" s="318" t="n">
        <v>0</v>
      </c>
      <c r="N182" s="318" t="n">
        <v>0</v>
      </c>
      <c r="O182" s="318" t="n">
        <v>0</v>
      </c>
      <c r="P182" s="318" t="n">
        <v>0</v>
      </c>
      <c r="Q182" s="318" t="n">
        <v>0</v>
      </c>
      <c r="R182" s="318" t="n">
        <v>0</v>
      </c>
      <c r="S182" s="318" t="n">
        <v>0</v>
      </c>
      <c r="T182" s="318" t="n">
        <v>0</v>
      </c>
      <c r="U182" s="318" t="n">
        <v>0</v>
      </c>
      <c r="V182" s="318" t="n">
        <v>0.5</v>
      </c>
      <c r="W182" s="318" t="n">
        <v>0.125</v>
      </c>
      <c r="X182" s="318" t="n">
        <v>0.145</v>
      </c>
      <c r="Y182" s="318" t="n">
        <v>-0.005499999</v>
      </c>
      <c r="Z182" s="318" t="n">
        <v>-0.042</v>
      </c>
      <c r="AA182" s="318" t="n">
        <v>0.0185</v>
      </c>
      <c r="AB182" s="318" t="n">
        <v>0.0035</v>
      </c>
      <c r="AC182" s="318" t="n">
        <v>0.0025</v>
      </c>
      <c r="AD182" s="318" t="n">
        <v>0</v>
      </c>
      <c r="AE182" s="318" t="n">
        <v>-0.0725</v>
      </c>
      <c r="AF182" s="318" t="n">
        <v>-0.045</v>
      </c>
      <c r="AG182" s="318" t="n">
        <v>-0.0675</v>
      </c>
      <c r="AH182" s="318" t="n">
        <v>-0.009499999</v>
      </c>
      <c r="AI182" s="318" t="n">
        <v>-0.072</v>
      </c>
      <c r="AJ182" s="318" t="n">
        <v>0</v>
      </c>
      <c r="AK182" s="318" t="n">
        <v>-0.017</v>
      </c>
      <c r="AL182" s="318" t="n">
        <v>0.023</v>
      </c>
      <c r="AM182" s="318" t="n">
        <v>0.36</v>
      </c>
      <c r="AN182" s="318" t="n">
        <v>0.0225</v>
      </c>
      <c r="AO182" s="318" t="n">
        <v>0</v>
      </c>
      <c r="AP182" s="318" t="n">
        <v>-0.07</v>
      </c>
      <c r="AQ182" s="318" t="n">
        <v>-0.195</v>
      </c>
      <c r="AR182" s="318" t="n">
        <v>0</v>
      </c>
      <c r="AS182" s="318" t="n">
        <v>-0.37</v>
      </c>
      <c r="AT182" s="318" t="n">
        <v>0</v>
      </c>
      <c r="AU182" s="318" t="n">
        <v>0.43</v>
      </c>
      <c r="AV182" s="318" t="n">
        <v>0</v>
      </c>
      <c r="AW182" s="318" t="n">
        <v>-0.136</v>
      </c>
      <c r="AX182" s="318" t="n">
        <v>-0.06</v>
      </c>
      <c r="AY182" s="318" t="n">
        <v>-0.076</v>
      </c>
      <c r="AZ182" s="318" t="n">
        <v>0</v>
      </c>
      <c r="BA182" s="318" t="n">
        <v>-0.0635</v>
      </c>
      <c r="BB182" s="318" t="n">
        <v>-0.009499999</v>
      </c>
      <c r="BC182" s="318" t="n">
        <v>0</v>
      </c>
      <c r="BD182" s="318" t="n">
        <v>-0.0075</v>
      </c>
      <c r="BE182" s="318" t="n">
        <v>-0.0725</v>
      </c>
      <c r="BF182" s="318" t="n">
        <v>0</v>
      </c>
      <c r="BG182" s="318" t="n">
        <v>0</v>
      </c>
      <c r="BH182" s="318" t="n">
        <v>0</v>
      </c>
      <c r="BI182" s="318" t="n">
        <v>0</v>
      </c>
      <c r="BJ182" s="318" t="n">
        <v>0.315</v>
      </c>
      <c r="BK182" s="318" t="n">
        <v>0</v>
      </c>
      <c r="BL182" s="318" t="n">
        <v>-0.01</v>
      </c>
      <c r="BM182" s="318" t="n">
        <v>0.005</v>
      </c>
      <c r="BN182" s="318" t="n">
        <v>0</v>
      </c>
      <c r="BO182" s="318" t="n">
        <v>0</v>
      </c>
      <c r="BP182" s="318" t="n">
        <v>0.005</v>
      </c>
      <c r="BQ182" s="318" t="n">
        <v>0</v>
      </c>
      <c r="BR182" s="318" t="n">
        <v>0.01</v>
      </c>
      <c r="BS182" s="0" t="n">
        <v>0</v>
      </c>
      <c r="BT182" s="0" t="n">
        <v>0</v>
      </c>
      <c r="BU182" s="0" t="n">
        <v>0</v>
      </c>
      <c r="BV182" s="0" t="n">
        <v>0</v>
      </c>
    </row>
    <row r="183" customFormat="false" ht="12.75" hidden="false" customHeight="false" outlineLevel="0" collapsed="false">
      <c r="A183" s="320"/>
      <c r="B183" s="320" t="n">
        <v>3.852</v>
      </c>
      <c r="C183" s="327" t="n">
        <f aca="false">EOMONTH(C182,0)+1</f>
        <v>42675</v>
      </c>
      <c r="D183" s="0" t="n">
        <f aca="false">D171+0.05</f>
        <v>3.909</v>
      </c>
      <c r="E183" s="320" t="n">
        <v>0.17</v>
      </c>
      <c r="F183" s="318" t="n">
        <v>0.061703437331643</v>
      </c>
      <c r="G183" s="318" t="n">
        <v>0</v>
      </c>
      <c r="H183" s="318" t="n">
        <v>0</v>
      </c>
      <c r="I183" s="330" t="n">
        <v>0</v>
      </c>
      <c r="J183" s="330" t="n">
        <v>0</v>
      </c>
      <c r="K183" s="318" t="n">
        <v>0</v>
      </c>
      <c r="L183" s="318" t="n">
        <v>0</v>
      </c>
      <c r="M183" s="318" t="n">
        <v>0</v>
      </c>
      <c r="N183" s="318" t="n">
        <v>0</v>
      </c>
      <c r="O183" s="318" t="n">
        <v>0</v>
      </c>
      <c r="P183" s="318" t="n">
        <v>0</v>
      </c>
      <c r="Q183" s="318" t="n">
        <v>0</v>
      </c>
      <c r="R183" s="318" t="n">
        <v>0</v>
      </c>
      <c r="S183" s="318" t="n">
        <v>0</v>
      </c>
      <c r="T183" s="318" t="n">
        <v>0</v>
      </c>
      <c r="U183" s="318" t="n">
        <v>0</v>
      </c>
      <c r="V183" s="318" t="n">
        <v>0.5</v>
      </c>
      <c r="W183" s="318" t="n">
        <v>0.145</v>
      </c>
      <c r="X183" s="318" t="n">
        <v>0.175</v>
      </c>
      <c r="Y183" s="318" t="n">
        <v>-0.005499999</v>
      </c>
      <c r="Z183" s="318" t="n">
        <v>-0.042</v>
      </c>
      <c r="AA183" s="318" t="n">
        <v>0.0135</v>
      </c>
      <c r="AB183" s="318" t="n">
        <v>-0.001499999</v>
      </c>
      <c r="AC183" s="318" t="n">
        <v>0.0025</v>
      </c>
      <c r="AD183" s="318" t="n">
        <v>0</v>
      </c>
      <c r="AE183" s="318" t="n">
        <v>-0.0725</v>
      </c>
      <c r="AF183" s="318" t="n">
        <v>-0.045</v>
      </c>
      <c r="AG183" s="318" t="n">
        <v>-0.0675</v>
      </c>
      <c r="AH183" s="318" t="n">
        <v>-0.009499999</v>
      </c>
      <c r="AI183" s="318" t="n">
        <v>-0.072</v>
      </c>
      <c r="AJ183" s="318" t="n">
        <v>0</v>
      </c>
      <c r="AK183" s="318" t="n">
        <v>-0.017</v>
      </c>
      <c r="AL183" s="318" t="n">
        <v>0.023</v>
      </c>
      <c r="AM183" s="318" t="n">
        <v>0.4</v>
      </c>
      <c r="AN183" s="318" t="n">
        <v>0.0125</v>
      </c>
      <c r="AO183" s="318" t="n">
        <v>0</v>
      </c>
      <c r="AP183" s="318" t="n">
        <v>-0.07</v>
      </c>
      <c r="AQ183" s="318" t="n">
        <v>-0.195</v>
      </c>
      <c r="AR183" s="318" t="n">
        <v>0</v>
      </c>
      <c r="AS183" s="318" t="n">
        <v>-0.37</v>
      </c>
      <c r="AT183" s="318" t="n">
        <v>0</v>
      </c>
      <c r="AU183" s="318" t="n">
        <v>0.43</v>
      </c>
      <c r="AV183" s="318" t="n">
        <v>0</v>
      </c>
      <c r="AW183" s="318" t="n">
        <v>-0.1235</v>
      </c>
      <c r="AX183" s="318" t="n">
        <v>-0.06</v>
      </c>
      <c r="AY183" s="318" t="n">
        <v>-0.0635</v>
      </c>
      <c r="AZ183" s="318" t="n">
        <v>0</v>
      </c>
      <c r="BA183" s="318" t="n">
        <v>-0.066</v>
      </c>
      <c r="BB183" s="318" t="n">
        <v>-0.009499999</v>
      </c>
      <c r="BC183" s="318" t="n">
        <v>0</v>
      </c>
      <c r="BD183" s="318" t="n">
        <v>-0.0175</v>
      </c>
      <c r="BE183" s="318" t="n">
        <v>-0.0725</v>
      </c>
      <c r="BF183" s="318" t="n">
        <v>0</v>
      </c>
      <c r="BG183" s="318" t="n">
        <v>0</v>
      </c>
      <c r="BH183" s="318" t="n">
        <v>0</v>
      </c>
      <c r="BI183" s="318" t="n">
        <v>0</v>
      </c>
      <c r="BJ183" s="318" t="n">
        <v>0.36</v>
      </c>
      <c r="BK183" s="318" t="n">
        <v>0</v>
      </c>
      <c r="BL183" s="318" t="n">
        <v>-0.015</v>
      </c>
      <c r="BM183" s="318" t="n">
        <v>0.005</v>
      </c>
      <c r="BN183" s="318" t="n">
        <v>0</v>
      </c>
      <c r="BO183" s="318" t="n">
        <v>0</v>
      </c>
      <c r="BP183" s="318" t="n">
        <v>0.005</v>
      </c>
      <c r="BQ183" s="318" t="n">
        <v>0</v>
      </c>
      <c r="BR183" s="318" t="n">
        <v>0.01</v>
      </c>
      <c r="BS183" s="0" t="n">
        <v>0</v>
      </c>
      <c r="BT183" s="0" t="n">
        <v>0</v>
      </c>
      <c r="BU183" s="0" t="n">
        <v>0</v>
      </c>
      <c r="BV183" s="0" t="n">
        <v>0</v>
      </c>
    </row>
    <row r="184" customFormat="false" ht="12.75" hidden="false" customHeight="false" outlineLevel="0" collapsed="false">
      <c r="A184" s="320"/>
      <c r="B184" s="320" t="n">
        <v>3.836</v>
      </c>
      <c r="C184" s="327" t="n">
        <f aca="false">EOMONTH(C183,0)+1</f>
        <v>42705</v>
      </c>
      <c r="D184" s="0" t="n">
        <f aca="false">D172+0.05</f>
        <v>4.044</v>
      </c>
      <c r="E184" s="320" t="n">
        <v>0.17</v>
      </c>
      <c r="F184" s="318" t="n">
        <v>0.0617472655720777</v>
      </c>
      <c r="G184" s="318" t="n">
        <v>0</v>
      </c>
      <c r="H184" s="318" t="n">
        <v>0</v>
      </c>
      <c r="I184" s="330" t="n">
        <v>0</v>
      </c>
      <c r="J184" s="330" t="n">
        <v>0</v>
      </c>
      <c r="K184" s="318" t="n">
        <v>0</v>
      </c>
      <c r="L184" s="318" t="n">
        <v>0</v>
      </c>
      <c r="M184" s="318" t="n">
        <v>0</v>
      </c>
      <c r="N184" s="318" t="n">
        <v>0</v>
      </c>
      <c r="O184" s="318" t="n">
        <v>0</v>
      </c>
      <c r="P184" s="318" t="n">
        <v>0</v>
      </c>
      <c r="Q184" s="318" t="n">
        <v>0</v>
      </c>
      <c r="R184" s="318" t="n">
        <v>0</v>
      </c>
      <c r="S184" s="318" t="n">
        <v>0</v>
      </c>
      <c r="T184" s="318" t="n">
        <v>0</v>
      </c>
      <c r="U184" s="318" t="n">
        <v>0</v>
      </c>
      <c r="V184" s="318" t="n">
        <v>0.5</v>
      </c>
      <c r="W184" s="318" t="n">
        <v>0.195</v>
      </c>
      <c r="X184" s="318" t="n">
        <v>0.21</v>
      </c>
      <c r="Y184" s="318" t="n">
        <v>-0.002999999</v>
      </c>
      <c r="Z184" s="318" t="n">
        <v>-0.023</v>
      </c>
      <c r="AA184" s="318" t="n">
        <v>0.0145</v>
      </c>
      <c r="AB184" s="318" t="n">
        <v>0.000499999999999994</v>
      </c>
      <c r="AC184" s="318" t="n">
        <v>0.0025</v>
      </c>
      <c r="AD184" s="318" t="n">
        <v>0</v>
      </c>
      <c r="AE184" s="318" t="n">
        <v>-0.075</v>
      </c>
      <c r="AF184" s="318" t="n">
        <v>-0.0475</v>
      </c>
      <c r="AG184" s="318" t="n">
        <v>-0.07</v>
      </c>
      <c r="AH184" s="318" t="n">
        <v>-0.005999999</v>
      </c>
      <c r="AI184" s="318" t="n">
        <v>-0.064</v>
      </c>
      <c r="AJ184" s="318" t="n">
        <v>0</v>
      </c>
      <c r="AK184" s="318" t="n">
        <v>-0.008999999</v>
      </c>
      <c r="AL184" s="318" t="n">
        <v>0.031</v>
      </c>
      <c r="AM184" s="318" t="n">
        <v>0.65</v>
      </c>
      <c r="AN184" s="318" t="n">
        <v>-0.0225</v>
      </c>
      <c r="AO184" s="318" t="n">
        <v>0</v>
      </c>
      <c r="AP184" s="318" t="n">
        <v>-0.07</v>
      </c>
      <c r="AQ184" s="318" t="n">
        <v>-0.13</v>
      </c>
      <c r="AR184" s="318" t="n">
        <v>0</v>
      </c>
      <c r="AS184" s="318" t="n">
        <v>-0.26</v>
      </c>
      <c r="AT184" s="318" t="n">
        <v>0</v>
      </c>
      <c r="AU184" s="318" t="n">
        <v>0.35</v>
      </c>
      <c r="AV184" s="318" t="n">
        <v>0</v>
      </c>
      <c r="AW184" s="318" t="n">
        <v>-0.131</v>
      </c>
      <c r="AX184" s="318" t="n">
        <v>-0.06</v>
      </c>
      <c r="AY184" s="318" t="n">
        <v>-0.071</v>
      </c>
      <c r="AZ184" s="318" t="n">
        <v>0</v>
      </c>
      <c r="BA184" s="318" t="n">
        <v>-0.061</v>
      </c>
      <c r="BB184" s="318" t="n">
        <v>-0.011</v>
      </c>
      <c r="BC184" s="318" t="n">
        <v>0</v>
      </c>
      <c r="BD184" s="318" t="n">
        <v>-0.0525</v>
      </c>
      <c r="BE184" s="318" t="n">
        <v>-0.075</v>
      </c>
      <c r="BF184" s="318" t="n">
        <v>0</v>
      </c>
      <c r="BG184" s="318" t="n">
        <v>0</v>
      </c>
      <c r="BH184" s="318" t="n">
        <v>0</v>
      </c>
      <c r="BI184" s="318" t="n">
        <v>0</v>
      </c>
      <c r="BJ184" s="318" t="n">
        <v>0.46</v>
      </c>
      <c r="BK184" s="318" t="n">
        <v>0</v>
      </c>
      <c r="BL184" s="318" t="n">
        <v>-0.02</v>
      </c>
      <c r="BM184" s="318" t="n">
        <v>0.005</v>
      </c>
      <c r="BN184" s="318" t="n">
        <v>0</v>
      </c>
      <c r="BO184" s="318" t="n">
        <v>0</v>
      </c>
      <c r="BP184" s="318" t="n">
        <v>0.005</v>
      </c>
      <c r="BQ184" s="318" t="n">
        <v>0</v>
      </c>
      <c r="BR184" s="318" t="n">
        <v>0.055</v>
      </c>
      <c r="BS184" s="0" t="n">
        <v>0</v>
      </c>
      <c r="BT184" s="0" t="n">
        <v>0</v>
      </c>
      <c r="BU184" s="0" t="n">
        <v>0</v>
      </c>
      <c r="BV184" s="0" t="n">
        <v>0</v>
      </c>
    </row>
    <row r="185" customFormat="false" ht="12.75" hidden="false" customHeight="false" outlineLevel="0" collapsed="false">
      <c r="A185" s="320"/>
      <c r="B185" s="320" t="n">
        <v>3.828</v>
      </c>
      <c r="C185" s="327" t="n">
        <f aca="false">EOMONTH(C184,0)+1</f>
        <v>42736</v>
      </c>
      <c r="D185" s="0" t="n">
        <f aca="false">D173+0.05</f>
        <v>4.099</v>
      </c>
      <c r="E185" s="320" t="n">
        <v>0.17</v>
      </c>
      <c r="F185" s="318" t="n">
        <v>0.0617896799989115</v>
      </c>
      <c r="G185" s="318" t="n">
        <v>0</v>
      </c>
      <c r="H185" s="318" t="n">
        <v>0</v>
      </c>
      <c r="I185" s="330" t="n">
        <v>0</v>
      </c>
      <c r="J185" s="330" t="n">
        <v>0</v>
      </c>
      <c r="K185" s="318" t="n">
        <v>0</v>
      </c>
      <c r="L185" s="318" t="n">
        <v>0</v>
      </c>
      <c r="M185" s="318" t="n">
        <v>0</v>
      </c>
      <c r="N185" s="318" t="n">
        <v>0</v>
      </c>
      <c r="O185" s="318" t="n">
        <v>0</v>
      </c>
      <c r="P185" s="318" t="n">
        <v>0</v>
      </c>
      <c r="Q185" s="318" t="n">
        <v>0</v>
      </c>
      <c r="R185" s="318" t="n">
        <v>0</v>
      </c>
      <c r="S185" s="318" t="n">
        <v>0</v>
      </c>
      <c r="T185" s="318" t="n">
        <v>0</v>
      </c>
      <c r="U185" s="318" t="n">
        <v>0</v>
      </c>
      <c r="V185" s="318" t="n">
        <v>0.5</v>
      </c>
      <c r="W185" s="318" t="n">
        <v>0.215</v>
      </c>
      <c r="X185" s="318" t="n">
        <v>0.29</v>
      </c>
      <c r="Y185" s="318" t="n">
        <v>-0.002999999</v>
      </c>
      <c r="Z185" s="318" t="n">
        <v>-0.023</v>
      </c>
      <c r="AA185" s="318" t="n">
        <v>0.0145</v>
      </c>
      <c r="AB185" s="318" t="n">
        <v>0.000499999999999994</v>
      </c>
      <c r="AC185" s="318" t="n">
        <v>0.0025</v>
      </c>
      <c r="AD185" s="318" t="n">
        <v>0</v>
      </c>
      <c r="AE185" s="318" t="n">
        <v>-0.075</v>
      </c>
      <c r="AF185" s="318" t="n">
        <v>-0.0455</v>
      </c>
      <c r="AG185" s="318" t="n">
        <v>-0.068</v>
      </c>
      <c r="AH185" s="318" t="n">
        <v>-0.003499999</v>
      </c>
      <c r="AI185" s="318" t="n">
        <v>-0.064</v>
      </c>
      <c r="AJ185" s="318" t="n">
        <v>0</v>
      </c>
      <c r="AK185" s="318" t="n">
        <v>-0.008999999</v>
      </c>
      <c r="AL185" s="318" t="n">
        <v>0.031</v>
      </c>
      <c r="AM185" s="318" t="n">
        <v>0.98</v>
      </c>
      <c r="AN185" s="318" t="n">
        <v>-0.045</v>
      </c>
      <c r="AO185" s="318" t="n">
        <v>0</v>
      </c>
      <c r="AP185" s="318" t="n">
        <v>-0.07</v>
      </c>
      <c r="AQ185" s="318" t="n">
        <v>-0.13</v>
      </c>
      <c r="AR185" s="318" t="n">
        <v>0</v>
      </c>
      <c r="AS185" s="318" t="n">
        <v>-0.26</v>
      </c>
      <c r="AT185" s="318" t="n">
        <v>0</v>
      </c>
      <c r="AU185" s="318" t="n">
        <v>0.35</v>
      </c>
      <c r="AV185" s="318" t="n">
        <v>0</v>
      </c>
      <c r="AW185" s="318" t="n">
        <v>-0.1585</v>
      </c>
      <c r="AX185" s="318" t="n">
        <v>-0.06</v>
      </c>
      <c r="AY185" s="318" t="n">
        <v>-0.0985</v>
      </c>
      <c r="AZ185" s="318" t="n">
        <v>0</v>
      </c>
      <c r="BA185" s="318" t="n">
        <v>-0.0885</v>
      </c>
      <c r="BB185" s="318" t="n">
        <v>-0.008499999</v>
      </c>
      <c r="BC185" s="318" t="n">
        <v>0</v>
      </c>
      <c r="BD185" s="318" t="n">
        <v>-0.075</v>
      </c>
      <c r="BE185" s="318" t="n">
        <v>-0.075</v>
      </c>
      <c r="BF185" s="318" t="n">
        <v>0</v>
      </c>
      <c r="BG185" s="318" t="n">
        <v>0</v>
      </c>
      <c r="BH185" s="318" t="n">
        <v>0</v>
      </c>
      <c r="BI185" s="318" t="n">
        <v>0</v>
      </c>
      <c r="BJ185" s="318" t="n">
        <v>0.77</v>
      </c>
      <c r="BK185" s="318" t="n">
        <v>0</v>
      </c>
      <c r="BL185" s="318" t="n">
        <v>-0.025</v>
      </c>
      <c r="BM185" s="318" t="n">
        <v>0.005</v>
      </c>
      <c r="BN185" s="318" t="n">
        <v>0</v>
      </c>
      <c r="BO185" s="318" t="n">
        <v>0</v>
      </c>
      <c r="BP185" s="318" t="n">
        <v>0.005</v>
      </c>
      <c r="BQ185" s="318" t="n">
        <v>0</v>
      </c>
      <c r="BR185" s="318" t="n">
        <v>0.25</v>
      </c>
      <c r="BS185" s="0" t="n">
        <v>0</v>
      </c>
      <c r="BT185" s="0" t="n">
        <v>0</v>
      </c>
      <c r="BU185" s="0" t="n">
        <v>0</v>
      </c>
      <c r="BV185" s="0" t="n">
        <v>0</v>
      </c>
    </row>
    <row r="186" customFormat="false" ht="12.75" hidden="false" customHeight="false" outlineLevel="0" collapsed="false">
      <c r="A186" s="320"/>
      <c r="B186" s="320" t="n">
        <v>3.893</v>
      </c>
      <c r="C186" s="327" t="n">
        <f aca="false">EOMONTH(C185,0)+1</f>
        <v>42767</v>
      </c>
      <c r="D186" s="0" t="n">
        <f aca="false">D174+0.05</f>
        <v>3.951</v>
      </c>
      <c r="E186" s="320" t="n">
        <v>0.17</v>
      </c>
      <c r="F186" s="318" t="n">
        <v>0.0618335082406007</v>
      </c>
      <c r="G186" s="318" t="n">
        <v>0</v>
      </c>
      <c r="H186" s="318" t="n">
        <v>0</v>
      </c>
      <c r="I186" s="330" t="n">
        <v>0</v>
      </c>
      <c r="J186" s="330" t="n">
        <v>0</v>
      </c>
      <c r="K186" s="318" t="n">
        <v>0</v>
      </c>
      <c r="L186" s="318" t="n">
        <v>0</v>
      </c>
      <c r="M186" s="318" t="n">
        <v>0</v>
      </c>
      <c r="N186" s="318" t="n">
        <v>0</v>
      </c>
      <c r="O186" s="318" t="n">
        <v>0</v>
      </c>
      <c r="P186" s="318" t="n">
        <v>0</v>
      </c>
      <c r="Q186" s="318" t="n">
        <v>0</v>
      </c>
      <c r="R186" s="318" t="n">
        <v>0</v>
      </c>
      <c r="S186" s="318" t="n">
        <v>0</v>
      </c>
      <c r="T186" s="318" t="n">
        <v>0</v>
      </c>
      <c r="U186" s="318" t="n">
        <v>0</v>
      </c>
      <c r="V186" s="318" t="n">
        <v>0.5</v>
      </c>
      <c r="W186" s="318" t="n">
        <v>0.235</v>
      </c>
      <c r="X186" s="318" t="n">
        <v>0.34</v>
      </c>
      <c r="Y186" s="318" t="n">
        <v>0.000999999999999994</v>
      </c>
      <c r="Z186" s="318" t="n">
        <v>-0.023</v>
      </c>
      <c r="AA186" s="318" t="n">
        <v>0.0145</v>
      </c>
      <c r="AB186" s="318" t="n">
        <v>0.000499999999999994</v>
      </c>
      <c r="AC186" s="318" t="n">
        <v>0.0025</v>
      </c>
      <c r="AD186" s="318" t="n">
        <v>0</v>
      </c>
      <c r="AE186" s="318" t="n">
        <v>-0.075</v>
      </c>
      <c r="AF186" s="318" t="n">
        <v>-0.0455</v>
      </c>
      <c r="AG186" s="318" t="n">
        <v>-0.068</v>
      </c>
      <c r="AH186" s="318" t="n">
        <v>-0.003499999</v>
      </c>
      <c r="AI186" s="318" t="n">
        <v>-0.064</v>
      </c>
      <c r="AJ186" s="318" t="n">
        <v>0</v>
      </c>
      <c r="AK186" s="318" t="n">
        <v>-0.008999999</v>
      </c>
      <c r="AL186" s="318" t="n">
        <v>0.031</v>
      </c>
      <c r="AM186" s="318" t="n">
        <v>1.6</v>
      </c>
      <c r="AN186" s="318" t="n">
        <v>-0.0475</v>
      </c>
      <c r="AO186" s="318" t="n">
        <v>0</v>
      </c>
      <c r="AP186" s="318" t="n">
        <v>-0.07</v>
      </c>
      <c r="AQ186" s="318" t="n">
        <v>-0.13</v>
      </c>
      <c r="AR186" s="318" t="n">
        <v>0</v>
      </c>
      <c r="AS186" s="318" t="n">
        <v>-0.26</v>
      </c>
      <c r="AT186" s="318" t="n">
        <v>0</v>
      </c>
      <c r="AU186" s="318" t="n">
        <v>0.35</v>
      </c>
      <c r="AV186" s="318" t="n">
        <v>0</v>
      </c>
      <c r="AW186" s="318" t="n">
        <v>-0.1735</v>
      </c>
      <c r="AX186" s="318" t="n">
        <v>-0.06</v>
      </c>
      <c r="AY186" s="318" t="n">
        <v>-0.1135</v>
      </c>
      <c r="AZ186" s="318" t="n">
        <v>0</v>
      </c>
      <c r="BA186" s="318" t="n">
        <v>-0.089</v>
      </c>
      <c r="BB186" s="318" t="n">
        <v>-0.008499999</v>
      </c>
      <c r="BC186" s="318" t="n">
        <v>0</v>
      </c>
      <c r="BD186" s="318" t="n">
        <v>-0.0775</v>
      </c>
      <c r="BE186" s="318" t="n">
        <v>-0.075</v>
      </c>
      <c r="BF186" s="318" t="n">
        <v>0</v>
      </c>
      <c r="BG186" s="318" t="n">
        <v>0</v>
      </c>
      <c r="BH186" s="318" t="n">
        <v>0</v>
      </c>
      <c r="BI186" s="318" t="n">
        <v>0</v>
      </c>
      <c r="BJ186" s="318" t="n">
        <v>1.04</v>
      </c>
      <c r="BK186" s="318" t="n">
        <v>0</v>
      </c>
      <c r="BL186" s="318" t="n">
        <v>-0.025</v>
      </c>
      <c r="BM186" s="318" t="n">
        <v>0.005</v>
      </c>
      <c r="BN186" s="318" t="n">
        <v>0</v>
      </c>
      <c r="BO186" s="318" t="n">
        <v>0</v>
      </c>
      <c r="BP186" s="318" t="n">
        <v>0.005</v>
      </c>
      <c r="BQ186" s="318" t="n">
        <v>0</v>
      </c>
      <c r="BR186" s="318" t="n">
        <v>0.45</v>
      </c>
      <c r="BS186" s="0" t="n">
        <v>0</v>
      </c>
      <c r="BT186" s="0" t="n">
        <v>0</v>
      </c>
      <c r="BU186" s="0" t="n">
        <v>0</v>
      </c>
      <c r="BV186" s="0" t="n">
        <v>0</v>
      </c>
    </row>
    <row r="187" customFormat="false" ht="12.75" hidden="false" customHeight="false" outlineLevel="0" collapsed="false">
      <c r="A187" s="320"/>
      <c r="B187" s="320" t="n">
        <v>3.888</v>
      </c>
      <c r="C187" s="327" t="n">
        <f aca="false">EOMONTH(C186,0)+1</f>
        <v>42795</v>
      </c>
      <c r="D187" s="0" t="n">
        <f aca="false">D175+0.05</f>
        <v>3.9</v>
      </c>
      <c r="E187" s="320" t="n">
        <v>0.17</v>
      </c>
      <c r="F187" s="318" t="n">
        <v>0.0618773364829273</v>
      </c>
      <c r="G187" s="318" t="n">
        <v>0</v>
      </c>
      <c r="H187" s="318" t="n">
        <v>0</v>
      </c>
      <c r="I187" s="330" t="n">
        <v>0</v>
      </c>
      <c r="J187" s="330" t="n">
        <v>0</v>
      </c>
      <c r="K187" s="318" t="n">
        <v>0</v>
      </c>
      <c r="L187" s="318" t="n">
        <v>0</v>
      </c>
      <c r="M187" s="318" t="n">
        <v>0</v>
      </c>
      <c r="N187" s="318" t="n">
        <v>0</v>
      </c>
      <c r="O187" s="318" t="n">
        <v>0</v>
      </c>
      <c r="P187" s="318" t="n">
        <v>0</v>
      </c>
      <c r="Q187" s="318" t="n">
        <v>0</v>
      </c>
      <c r="R187" s="318" t="n">
        <v>0</v>
      </c>
      <c r="S187" s="318" t="n">
        <v>0</v>
      </c>
      <c r="T187" s="318" t="n">
        <v>0</v>
      </c>
      <c r="U187" s="318" t="n">
        <v>0</v>
      </c>
      <c r="V187" s="318" t="n">
        <v>0.5</v>
      </c>
      <c r="W187" s="318" t="n">
        <v>0.235</v>
      </c>
      <c r="X187" s="318" t="n">
        <v>0.34</v>
      </c>
      <c r="Y187" s="318" t="n">
        <v>0.000999999999999994</v>
      </c>
      <c r="Z187" s="318" t="n">
        <v>-0.023</v>
      </c>
      <c r="AA187" s="318" t="n">
        <v>0.0145</v>
      </c>
      <c r="AB187" s="318" t="n">
        <v>0.000499999999999994</v>
      </c>
      <c r="AC187" s="318" t="n">
        <v>0.0025</v>
      </c>
      <c r="AD187" s="318" t="n">
        <v>0</v>
      </c>
      <c r="AE187" s="318" t="n">
        <v>-0.075</v>
      </c>
      <c r="AF187" s="318" t="n">
        <v>-0.0455</v>
      </c>
      <c r="AG187" s="318" t="n">
        <v>-0.068</v>
      </c>
      <c r="AH187" s="318" t="n">
        <v>-0.003499999</v>
      </c>
      <c r="AI187" s="318" t="n">
        <v>-0.064</v>
      </c>
      <c r="AJ187" s="318" t="n">
        <v>0</v>
      </c>
      <c r="AK187" s="318" t="n">
        <v>-0.008999999</v>
      </c>
      <c r="AL187" s="318" t="n">
        <v>0.031</v>
      </c>
      <c r="AM187" s="318" t="n">
        <v>1.6</v>
      </c>
      <c r="AN187" s="318" t="n">
        <v>-0.03</v>
      </c>
      <c r="AO187" s="318" t="n">
        <v>0</v>
      </c>
      <c r="AP187" s="318" t="n">
        <v>-0.07</v>
      </c>
      <c r="AQ187" s="318" t="n">
        <v>-0.13</v>
      </c>
      <c r="AR187" s="318" t="n">
        <v>0</v>
      </c>
      <c r="AS187" s="318" t="n">
        <v>-0.26</v>
      </c>
      <c r="AT187" s="318" t="n">
        <v>0</v>
      </c>
      <c r="AU187" s="318" t="n">
        <v>0.35</v>
      </c>
      <c r="AV187" s="318" t="n">
        <v>0</v>
      </c>
      <c r="AW187" s="318" t="n">
        <v>-0.1635</v>
      </c>
      <c r="AX187" s="318" t="n">
        <v>-0.06</v>
      </c>
      <c r="AY187" s="318" t="n">
        <v>-0.1035</v>
      </c>
      <c r="AZ187" s="318" t="n">
        <v>0</v>
      </c>
      <c r="BA187" s="318" t="n">
        <v>-0.089</v>
      </c>
      <c r="BB187" s="318" t="n">
        <v>-0.008499999</v>
      </c>
      <c r="BC187" s="318" t="n">
        <v>0</v>
      </c>
      <c r="BD187" s="318" t="n">
        <v>-0.06</v>
      </c>
      <c r="BE187" s="318" t="n">
        <v>-0.075</v>
      </c>
      <c r="BF187" s="318" t="n">
        <v>0</v>
      </c>
      <c r="BG187" s="318" t="n">
        <v>0</v>
      </c>
      <c r="BH187" s="318" t="n">
        <v>0</v>
      </c>
      <c r="BI187" s="318" t="n">
        <v>0</v>
      </c>
      <c r="BJ187" s="318" t="n">
        <v>1.04</v>
      </c>
      <c r="BK187" s="318" t="n">
        <v>0</v>
      </c>
      <c r="BL187" s="318" t="n">
        <v>-0.025</v>
      </c>
      <c r="BM187" s="318" t="n">
        <v>0.005</v>
      </c>
      <c r="BN187" s="318" t="n">
        <v>0</v>
      </c>
      <c r="BO187" s="318" t="n">
        <v>0</v>
      </c>
      <c r="BP187" s="318" t="n">
        <v>0.005</v>
      </c>
      <c r="BQ187" s="318" t="n">
        <v>0</v>
      </c>
      <c r="BR187" s="318" t="n">
        <v>0.45</v>
      </c>
      <c r="BS187" s="0" t="n">
        <v>0</v>
      </c>
      <c r="BT187" s="0" t="n">
        <v>0</v>
      </c>
      <c r="BU187" s="0" t="n">
        <v>0</v>
      </c>
      <c r="BV187" s="0" t="n">
        <v>0</v>
      </c>
    </row>
    <row r="188" customFormat="false" ht="12.75" hidden="false" customHeight="false" outlineLevel="0" collapsed="false">
      <c r="A188" s="320"/>
      <c r="B188" s="320" t="n">
        <v>3.866</v>
      </c>
      <c r="C188" s="327" t="n">
        <f aca="false">EOMONTH(C187,0)+1</f>
        <v>42826</v>
      </c>
      <c r="D188" s="0" t="n">
        <f aca="false">D176+0.05</f>
        <v>3.681</v>
      </c>
      <c r="E188" s="320" t="n">
        <v>0.17</v>
      </c>
      <c r="F188" s="318" t="n">
        <v>0.0619169232829968</v>
      </c>
      <c r="G188" s="318" t="n">
        <v>0</v>
      </c>
      <c r="H188" s="318" t="n">
        <v>0</v>
      </c>
      <c r="I188" s="330" t="n">
        <v>0</v>
      </c>
      <c r="J188" s="330" t="n">
        <v>0</v>
      </c>
      <c r="K188" s="318" t="n">
        <v>0</v>
      </c>
      <c r="L188" s="318" t="n">
        <v>0</v>
      </c>
      <c r="M188" s="318" t="n">
        <v>0</v>
      </c>
      <c r="N188" s="318" t="n">
        <v>0</v>
      </c>
      <c r="O188" s="318" t="n">
        <v>0</v>
      </c>
      <c r="P188" s="318" t="n">
        <v>0</v>
      </c>
      <c r="Q188" s="318" t="n">
        <v>0</v>
      </c>
      <c r="R188" s="318" t="n">
        <v>0</v>
      </c>
      <c r="S188" s="318" t="n">
        <v>0</v>
      </c>
      <c r="T188" s="318" t="n">
        <v>0</v>
      </c>
      <c r="U188" s="318" t="n">
        <v>0</v>
      </c>
      <c r="V188" s="318" t="n">
        <v>0.5</v>
      </c>
      <c r="W188" s="318" t="n">
        <v>0.195</v>
      </c>
      <c r="X188" s="318" t="n">
        <v>0.29</v>
      </c>
      <c r="Y188" s="318" t="n">
        <v>0</v>
      </c>
      <c r="Z188" s="318" t="n">
        <v>-0.023</v>
      </c>
      <c r="AA188" s="318" t="n">
        <v>0.022</v>
      </c>
      <c r="AB188" s="318" t="n">
        <v>0.007</v>
      </c>
      <c r="AC188" s="318" t="n">
        <v>0</v>
      </c>
      <c r="AD188" s="318" t="n">
        <v>0</v>
      </c>
      <c r="AE188" s="318" t="n">
        <v>-0.0455</v>
      </c>
      <c r="AF188" s="318" t="n">
        <v>-0.0455</v>
      </c>
      <c r="AG188" s="318" t="n">
        <v>-0.068</v>
      </c>
      <c r="AH188" s="318" t="n">
        <v>0</v>
      </c>
      <c r="AI188" s="318" t="n">
        <v>-0.064</v>
      </c>
      <c r="AJ188" s="318" t="n">
        <v>0</v>
      </c>
      <c r="AK188" s="318" t="n">
        <v>-0.008999999</v>
      </c>
      <c r="AL188" s="318" t="n">
        <v>0.031</v>
      </c>
      <c r="AM188" s="318" t="n">
        <v>0.64</v>
      </c>
      <c r="AN188" s="318" t="n">
        <v>-0.0175</v>
      </c>
      <c r="AO188" s="318" t="n">
        <v>0</v>
      </c>
      <c r="AP188" s="318" t="n">
        <v>-0.07</v>
      </c>
      <c r="AQ188" s="318" t="n">
        <v>-0.13</v>
      </c>
      <c r="AR188" s="318" t="n">
        <v>0</v>
      </c>
      <c r="AS188" s="318" t="n">
        <v>-0.26</v>
      </c>
      <c r="AT188" s="318" t="n">
        <v>0</v>
      </c>
      <c r="AU188" s="318" t="n">
        <v>0.35</v>
      </c>
      <c r="AV188" s="318" t="n">
        <v>0</v>
      </c>
      <c r="AW188" s="318" t="n">
        <v>-0.1535</v>
      </c>
      <c r="AX188" s="318" t="n">
        <v>-0.06</v>
      </c>
      <c r="AY188" s="318" t="n">
        <v>-0.0935</v>
      </c>
      <c r="AZ188" s="318" t="n">
        <v>0</v>
      </c>
      <c r="BA188" s="318" t="n">
        <v>0</v>
      </c>
      <c r="BB188" s="318" t="n">
        <v>0</v>
      </c>
      <c r="BC188" s="318" t="n">
        <v>0</v>
      </c>
      <c r="BD188" s="318" t="n">
        <v>-0.0475</v>
      </c>
      <c r="BE188" s="318" t="n">
        <v>0</v>
      </c>
      <c r="BF188" s="318" t="n">
        <v>0</v>
      </c>
      <c r="BG188" s="318" t="n">
        <v>0</v>
      </c>
      <c r="BH188" s="318" t="n">
        <v>0</v>
      </c>
      <c r="BI188" s="318" t="n">
        <v>0</v>
      </c>
      <c r="BJ188" s="318" t="n">
        <v>0.54</v>
      </c>
      <c r="BK188" s="318" t="n">
        <v>0</v>
      </c>
      <c r="BL188" s="318" t="n">
        <v>-0.02</v>
      </c>
      <c r="BM188" s="318" t="n">
        <v>0.005</v>
      </c>
      <c r="BN188" s="318" t="n">
        <v>0</v>
      </c>
      <c r="BO188" s="318" t="n">
        <v>0</v>
      </c>
      <c r="BP188" s="318" t="n">
        <v>0.005</v>
      </c>
      <c r="BQ188" s="318" t="n">
        <v>0</v>
      </c>
      <c r="BR188" s="318" t="n">
        <v>0.1</v>
      </c>
      <c r="BS188" s="0" t="n">
        <v>0</v>
      </c>
      <c r="BT188" s="0" t="n">
        <v>0</v>
      </c>
      <c r="BU188" s="0" t="n">
        <v>0</v>
      </c>
      <c r="BV188" s="0" t="n">
        <v>0</v>
      </c>
    </row>
    <row r="189" customFormat="false" ht="12.75" hidden="false" customHeight="false" outlineLevel="0" collapsed="false">
      <c r="A189" s="320"/>
      <c r="B189" s="320" t="n">
        <v>3.872</v>
      </c>
      <c r="C189" s="327" t="n">
        <f aca="false">EOMONTH(C188,0)+1</f>
        <v>42856</v>
      </c>
      <c r="D189" s="0" t="n">
        <f aca="false">D177+0.05</f>
        <v>3.684</v>
      </c>
      <c r="E189" s="320" t="n">
        <v>0.17</v>
      </c>
      <c r="F189" s="318" t="n">
        <v>0.061960751526537</v>
      </c>
      <c r="G189" s="318" t="n">
        <v>0</v>
      </c>
      <c r="H189" s="318" t="n">
        <v>0</v>
      </c>
      <c r="I189" s="330" t="n">
        <v>0</v>
      </c>
      <c r="J189" s="330" t="n">
        <v>0</v>
      </c>
      <c r="K189" s="318" t="n">
        <v>0</v>
      </c>
      <c r="L189" s="318" t="n">
        <v>0</v>
      </c>
      <c r="M189" s="318" t="n">
        <v>0</v>
      </c>
      <c r="N189" s="318" t="n">
        <v>0</v>
      </c>
      <c r="O189" s="318" t="n">
        <v>0</v>
      </c>
      <c r="P189" s="318" t="n">
        <v>0</v>
      </c>
      <c r="Q189" s="318" t="n">
        <v>0</v>
      </c>
      <c r="R189" s="318" t="n">
        <v>0</v>
      </c>
      <c r="S189" s="318" t="n">
        <v>0</v>
      </c>
      <c r="T189" s="318" t="n">
        <v>0</v>
      </c>
      <c r="U189" s="318" t="n">
        <v>0</v>
      </c>
      <c r="V189" s="318" t="n">
        <v>0.5</v>
      </c>
      <c r="W189" s="318" t="n">
        <v>0.145</v>
      </c>
      <c r="X189" s="318" t="n">
        <v>0.195</v>
      </c>
      <c r="Y189" s="318" t="n">
        <v>0</v>
      </c>
      <c r="Z189" s="318" t="n">
        <v>-0.038</v>
      </c>
      <c r="AA189" s="318" t="n">
        <v>0.022</v>
      </c>
      <c r="AB189" s="318" t="n">
        <v>0.007</v>
      </c>
      <c r="AC189" s="318" t="n">
        <v>0</v>
      </c>
      <c r="AD189" s="318" t="n">
        <v>0</v>
      </c>
      <c r="AE189" s="318" t="n">
        <v>-0.043</v>
      </c>
      <c r="AF189" s="318" t="n">
        <v>-0.043</v>
      </c>
      <c r="AG189" s="318" t="n">
        <v>-0.0655</v>
      </c>
      <c r="AH189" s="318" t="n">
        <v>0</v>
      </c>
      <c r="AI189" s="318" t="n">
        <v>-0.072</v>
      </c>
      <c r="AJ189" s="318" t="n">
        <v>0</v>
      </c>
      <c r="AK189" s="318" t="n">
        <v>-0.017</v>
      </c>
      <c r="AL189" s="318" t="n">
        <v>0.023</v>
      </c>
      <c r="AM189" s="318" t="n">
        <v>0.38</v>
      </c>
      <c r="AN189" s="318" t="n">
        <v>0.02</v>
      </c>
      <c r="AO189" s="318" t="n">
        <v>0</v>
      </c>
      <c r="AP189" s="318" t="n">
        <v>-0.07</v>
      </c>
      <c r="AQ189" s="318" t="n">
        <v>-0.195</v>
      </c>
      <c r="AR189" s="318" t="n">
        <v>0</v>
      </c>
      <c r="AS189" s="318" t="n">
        <v>-0.37</v>
      </c>
      <c r="AT189" s="318" t="n">
        <v>0</v>
      </c>
      <c r="AU189" s="318" t="n">
        <v>0.43</v>
      </c>
      <c r="AV189" s="318" t="n">
        <v>0</v>
      </c>
      <c r="AW189" s="318" t="n">
        <v>-0.194</v>
      </c>
      <c r="AX189" s="318" t="n">
        <v>-0.06</v>
      </c>
      <c r="AY189" s="318" t="n">
        <v>-0.134</v>
      </c>
      <c r="AZ189" s="318" t="n">
        <v>0</v>
      </c>
      <c r="BA189" s="318" t="n">
        <v>0</v>
      </c>
      <c r="BB189" s="318" t="n">
        <v>0</v>
      </c>
      <c r="BC189" s="318" t="n">
        <v>0</v>
      </c>
      <c r="BD189" s="318" t="n">
        <v>-0.01</v>
      </c>
      <c r="BE189" s="318" t="n">
        <v>0</v>
      </c>
      <c r="BF189" s="318" t="n">
        <v>0</v>
      </c>
      <c r="BG189" s="318" t="n">
        <v>0</v>
      </c>
      <c r="BH189" s="318" t="n">
        <v>0</v>
      </c>
      <c r="BI189" s="318" t="n">
        <v>0</v>
      </c>
      <c r="BJ189" s="318" t="n">
        <v>0.36</v>
      </c>
      <c r="BK189" s="318" t="n">
        <v>0</v>
      </c>
      <c r="BL189" s="318" t="n">
        <v>-0.015</v>
      </c>
      <c r="BM189" s="318" t="n">
        <v>0.005</v>
      </c>
      <c r="BN189" s="318" t="n">
        <v>0</v>
      </c>
      <c r="BO189" s="318" t="n">
        <v>0</v>
      </c>
      <c r="BP189" s="318" t="n">
        <v>0.005</v>
      </c>
      <c r="BQ189" s="318" t="n">
        <v>0</v>
      </c>
      <c r="BR189" s="318" t="n">
        <v>0.02</v>
      </c>
      <c r="BS189" s="0" t="n">
        <v>0</v>
      </c>
      <c r="BT189" s="0" t="n">
        <v>0</v>
      </c>
      <c r="BU189" s="0" t="n">
        <v>0</v>
      </c>
      <c r="BV189" s="0" t="n">
        <v>0</v>
      </c>
    </row>
    <row r="190" customFormat="false" ht="12.75" hidden="false" customHeight="false" outlineLevel="0" collapsed="false">
      <c r="A190" s="320"/>
      <c r="B190" s="320" t="n">
        <v>3.924</v>
      </c>
      <c r="C190" s="327" t="n">
        <f aca="false">EOMONTH(C189,0)+1</f>
        <v>42887</v>
      </c>
      <c r="D190" s="0" t="n">
        <f aca="false">D178+0.05</f>
        <v>3.724</v>
      </c>
      <c r="E190" s="320" t="n">
        <v>0.17</v>
      </c>
      <c r="F190" s="318" t="n">
        <v>0.0620031659563769</v>
      </c>
      <c r="G190" s="318" t="n">
        <v>0</v>
      </c>
      <c r="H190" s="318" t="n">
        <v>0</v>
      </c>
      <c r="I190" s="330" t="n">
        <v>0</v>
      </c>
      <c r="J190" s="330" t="n">
        <v>0</v>
      </c>
      <c r="K190" s="318" t="n">
        <v>0</v>
      </c>
      <c r="L190" s="318" t="n">
        <v>0</v>
      </c>
      <c r="M190" s="318" t="n">
        <v>0</v>
      </c>
      <c r="N190" s="318" t="n">
        <v>0</v>
      </c>
      <c r="O190" s="318" t="n">
        <v>0</v>
      </c>
      <c r="P190" s="318" t="n">
        <v>0</v>
      </c>
      <c r="Q190" s="318" t="n">
        <v>0</v>
      </c>
      <c r="R190" s="318" t="n">
        <v>0</v>
      </c>
      <c r="S190" s="318" t="n">
        <v>0</v>
      </c>
      <c r="T190" s="318" t="n">
        <v>0</v>
      </c>
      <c r="U190" s="318" t="n">
        <v>0</v>
      </c>
      <c r="V190" s="318" t="n">
        <v>0.5</v>
      </c>
      <c r="W190" s="318" t="n">
        <v>0.125</v>
      </c>
      <c r="X190" s="318" t="n">
        <v>0.135</v>
      </c>
      <c r="Y190" s="318" t="n">
        <v>0</v>
      </c>
      <c r="Z190" s="318" t="n">
        <v>-0.038</v>
      </c>
      <c r="AA190" s="318" t="n">
        <v>0.0245</v>
      </c>
      <c r="AB190" s="318" t="n">
        <v>0.0095</v>
      </c>
      <c r="AC190" s="318" t="n">
        <v>0</v>
      </c>
      <c r="AD190" s="318" t="n">
        <v>0</v>
      </c>
      <c r="AE190" s="318" t="n">
        <v>-0.043</v>
      </c>
      <c r="AF190" s="318" t="n">
        <v>-0.043</v>
      </c>
      <c r="AG190" s="318" t="n">
        <v>-0.0655</v>
      </c>
      <c r="AH190" s="318" t="n">
        <v>0</v>
      </c>
      <c r="AI190" s="318" t="n">
        <v>-0.072</v>
      </c>
      <c r="AJ190" s="318" t="n">
        <v>0</v>
      </c>
      <c r="AK190" s="318" t="n">
        <v>-0.017</v>
      </c>
      <c r="AL190" s="318" t="n">
        <v>0.023</v>
      </c>
      <c r="AM190" s="318" t="n">
        <v>0.33</v>
      </c>
      <c r="AN190" s="318" t="n">
        <v>0.02</v>
      </c>
      <c r="AO190" s="318" t="n">
        <v>0</v>
      </c>
      <c r="AP190" s="318" t="n">
        <v>-0.07</v>
      </c>
      <c r="AQ190" s="318" t="n">
        <v>-0.195</v>
      </c>
      <c r="AR190" s="318" t="n">
        <v>0</v>
      </c>
      <c r="AS190" s="318" t="n">
        <v>-0.37</v>
      </c>
      <c r="AT190" s="318" t="n">
        <v>0</v>
      </c>
      <c r="AU190" s="318" t="n">
        <v>0.43</v>
      </c>
      <c r="AV190" s="318" t="n">
        <v>0</v>
      </c>
      <c r="AW190" s="318" t="n">
        <v>-0.1715</v>
      </c>
      <c r="AX190" s="318" t="n">
        <v>-0.06</v>
      </c>
      <c r="AY190" s="318" t="n">
        <v>-0.1115</v>
      </c>
      <c r="AZ190" s="318" t="n">
        <v>0</v>
      </c>
      <c r="BA190" s="318" t="n">
        <v>0</v>
      </c>
      <c r="BB190" s="318" t="n">
        <v>0</v>
      </c>
      <c r="BC190" s="318" t="n">
        <v>0</v>
      </c>
      <c r="BD190" s="318" t="n">
        <v>-0.01</v>
      </c>
      <c r="BE190" s="318" t="n">
        <v>0</v>
      </c>
      <c r="BF190" s="318" t="n">
        <v>0</v>
      </c>
      <c r="BG190" s="318" t="n">
        <v>0</v>
      </c>
      <c r="BH190" s="318" t="n">
        <v>0</v>
      </c>
      <c r="BI190" s="318" t="n">
        <v>0</v>
      </c>
      <c r="BJ190" s="318" t="n">
        <v>0.325</v>
      </c>
      <c r="BK190" s="318" t="n">
        <v>0</v>
      </c>
      <c r="BL190" s="318" t="n">
        <v>-0.015</v>
      </c>
      <c r="BM190" s="318" t="n">
        <v>0.005</v>
      </c>
      <c r="BN190" s="318" t="n">
        <v>0</v>
      </c>
      <c r="BO190" s="318" t="n">
        <v>0</v>
      </c>
      <c r="BP190" s="318" t="n">
        <v>0.005</v>
      </c>
      <c r="BQ190" s="318" t="n">
        <v>0</v>
      </c>
      <c r="BR190" s="318" t="n">
        <v>0.02</v>
      </c>
      <c r="BS190" s="0" t="n">
        <v>0</v>
      </c>
      <c r="BT190" s="0" t="n">
        <v>0</v>
      </c>
      <c r="BU190" s="0" t="n">
        <v>0</v>
      </c>
      <c r="BV190" s="0" t="n">
        <v>0</v>
      </c>
    </row>
    <row r="191" customFormat="false" ht="12.75" hidden="false" customHeight="false" outlineLevel="0" collapsed="false">
      <c r="A191" s="320"/>
      <c r="B191" s="320" t="n">
        <v>3.997</v>
      </c>
      <c r="C191" s="327" t="n">
        <f aca="false">EOMONTH(C190,0)+1</f>
        <v>42917</v>
      </c>
      <c r="D191" s="0" t="n">
        <f aca="false">D179+0.05</f>
        <v>3.764</v>
      </c>
      <c r="E191" s="320" t="n">
        <v>0.17</v>
      </c>
      <c r="F191" s="318" t="n">
        <v>0.0620469942011721</v>
      </c>
      <c r="G191" s="318" t="n">
        <v>0</v>
      </c>
      <c r="H191" s="318" t="n">
        <v>0</v>
      </c>
      <c r="I191" s="330" t="n">
        <v>0</v>
      </c>
      <c r="J191" s="330" t="n">
        <v>0</v>
      </c>
      <c r="K191" s="318" t="n">
        <v>0</v>
      </c>
      <c r="L191" s="318" t="n">
        <v>0</v>
      </c>
      <c r="M191" s="318" t="n">
        <v>0</v>
      </c>
      <c r="N191" s="318" t="n">
        <v>0</v>
      </c>
      <c r="O191" s="318" t="n">
        <v>0</v>
      </c>
      <c r="P191" s="318" t="n">
        <v>0</v>
      </c>
      <c r="Q191" s="318" t="n">
        <v>0</v>
      </c>
      <c r="R191" s="318" t="n">
        <v>0</v>
      </c>
      <c r="S191" s="318" t="n">
        <v>0</v>
      </c>
      <c r="T191" s="318" t="n">
        <v>0</v>
      </c>
      <c r="U191" s="332" t="n">
        <v>0</v>
      </c>
      <c r="V191" s="318" t="n">
        <v>0.5</v>
      </c>
      <c r="W191" s="318" t="n">
        <v>0.145</v>
      </c>
      <c r="X191" s="318" t="n">
        <v>0.165</v>
      </c>
      <c r="Y191" s="318" t="n">
        <v>0</v>
      </c>
      <c r="Z191" s="318" t="n">
        <v>-0.0355</v>
      </c>
      <c r="AA191" s="318" t="n">
        <v>0.0245</v>
      </c>
      <c r="AB191" s="318" t="n">
        <v>0.0095</v>
      </c>
      <c r="AC191" s="318" t="n">
        <v>0</v>
      </c>
      <c r="AD191" s="318" t="n">
        <v>0</v>
      </c>
      <c r="AE191" s="318" t="n">
        <v>0</v>
      </c>
      <c r="AF191" s="318" t="n">
        <v>0</v>
      </c>
      <c r="AG191" s="318" t="n">
        <v>0</v>
      </c>
      <c r="AH191" s="318" t="n">
        <v>0</v>
      </c>
      <c r="AI191" s="318" t="n">
        <v>0</v>
      </c>
      <c r="AJ191" s="332" t="n">
        <v>0</v>
      </c>
      <c r="AK191" s="318" t="n">
        <v>0</v>
      </c>
      <c r="AL191" s="318" t="n">
        <v>0</v>
      </c>
      <c r="AM191" s="318" t="n">
        <v>0.37</v>
      </c>
      <c r="AN191" s="318" t="n">
        <v>0.025</v>
      </c>
      <c r="AO191" s="318" t="n">
        <v>0</v>
      </c>
      <c r="AP191" s="318" t="n">
        <v>-0.07</v>
      </c>
      <c r="AQ191" s="318" t="n">
        <v>-0.195</v>
      </c>
      <c r="AR191" s="318" t="n">
        <v>0</v>
      </c>
      <c r="AS191" s="318" t="n">
        <v>-0.37</v>
      </c>
      <c r="AT191" s="318" t="n">
        <v>0</v>
      </c>
      <c r="AU191" s="318" t="n">
        <v>0.43</v>
      </c>
      <c r="AV191" s="318" t="n">
        <v>0</v>
      </c>
      <c r="AW191" s="318" t="n">
        <v>-0.06</v>
      </c>
      <c r="AX191" s="318" t="n">
        <v>-0.06</v>
      </c>
      <c r="AY191" s="318" t="n">
        <v>0</v>
      </c>
      <c r="AZ191" s="318" t="n">
        <v>0</v>
      </c>
      <c r="BA191" s="318" t="n">
        <v>0</v>
      </c>
      <c r="BB191" s="318" t="n">
        <v>0</v>
      </c>
      <c r="BC191" s="318" t="n">
        <v>0</v>
      </c>
      <c r="BD191" s="318" t="n">
        <v>-0.005</v>
      </c>
      <c r="BE191" s="318" t="n">
        <v>0</v>
      </c>
      <c r="BF191" s="318" t="n">
        <v>0</v>
      </c>
      <c r="BG191" s="318" t="n">
        <v>0</v>
      </c>
      <c r="BH191" s="318" t="n">
        <v>0</v>
      </c>
      <c r="BI191" s="318" t="n">
        <v>0</v>
      </c>
      <c r="BJ191" s="318" t="n">
        <v>0.335</v>
      </c>
      <c r="BK191" s="318" t="n">
        <v>0</v>
      </c>
      <c r="BL191" s="318" t="n">
        <v>-0.015</v>
      </c>
      <c r="BM191" s="318" t="n">
        <v>0.005</v>
      </c>
      <c r="BN191" s="318" t="n">
        <v>0</v>
      </c>
      <c r="BO191" s="318" t="n">
        <v>0</v>
      </c>
      <c r="BP191" s="318" t="n">
        <v>0.005</v>
      </c>
      <c r="BQ191" s="318" t="n">
        <v>0</v>
      </c>
      <c r="BR191" s="318" t="n">
        <v>0.035</v>
      </c>
      <c r="BS191" s="0" t="n">
        <v>0</v>
      </c>
      <c r="BT191" s="0" t="n">
        <v>0</v>
      </c>
      <c r="BU191" s="0" t="n">
        <v>0</v>
      </c>
      <c r="BV191" s="0" t="n">
        <v>0</v>
      </c>
    </row>
    <row r="192" customFormat="false" ht="12.75" hidden="false" customHeight="false" outlineLevel="0" collapsed="false">
      <c r="A192" s="320"/>
      <c r="B192" s="320" t="n">
        <v>4.269</v>
      </c>
      <c r="C192" s="327" t="n">
        <f aca="false">EOMONTH(C191,0)+1</f>
        <v>42948</v>
      </c>
      <c r="D192" s="0" t="n">
        <f aca="false">D180+0.05</f>
        <v>3.814</v>
      </c>
      <c r="E192" s="320" t="n">
        <v>0.17</v>
      </c>
      <c r="F192" s="318" t="n">
        <v>0.0620894086322266</v>
      </c>
      <c r="G192" s="318" t="n">
        <v>0</v>
      </c>
      <c r="H192" s="318" t="n">
        <v>0</v>
      </c>
      <c r="I192" s="330" t="n">
        <v>0</v>
      </c>
      <c r="J192" s="330" t="n">
        <v>0</v>
      </c>
      <c r="K192" s="318" t="n">
        <v>0</v>
      </c>
      <c r="L192" s="318" t="n">
        <v>0</v>
      </c>
      <c r="M192" s="318" t="n">
        <v>0</v>
      </c>
      <c r="N192" s="318" t="n">
        <v>0</v>
      </c>
      <c r="O192" s="318" t="n">
        <v>0</v>
      </c>
      <c r="P192" s="318" t="n">
        <v>0</v>
      </c>
      <c r="Q192" s="318" t="n">
        <v>0</v>
      </c>
      <c r="R192" s="318" t="n">
        <v>0</v>
      </c>
      <c r="S192" s="318" t="n">
        <v>0</v>
      </c>
      <c r="T192" s="318" t="n">
        <v>0</v>
      </c>
      <c r="U192" s="318" t="n">
        <v>0</v>
      </c>
      <c r="V192" s="318" t="n">
        <v>0.5</v>
      </c>
      <c r="W192" s="318" t="n">
        <v>0.15</v>
      </c>
      <c r="X192" s="318" t="n">
        <v>0.205</v>
      </c>
      <c r="Y192" s="318" t="n">
        <v>0</v>
      </c>
      <c r="Z192" s="318" t="n">
        <v>-0.0355</v>
      </c>
      <c r="AA192" s="318" t="n">
        <v>0.0245</v>
      </c>
      <c r="AB192" s="318" t="n">
        <v>0.0095</v>
      </c>
      <c r="AC192" s="318" t="n">
        <v>0</v>
      </c>
      <c r="AD192" s="318" t="n">
        <v>0</v>
      </c>
      <c r="AE192" s="318" t="n">
        <v>0</v>
      </c>
      <c r="AF192" s="318" t="n">
        <v>0</v>
      </c>
      <c r="AG192" s="318" t="n">
        <v>0</v>
      </c>
      <c r="AH192" s="318" t="n">
        <v>0</v>
      </c>
      <c r="AI192" s="318" t="n">
        <v>0</v>
      </c>
      <c r="AJ192" s="318" t="n">
        <v>0</v>
      </c>
      <c r="AK192" s="318" t="n">
        <v>0</v>
      </c>
      <c r="AL192" s="318" t="n">
        <v>0</v>
      </c>
      <c r="AM192" s="318" t="n">
        <v>0.41</v>
      </c>
      <c r="AN192" s="318" t="n">
        <v>0.0275</v>
      </c>
      <c r="AO192" s="318" t="n">
        <v>0</v>
      </c>
      <c r="AP192" s="318" t="n">
        <v>-0.07</v>
      </c>
      <c r="AQ192" s="318" t="n">
        <v>-0.195</v>
      </c>
      <c r="AR192" s="318" t="n">
        <v>0</v>
      </c>
      <c r="AS192" s="318" t="n">
        <v>-0.37</v>
      </c>
      <c r="AT192" s="318" t="n">
        <v>0</v>
      </c>
      <c r="AU192" s="318" t="n">
        <v>0.43</v>
      </c>
      <c r="AV192" s="318" t="n">
        <v>0</v>
      </c>
      <c r="AW192" s="318" t="n">
        <v>-0.06</v>
      </c>
      <c r="AX192" s="318" t="n">
        <v>-0.06</v>
      </c>
      <c r="AY192" s="318" t="n">
        <v>0</v>
      </c>
      <c r="AZ192" s="318" t="n">
        <v>0</v>
      </c>
      <c r="BA192" s="318" t="n">
        <v>0</v>
      </c>
      <c r="BB192" s="318" t="n">
        <v>0</v>
      </c>
      <c r="BC192" s="318" t="n">
        <v>0</v>
      </c>
      <c r="BD192" s="318" t="n">
        <v>-0.0025</v>
      </c>
      <c r="BE192" s="318" t="n">
        <v>0</v>
      </c>
      <c r="BF192" s="318" t="n">
        <v>0</v>
      </c>
      <c r="BG192" s="318" t="n">
        <v>0</v>
      </c>
      <c r="BH192" s="318" t="n">
        <v>0</v>
      </c>
      <c r="BI192" s="318" t="n">
        <v>0</v>
      </c>
      <c r="BJ192" s="318" t="n">
        <v>0.35</v>
      </c>
      <c r="BK192" s="318" t="n">
        <v>0</v>
      </c>
      <c r="BL192" s="318" t="n">
        <v>-0.01</v>
      </c>
      <c r="BM192" s="318" t="n">
        <v>0.005</v>
      </c>
      <c r="BN192" s="318" t="n">
        <v>0</v>
      </c>
      <c r="BO192" s="318" t="n">
        <v>0</v>
      </c>
      <c r="BP192" s="318" t="n">
        <v>0.005</v>
      </c>
      <c r="BQ192" s="318" t="n">
        <v>0</v>
      </c>
      <c r="BR192" s="318" t="n">
        <v>0.035</v>
      </c>
      <c r="BS192" s="0" t="n">
        <v>0</v>
      </c>
      <c r="BT192" s="0" t="n">
        <v>0</v>
      </c>
      <c r="BU192" s="0" t="n">
        <v>0</v>
      </c>
      <c r="BV192" s="0" t="n">
        <v>0</v>
      </c>
    </row>
    <row r="193" customFormat="false" ht="12.75" hidden="false" customHeight="false" outlineLevel="0" collapsed="false">
      <c r="A193" s="320"/>
      <c r="B193" s="320" t="n">
        <v>4.194</v>
      </c>
      <c r="C193" s="327" t="n">
        <f aca="false">EOMONTH(C192,0)+1</f>
        <v>42979</v>
      </c>
      <c r="D193" s="0" t="n">
        <f aca="false">D181+0.05</f>
        <v>3.799</v>
      </c>
      <c r="E193" s="320" t="n">
        <v>0.17</v>
      </c>
      <c r="F193" s="318" t="n">
        <v>0.0621332368782759</v>
      </c>
      <c r="G193" s="318" t="n">
        <v>0</v>
      </c>
      <c r="H193" s="318" t="n">
        <v>0</v>
      </c>
      <c r="I193" s="330" t="n">
        <v>0</v>
      </c>
      <c r="J193" s="330" t="n">
        <v>0</v>
      </c>
      <c r="K193" s="318" t="n">
        <v>0</v>
      </c>
      <c r="L193" s="318" t="n">
        <v>0</v>
      </c>
      <c r="M193" s="318" t="n">
        <v>0</v>
      </c>
      <c r="N193" s="318" t="n">
        <v>0</v>
      </c>
      <c r="O193" s="318" t="n">
        <v>0</v>
      </c>
      <c r="P193" s="318" t="n">
        <v>0</v>
      </c>
      <c r="Q193" s="318" t="n">
        <v>0</v>
      </c>
      <c r="R193" s="318" t="n">
        <v>0</v>
      </c>
      <c r="S193" s="318" t="n">
        <v>0</v>
      </c>
      <c r="T193" s="318" t="n">
        <v>0</v>
      </c>
      <c r="U193" s="318" t="n">
        <v>0</v>
      </c>
      <c r="V193" s="318" t="n">
        <v>0.5</v>
      </c>
      <c r="W193" s="318" t="n">
        <v>0.15</v>
      </c>
      <c r="X193" s="318" t="n">
        <v>0.205</v>
      </c>
      <c r="Y193" s="318" t="n">
        <v>0</v>
      </c>
      <c r="Z193" s="318" t="n">
        <v>-0.0355</v>
      </c>
      <c r="AA193" s="318" t="n">
        <v>0.0195</v>
      </c>
      <c r="AB193" s="318" t="n">
        <v>0.0045</v>
      </c>
      <c r="AC193" s="318" t="n">
        <v>0</v>
      </c>
      <c r="AD193" s="318" t="n">
        <v>0</v>
      </c>
      <c r="AE193" s="318" t="n">
        <v>0</v>
      </c>
      <c r="AF193" s="318" t="n">
        <v>0</v>
      </c>
      <c r="AG193" s="318" t="n">
        <v>0</v>
      </c>
      <c r="AH193" s="318" t="n">
        <v>0</v>
      </c>
      <c r="AI193" s="318" t="n">
        <v>0</v>
      </c>
      <c r="AJ193" s="318" t="n">
        <v>0</v>
      </c>
      <c r="AK193" s="318" t="n">
        <v>0</v>
      </c>
      <c r="AL193" s="318" t="n">
        <v>0</v>
      </c>
      <c r="AM193" s="318" t="n">
        <v>0.41</v>
      </c>
      <c r="AN193" s="318" t="n">
        <v>0.03</v>
      </c>
      <c r="AO193" s="318" t="n">
        <v>0</v>
      </c>
      <c r="AP193" s="318" t="n">
        <v>-0.07</v>
      </c>
      <c r="AQ193" s="318" t="n">
        <v>-0.195</v>
      </c>
      <c r="AR193" s="318" t="n">
        <v>0</v>
      </c>
      <c r="AS193" s="318" t="n">
        <v>-0.37</v>
      </c>
      <c r="AT193" s="318" t="n">
        <v>0</v>
      </c>
      <c r="AU193" s="318" t="n">
        <v>0.43</v>
      </c>
      <c r="AV193" s="318" t="n">
        <v>0</v>
      </c>
      <c r="AW193" s="318" t="n">
        <v>-0.06</v>
      </c>
      <c r="AX193" s="318" t="n">
        <v>-0.06</v>
      </c>
      <c r="AY193" s="318" t="n">
        <v>0</v>
      </c>
      <c r="AZ193" s="318" t="n">
        <v>0</v>
      </c>
      <c r="BA193" s="318" t="n">
        <v>0</v>
      </c>
      <c r="BB193" s="318" t="n">
        <v>0</v>
      </c>
      <c r="BC193" s="318" t="n">
        <v>0</v>
      </c>
      <c r="BD193" s="318" t="n">
        <v>0</v>
      </c>
      <c r="BE193" s="318" t="n">
        <v>0</v>
      </c>
      <c r="BF193" s="318" t="n">
        <v>0</v>
      </c>
      <c r="BG193" s="318" t="n">
        <v>0</v>
      </c>
      <c r="BH193" s="318" t="n">
        <v>0</v>
      </c>
      <c r="BI193" s="318" t="n">
        <v>0</v>
      </c>
      <c r="BJ193" s="318" t="n">
        <v>0.35</v>
      </c>
      <c r="BK193" s="318" t="n">
        <v>0</v>
      </c>
      <c r="BL193" s="318" t="n">
        <v>-0.01</v>
      </c>
      <c r="BM193" s="318" t="n">
        <v>0.005</v>
      </c>
      <c r="BN193" s="318" t="n">
        <v>0</v>
      </c>
      <c r="BO193" s="318" t="n">
        <v>0</v>
      </c>
      <c r="BP193" s="318" t="n">
        <v>0.005</v>
      </c>
      <c r="BQ193" s="318" t="n">
        <v>0</v>
      </c>
      <c r="BR193" s="318" t="n">
        <v>0.01</v>
      </c>
      <c r="BS193" s="0" t="n">
        <v>0</v>
      </c>
      <c r="BT193" s="0" t="n">
        <v>0</v>
      </c>
      <c r="BU193" s="0" t="n">
        <v>0</v>
      </c>
      <c r="BV193" s="0" t="n">
        <v>0</v>
      </c>
    </row>
    <row r="194" customFormat="false" ht="12.75" hidden="false" customHeight="false" outlineLevel="0" collapsed="false">
      <c r="A194" s="320"/>
      <c r="B194" s="320" t="n">
        <v>4.075</v>
      </c>
      <c r="C194" s="327" t="n">
        <f aca="false">EOMONTH(C193,0)+1</f>
        <v>43009</v>
      </c>
      <c r="D194" s="0" t="n">
        <f aca="false">D182+0.05</f>
        <v>3.814</v>
      </c>
      <c r="E194" s="320" t="n">
        <v>0.17</v>
      </c>
      <c r="F194" s="318" t="n">
        <v>0.0621770651249634</v>
      </c>
      <c r="G194" s="318" t="n">
        <v>0</v>
      </c>
      <c r="H194" s="318" t="n">
        <v>0</v>
      </c>
      <c r="I194" s="330" t="n">
        <v>0</v>
      </c>
      <c r="J194" s="330" t="n">
        <v>0</v>
      </c>
      <c r="K194" s="318" t="n">
        <v>0</v>
      </c>
      <c r="L194" s="318" t="n">
        <v>0</v>
      </c>
      <c r="M194" s="318" t="n">
        <v>0</v>
      </c>
      <c r="N194" s="318" t="n">
        <v>0</v>
      </c>
      <c r="O194" s="318" t="n">
        <v>0</v>
      </c>
      <c r="P194" s="318" t="n">
        <v>0</v>
      </c>
      <c r="Q194" s="318" t="n">
        <v>0</v>
      </c>
      <c r="R194" s="318" t="n">
        <v>0</v>
      </c>
      <c r="S194" s="318" t="n">
        <v>0</v>
      </c>
      <c r="T194" s="318" t="n">
        <v>0</v>
      </c>
      <c r="U194" s="318" t="n">
        <v>0</v>
      </c>
      <c r="V194" s="318" t="n">
        <v>0.5</v>
      </c>
      <c r="W194" s="318" t="n">
        <v>0.125</v>
      </c>
      <c r="X194" s="318" t="n">
        <v>0.145</v>
      </c>
      <c r="Y194" s="318" t="n">
        <v>0</v>
      </c>
      <c r="Z194" s="318" t="n">
        <v>-0.0405</v>
      </c>
      <c r="AA194" s="318" t="n">
        <v>0.0195</v>
      </c>
      <c r="AB194" s="318" t="n">
        <v>0.0045</v>
      </c>
      <c r="AC194" s="318" t="n">
        <v>0</v>
      </c>
      <c r="AD194" s="318" t="n">
        <v>0</v>
      </c>
      <c r="AE194" s="318" t="n">
        <v>0</v>
      </c>
      <c r="AF194" s="318" t="n">
        <v>0</v>
      </c>
      <c r="AG194" s="318" t="n">
        <v>0</v>
      </c>
      <c r="AH194" s="318" t="n">
        <v>0</v>
      </c>
      <c r="AI194" s="318" t="n">
        <v>0</v>
      </c>
      <c r="AJ194" s="318" t="n">
        <v>0</v>
      </c>
      <c r="AK194" s="318" t="n">
        <v>0</v>
      </c>
      <c r="AL194" s="318" t="n">
        <v>0</v>
      </c>
      <c r="AM194" s="318" t="n">
        <v>0.36</v>
      </c>
      <c r="AN194" s="318" t="n">
        <v>0.0225</v>
      </c>
      <c r="AO194" s="318" t="n">
        <v>0</v>
      </c>
      <c r="AP194" s="318" t="n">
        <v>-0.07</v>
      </c>
      <c r="AQ194" s="318" t="n">
        <v>-0.195</v>
      </c>
      <c r="AR194" s="318" t="n">
        <v>0</v>
      </c>
      <c r="AS194" s="318" t="n">
        <v>-0.37</v>
      </c>
      <c r="AT194" s="318" t="n">
        <v>0</v>
      </c>
      <c r="AU194" s="318" t="n">
        <v>0.43</v>
      </c>
      <c r="AV194" s="318" t="n">
        <v>0</v>
      </c>
      <c r="AW194" s="318" t="n">
        <v>-0.06</v>
      </c>
      <c r="AX194" s="318" t="n">
        <v>-0.06</v>
      </c>
      <c r="AY194" s="318" t="n">
        <v>0</v>
      </c>
      <c r="AZ194" s="318" t="n">
        <v>0</v>
      </c>
      <c r="BA194" s="318" t="n">
        <v>0</v>
      </c>
      <c r="BB194" s="318" t="n">
        <v>0</v>
      </c>
      <c r="BC194" s="318" t="n">
        <v>0</v>
      </c>
      <c r="BD194" s="318" t="n">
        <v>-0.0075</v>
      </c>
      <c r="BE194" s="318" t="n">
        <v>0</v>
      </c>
      <c r="BF194" s="318" t="n">
        <v>0</v>
      </c>
      <c r="BG194" s="318" t="n">
        <v>0</v>
      </c>
      <c r="BH194" s="318" t="n">
        <v>0</v>
      </c>
      <c r="BI194" s="318" t="n">
        <v>0</v>
      </c>
      <c r="BJ194" s="318" t="n">
        <v>0.315</v>
      </c>
      <c r="BK194" s="318" t="n">
        <v>0</v>
      </c>
      <c r="BL194" s="318" t="n">
        <v>-0.01</v>
      </c>
      <c r="BM194" s="318" t="n">
        <v>0.005</v>
      </c>
      <c r="BN194" s="318" t="n">
        <v>0</v>
      </c>
      <c r="BO194" s="318" t="n">
        <v>0</v>
      </c>
      <c r="BP194" s="318" t="n">
        <v>0.005</v>
      </c>
      <c r="BQ194" s="318" t="n">
        <v>0</v>
      </c>
      <c r="BR194" s="318" t="n">
        <v>0.01</v>
      </c>
      <c r="BS194" s="0" t="n">
        <v>0</v>
      </c>
      <c r="BT194" s="0" t="n">
        <v>0</v>
      </c>
      <c r="BU194" s="0" t="n">
        <v>0</v>
      </c>
      <c r="BV194" s="0" t="n">
        <v>0</v>
      </c>
    </row>
    <row r="195" customFormat="false" ht="12.75" hidden="false" customHeight="false" outlineLevel="0" collapsed="false">
      <c r="A195" s="320"/>
      <c r="B195" s="320" t="n">
        <v>3.959</v>
      </c>
      <c r="C195" s="327" t="n">
        <f aca="false">EOMONTH(C194,0)+1</f>
        <v>43040</v>
      </c>
      <c r="D195" s="0" t="n">
        <f aca="false">D183+0.05</f>
        <v>3.959</v>
      </c>
      <c r="E195" s="320" t="n">
        <v>0.17</v>
      </c>
      <c r="F195" s="318" t="n">
        <v>0.0622194795578483</v>
      </c>
      <c r="G195" s="318" t="n">
        <v>0</v>
      </c>
      <c r="H195" s="318" t="n">
        <v>0</v>
      </c>
      <c r="I195" s="330" t="n">
        <v>0</v>
      </c>
      <c r="J195" s="330" t="n">
        <v>0</v>
      </c>
      <c r="K195" s="318" t="n">
        <v>0</v>
      </c>
      <c r="L195" s="318" t="n">
        <v>0</v>
      </c>
      <c r="M195" s="318" t="n">
        <v>0</v>
      </c>
      <c r="N195" s="318" t="n">
        <v>0</v>
      </c>
      <c r="O195" s="318" t="n">
        <v>0</v>
      </c>
      <c r="P195" s="318" t="n">
        <v>0</v>
      </c>
      <c r="Q195" s="318" t="n">
        <v>0</v>
      </c>
      <c r="R195" s="318" t="n">
        <v>0</v>
      </c>
      <c r="S195" s="318" t="n">
        <v>0</v>
      </c>
      <c r="T195" s="318" t="n">
        <v>0</v>
      </c>
      <c r="U195" s="318" t="n">
        <v>0</v>
      </c>
      <c r="V195" s="318" t="n">
        <v>0.5</v>
      </c>
      <c r="W195" s="318" t="n">
        <v>0.145</v>
      </c>
      <c r="X195" s="318" t="n">
        <v>0.175</v>
      </c>
      <c r="Y195" s="318" t="n">
        <v>0</v>
      </c>
      <c r="Z195" s="318" t="n">
        <v>-0.0405</v>
      </c>
      <c r="AA195" s="318" t="n">
        <v>0.0145</v>
      </c>
      <c r="AB195" s="318" t="n">
        <v>0.000499999999999994</v>
      </c>
      <c r="AC195" s="318" t="n">
        <v>0</v>
      </c>
      <c r="AD195" s="318" t="n">
        <v>0</v>
      </c>
      <c r="AE195" s="318" t="n">
        <v>0</v>
      </c>
      <c r="AF195" s="318" t="n">
        <v>0</v>
      </c>
      <c r="AG195" s="318" t="n">
        <v>0</v>
      </c>
      <c r="AH195" s="318" t="n">
        <v>0</v>
      </c>
      <c r="AI195" s="318" t="n">
        <v>0</v>
      </c>
      <c r="AJ195" s="318" t="n">
        <v>0</v>
      </c>
      <c r="AK195" s="318" t="n">
        <v>0</v>
      </c>
      <c r="AL195" s="318" t="n">
        <v>0</v>
      </c>
      <c r="AM195" s="318" t="n">
        <v>0.4</v>
      </c>
      <c r="AN195" s="318" t="n">
        <v>0.0125</v>
      </c>
      <c r="AO195" s="318" t="n">
        <v>0</v>
      </c>
      <c r="AP195" s="318" t="n">
        <v>-0.07</v>
      </c>
      <c r="AQ195" s="318" t="n">
        <v>-0.195</v>
      </c>
      <c r="AR195" s="318" t="n">
        <v>0</v>
      </c>
      <c r="AS195" s="318" t="n">
        <v>-0.37</v>
      </c>
      <c r="AT195" s="318" t="n">
        <v>0</v>
      </c>
      <c r="AU195" s="318" t="n">
        <v>0.43</v>
      </c>
      <c r="AV195" s="318" t="n">
        <v>0</v>
      </c>
      <c r="AW195" s="318" t="n">
        <v>-0.06</v>
      </c>
      <c r="AX195" s="318" t="n">
        <v>-0.06</v>
      </c>
      <c r="AY195" s="318" t="n">
        <v>0</v>
      </c>
      <c r="AZ195" s="318" t="n">
        <v>0</v>
      </c>
      <c r="BA195" s="318" t="n">
        <v>0</v>
      </c>
      <c r="BB195" s="318" t="n">
        <v>0</v>
      </c>
      <c r="BC195" s="318" t="n">
        <v>0</v>
      </c>
      <c r="BD195" s="318" t="n">
        <v>-0.0175</v>
      </c>
      <c r="BE195" s="318" t="n">
        <v>0</v>
      </c>
      <c r="BF195" s="318" t="n">
        <v>0</v>
      </c>
      <c r="BG195" s="318" t="n">
        <v>0</v>
      </c>
      <c r="BH195" s="318" t="n">
        <v>0</v>
      </c>
      <c r="BI195" s="318" t="n">
        <v>0</v>
      </c>
      <c r="BJ195" s="318" t="n">
        <v>0.36</v>
      </c>
      <c r="BK195" s="318" t="n">
        <v>0</v>
      </c>
      <c r="BL195" s="318" t="n">
        <v>-0.015</v>
      </c>
      <c r="BM195" s="318" t="n">
        <v>0.005</v>
      </c>
      <c r="BN195" s="318" t="n">
        <v>0</v>
      </c>
      <c r="BO195" s="318" t="n">
        <v>0</v>
      </c>
      <c r="BP195" s="318" t="n">
        <v>0.005</v>
      </c>
      <c r="BQ195" s="318" t="n">
        <v>0</v>
      </c>
      <c r="BR195" s="318" t="n">
        <v>0.01</v>
      </c>
      <c r="BS195" s="0" t="n">
        <v>0</v>
      </c>
      <c r="BT195" s="0" t="n">
        <v>0</v>
      </c>
      <c r="BU195" s="0" t="n">
        <v>0</v>
      </c>
      <c r="BV195" s="0" t="n">
        <v>0</v>
      </c>
    </row>
    <row r="196" customFormat="false" ht="12.75" hidden="false" customHeight="false" outlineLevel="0" collapsed="false">
      <c r="A196" s="320"/>
      <c r="B196" s="320" t="n">
        <v>3.944</v>
      </c>
      <c r="C196" s="327" t="n">
        <f aca="false">EOMONTH(C195,0)+1</f>
        <v>43070</v>
      </c>
      <c r="D196" s="0" t="n">
        <f aca="false">D184+0.05</f>
        <v>4.094</v>
      </c>
      <c r="E196" s="320" t="n">
        <v>0.17</v>
      </c>
      <c r="F196" s="318" t="n">
        <v>0.0622633078057908</v>
      </c>
      <c r="G196" s="318"/>
      <c r="H196" s="318"/>
      <c r="I196" s="330"/>
      <c r="J196" s="330"/>
      <c r="K196" s="318"/>
      <c r="L196" s="318"/>
      <c r="M196" s="318"/>
      <c r="N196" s="318"/>
      <c r="O196" s="318"/>
      <c r="V196" s="318" t="n">
        <v>0.5</v>
      </c>
      <c r="W196" s="318" t="n">
        <v>0.195</v>
      </c>
      <c r="X196" s="318" t="n">
        <v>0.21</v>
      </c>
      <c r="Y196" s="318" t="n">
        <v>0</v>
      </c>
      <c r="Z196" s="318" t="n">
        <v>-0.0215</v>
      </c>
      <c r="AA196" s="318" t="n">
        <v>0.0155</v>
      </c>
      <c r="AB196" s="318" t="n">
        <v>0.000500000000000007</v>
      </c>
      <c r="AC196" s="318" t="n">
        <v>0</v>
      </c>
      <c r="AD196" s="318" t="n">
        <v>0</v>
      </c>
      <c r="AE196" s="318" t="n">
        <v>0</v>
      </c>
      <c r="AF196" s="318" t="n">
        <v>0</v>
      </c>
      <c r="AG196" s="318" t="n">
        <v>0</v>
      </c>
      <c r="AH196" s="318" t="n">
        <v>0</v>
      </c>
      <c r="AI196" s="318" t="n">
        <v>0</v>
      </c>
      <c r="AK196" s="318" t="n">
        <v>0</v>
      </c>
      <c r="AL196" s="318" t="n">
        <v>0</v>
      </c>
      <c r="AM196" s="318" t="n">
        <v>0.65</v>
      </c>
      <c r="AN196" s="318" t="n">
        <v>-0.0225</v>
      </c>
      <c r="AO196" s="318" t="n">
        <v>0</v>
      </c>
      <c r="AP196" s="318" t="n">
        <v>-0.07</v>
      </c>
      <c r="AQ196" s="318" t="n">
        <v>-0.13</v>
      </c>
      <c r="AR196" s="318" t="n">
        <v>0</v>
      </c>
      <c r="AS196" s="318" t="n">
        <v>-0.26</v>
      </c>
      <c r="AT196" s="318" t="n">
        <v>0</v>
      </c>
      <c r="AU196" s="318" t="n">
        <v>0.35</v>
      </c>
      <c r="AV196" s="318" t="n">
        <v>0</v>
      </c>
      <c r="AW196" s="318" t="n">
        <v>-0.06</v>
      </c>
      <c r="AX196" s="318" t="n">
        <v>-0.06</v>
      </c>
      <c r="AY196" s="318" t="n">
        <v>0</v>
      </c>
      <c r="BA196" s="318" t="n">
        <v>0</v>
      </c>
      <c r="BB196" s="318" t="n">
        <v>0</v>
      </c>
      <c r="BD196" s="318" t="n">
        <v>-0.0525</v>
      </c>
      <c r="BE196" s="318" t="n">
        <v>0</v>
      </c>
      <c r="BF196" s="318" t="n">
        <v>0</v>
      </c>
      <c r="BJ196" s="318" t="n">
        <v>0.46</v>
      </c>
      <c r="BK196" s="318" t="n">
        <v>0</v>
      </c>
      <c r="BL196" s="318" t="n">
        <v>-0.02</v>
      </c>
      <c r="BM196" s="318" t="n">
        <v>0.005</v>
      </c>
      <c r="BO196" s="318" t="n">
        <v>0</v>
      </c>
      <c r="BP196" s="318" t="n">
        <v>0.005</v>
      </c>
      <c r="BQ196" s="318" t="n">
        <v>0</v>
      </c>
      <c r="BR196" s="318" t="n">
        <v>0.055</v>
      </c>
      <c r="BS196" s="0"/>
      <c r="BT196" s="0" t="n">
        <v>0</v>
      </c>
      <c r="BU196" s="0" t="n">
        <v>0</v>
      </c>
      <c r="BV196" s="0" t="n">
        <v>0</v>
      </c>
    </row>
    <row r="197" customFormat="false" ht="12.75" hidden="false" customHeight="false" outlineLevel="0" collapsed="false">
      <c r="A197" s="320"/>
      <c r="B197" s="320" t="n">
        <v>3.937</v>
      </c>
      <c r="C197" s="327" t="n">
        <f aca="false">EOMONTH(C196,0)+1</f>
        <v>43101</v>
      </c>
      <c r="D197" s="0" t="n">
        <f aca="false">D185+0.05</f>
        <v>4.149</v>
      </c>
      <c r="E197" s="320" t="n">
        <v>0.17</v>
      </c>
      <c r="F197" s="318" t="n">
        <v>0.06230572223989</v>
      </c>
      <c r="G197" s="318"/>
      <c r="H197" s="318"/>
      <c r="I197" s="330"/>
      <c r="J197" s="330"/>
      <c r="K197" s="318"/>
      <c r="L197" s="318"/>
      <c r="M197" s="318"/>
      <c r="N197" s="318"/>
      <c r="O197" s="318"/>
      <c r="V197" s="318" t="n">
        <v>0.5</v>
      </c>
      <c r="W197" s="318" t="n">
        <v>0.215</v>
      </c>
      <c r="X197" s="318" t="n">
        <v>0.29</v>
      </c>
      <c r="Y197" s="318" t="n">
        <v>0</v>
      </c>
      <c r="Z197" s="318" t="n">
        <v>-0.0215</v>
      </c>
      <c r="AA197" s="318" t="n">
        <v>0.0155</v>
      </c>
      <c r="AB197" s="318" t="n">
        <v>0.000500000000000007</v>
      </c>
      <c r="AC197" s="318" t="n">
        <v>0</v>
      </c>
      <c r="AD197" s="318" t="n">
        <v>0</v>
      </c>
      <c r="AE197" s="318" t="n">
        <v>0</v>
      </c>
      <c r="AF197" s="318" t="n">
        <v>0</v>
      </c>
      <c r="AG197" s="318" t="n">
        <v>0</v>
      </c>
      <c r="AH197" s="318" t="n">
        <v>0</v>
      </c>
      <c r="AI197" s="318" t="n">
        <v>0</v>
      </c>
      <c r="AK197" s="318" t="n">
        <v>0</v>
      </c>
      <c r="AL197" s="318" t="n">
        <v>0</v>
      </c>
      <c r="AM197" s="318" t="n">
        <v>0.98</v>
      </c>
      <c r="AN197" s="318" t="n">
        <v>-0.045</v>
      </c>
      <c r="AO197" s="318" t="n">
        <v>0</v>
      </c>
      <c r="AP197" s="318" t="n">
        <v>-0.07</v>
      </c>
      <c r="AQ197" s="318" t="n">
        <v>-0.13</v>
      </c>
      <c r="AR197" s="318" t="n">
        <v>0</v>
      </c>
      <c r="AS197" s="318" t="n">
        <v>-0.26</v>
      </c>
      <c r="AT197" s="318" t="n">
        <v>0</v>
      </c>
      <c r="AU197" s="318" t="n">
        <v>0.35</v>
      </c>
      <c r="AV197" s="318" t="n">
        <v>0</v>
      </c>
      <c r="AW197" s="318" t="n">
        <v>-0.06</v>
      </c>
      <c r="AX197" s="318" t="n">
        <v>-0.06</v>
      </c>
      <c r="AY197" s="318" t="n">
        <v>0</v>
      </c>
      <c r="BA197" s="318" t="n">
        <v>0</v>
      </c>
      <c r="BB197" s="318" t="n">
        <v>0</v>
      </c>
      <c r="BD197" s="318" t="n">
        <v>-0.075</v>
      </c>
      <c r="BE197" s="318" t="n">
        <v>0</v>
      </c>
      <c r="BF197" s="318" t="n">
        <v>0</v>
      </c>
      <c r="BJ197" s="318" t="n">
        <v>0.77</v>
      </c>
      <c r="BK197" s="318" t="n">
        <v>0</v>
      </c>
      <c r="BL197" s="318" t="n">
        <v>-0.025</v>
      </c>
      <c r="BM197" s="318" t="n">
        <v>0.005</v>
      </c>
      <c r="BO197" s="318" t="n">
        <v>0</v>
      </c>
      <c r="BP197" s="318" t="n">
        <v>0.005</v>
      </c>
      <c r="BQ197" s="318" t="n">
        <v>0</v>
      </c>
      <c r="BR197" s="318" t="n">
        <v>0.25</v>
      </c>
      <c r="BS197" s="0"/>
      <c r="BT197" s="0" t="n">
        <v>0</v>
      </c>
      <c r="BU197" s="0" t="n">
        <v>0</v>
      </c>
      <c r="BV197" s="0" t="n">
        <v>0</v>
      </c>
    </row>
    <row r="198" customFormat="false" ht="12.75" hidden="false" customHeight="false" outlineLevel="0" collapsed="false">
      <c r="A198" s="320"/>
      <c r="B198" s="320" t="n">
        <v>4.002</v>
      </c>
      <c r="C198" s="327" t="n">
        <f aca="false">EOMONTH(C197,0)+1</f>
        <v>43132</v>
      </c>
      <c r="D198" s="0" t="n">
        <f aca="false">D186+0.05</f>
        <v>4.001</v>
      </c>
      <c r="E198" s="320" t="n">
        <v>0.17</v>
      </c>
      <c r="F198" s="318" t="n">
        <v>0.0623495504890865</v>
      </c>
      <c r="G198" s="318"/>
      <c r="H198" s="318"/>
      <c r="I198" s="330"/>
      <c r="J198" s="330"/>
      <c r="K198" s="318"/>
      <c r="L198" s="318"/>
      <c r="M198" s="318"/>
      <c r="N198" s="318"/>
      <c r="O198" s="318"/>
      <c r="V198" s="318" t="n">
        <v>0.5</v>
      </c>
      <c r="W198" s="318" t="n">
        <v>0.235</v>
      </c>
      <c r="X198" s="318" t="n">
        <v>0.34</v>
      </c>
      <c r="Y198" s="318" t="n">
        <v>0</v>
      </c>
      <c r="Z198" s="318" t="n">
        <v>-0.0215</v>
      </c>
      <c r="AA198" s="318" t="n">
        <v>0.0155</v>
      </c>
      <c r="AB198" s="318" t="n">
        <v>0.000500000000000007</v>
      </c>
      <c r="AC198" s="318" t="n">
        <v>0</v>
      </c>
      <c r="AD198" s="318" t="n">
        <v>0</v>
      </c>
      <c r="AE198" s="318" t="n">
        <v>0</v>
      </c>
      <c r="AF198" s="318" t="n">
        <v>0</v>
      </c>
      <c r="AG198" s="318" t="n">
        <v>0</v>
      </c>
      <c r="AH198" s="318" t="n">
        <v>0</v>
      </c>
      <c r="AI198" s="318" t="n">
        <v>0</v>
      </c>
      <c r="AK198" s="318" t="n">
        <v>0</v>
      </c>
      <c r="AL198" s="318" t="n">
        <v>0</v>
      </c>
      <c r="AM198" s="318" t="n">
        <v>1.6</v>
      </c>
      <c r="AN198" s="318" t="n">
        <v>-0.0475</v>
      </c>
      <c r="AO198" s="318" t="n">
        <v>0</v>
      </c>
      <c r="AP198" s="318" t="n">
        <v>-0.07</v>
      </c>
      <c r="AQ198" s="318" t="n">
        <v>-0.13</v>
      </c>
      <c r="AR198" s="318" t="n">
        <v>0</v>
      </c>
      <c r="AS198" s="318" t="n">
        <v>-0.26</v>
      </c>
      <c r="AT198" s="318" t="n">
        <v>0</v>
      </c>
      <c r="AU198" s="318" t="n">
        <v>0.35</v>
      </c>
      <c r="AV198" s="318" t="n">
        <v>0</v>
      </c>
      <c r="AW198" s="318" t="n">
        <v>-0.06</v>
      </c>
      <c r="AX198" s="318" t="n">
        <v>-0.06</v>
      </c>
      <c r="AY198" s="318" t="n">
        <v>0</v>
      </c>
      <c r="BA198" s="318" t="n">
        <v>0</v>
      </c>
      <c r="BB198" s="318" t="n">
        <v>0</v>
      </c>
      <c r="BD198" s="318" t="n">
        <v>-0.0775</v>
      </c>
      <c r="BE198" s="318" t="n">
        <v>0</v>
      </c>
      <c r="BF198" s="318" t="n">
        <v>0</v>
      </c>
      <c r="BJ198" s="318" t="n">
        <v>1.04</v>
      </c>
      <c r="BK198" s="318" t="n">
        <v>0</v>
      </c>
      <c r="BL198" s="318" t="n">
        <v>-0.025</v>
      </c>
      <c r="BM198" s="318" t="n">
        <v>0.005</v>
      </c>
      <c r="BO198" s="318" t="n">
        <v>0</v>
      </c>
      <c r="BP198" s="318" t="n">
        <v>0.005</v>
      </c>
      <c r="BQ198" s="318" t="n">
        <v>0</v>
      </c>
      <c r="BR198" s="318" t="n">
        <v>0.45</v>
      </c>
      <c r="BS198" s="0"/>
      <c r="BT198" s="0" t="n">
        <v>0</v>
      </c>
      <c r="BU198" s="0" t="n">
        <v>0</v>
      </c>
      <c r="BV198" s="0" t="n">
        <v>0</v>
      </c>
    </row>
    <row r="199" customFormat="false" ht="12.75" hidden="false" customHeight="false" outlineLevel="0" collapsed="false">
      <c r="A199" s="320"/>
      <c r="B199" s="320" t="n">
        <v>3.997</v>
      </c>
      <c r="C199" s="327" t="n">
        <f aca="false">EOMONTH(C198,0)+1</f>
        <v>43160</v>
      </c>
      <c r="D199" s="0" t="n">
        <f aca="false">D187+0.05</f>
        <v>3.95</v>
      </c>
      <c r="E199" s="320" t="n">
        <v>0.17</v>
      </c>
      <c r="F199" s="318" t="n">
        <v>0.0623933787389208</v>
      </c>
      <c r="G199" s="318"/>
      <c r="H199" s="318"/>
      <c r="I199" s="330"/>
      <c r="J199" s="330"/>
      <c r="K199" s="318"/>
      <c r="L199" s="318"/>
      <c r="M199" s="318"/>
      <c r="N199" s="318"/>
      <c r="O199" s="318"/>
      <c r="V199" s="318" t="n">
        <v>0.5</v>
      </c>
      <c r="W199" s="318" t="n">
        <v>0.235</v>
      </c>
      <c r="X199" s="318" t="n">
        <v>0.34</v>
      </c>
      <c r="Y199" s="318" t="n">
        <v>0</v>
      </c>
      <c r="Z199" s="318" t="n">
        <v>-0.0215</v>
      </c>
      <c r="AA199" s="318" t="n">
        <v>0.0155</v>
      </c>
      <c r="AB199" s="318" t="n">
        <v>0.000500000000000007</v>
      </c>
      <c r="AC199" s="318" t="n">
        <v>0</v>
      </c>
      <c r="AD199" s="318" t="n">
        <v>0</v>
      </c>
      <c r="AE199" s="318" t="n">
        <v>0</v>
      </c>
      <c r="AF199" s="318" t="n">
        <v>0</v>
      </c>
      <c r="AG199" s="318" t="n">
        <v>0</v>
      </c>
      <c r="AH199" s="318" t="n">
        <v>0</v>
      </c>
      <c r="AI199" s="318" t="n">
        <v>0</v>
      </c>
      <c r="AK199" s="318" t="n">
        <v>0</v>
      </c>
      <c r="AL199" s="318" t="n">
        <v>0</v>
      </c>
      <c r="AM199" s="318" t="n">
        <v>1.6</v>
      </c>
      <c r="AN199" s="318" t="n">
        <v>-0.03</v>
      </c>
      <c r="AO199" s="318" t="n">
        <v>0</v>
      </c>
      <c r="AP199" s="318" t="n">
        <v>-0.07</v>
      </c>
      <c r="AQ199" s="318" t="n">
        <v>-0.13</v>
      </c>
      <c r="AR199" s="318" t="n">
        <v>0</v>
      </c>
      <c r="AS199" s="318" t="n">
        <v>-0.26</v>
      </c>
      <c r="AT199" s="318" t="n">
        <v>0</v>
      </c>
      <c r="AU199" s="318" t="n">
        <v>0.35</v>
      </c>
      <c r="AV199" s="318" t="n">
        <v>0</v>
      </c>
      <c r="AW199" s="318" t="n">
        <v>-0.06</v>
      </c>
      <c r="AX199" s="318" t="n">
        <v>-0.06</v>
      </c>
      <c r="AY199" s="318" t="n">
        <v>0</v>
      </c>
      <c r="BA199" s="318" t="n">
        <v>0</v>
      </c>
      <c r="BB199" s="318" t="n">
        <v>0</v>
      </c>
      <c r="BD199" s="318" t="n">
        <v>-0.06</v>
      </c>
      <c r="BE199" s="318" t="n">
        <v>0</v>
      </c>
      <c r="BF199" s="318" t="n">
        <v>0</v>
      </c>
      <c r="BJ199" s="318" t="n">
        <v>1.04</v>
      </c>
      <c r="BK199" s="318" t="n">
        <v>0</v>
      </c>
      <c r="BL199" s="318" t="n">
        <v>-0.025</v>
      </c>
      <c r="BM199" s="318" t="n">
        <v>0.005</v>
      </c>
      <c r="BO199" s="318" t="n">
        <v>0</v>
      </c>
      <c r="BP199" s="318" t="n">
        <v>0.005</v>
      </c>
      <c r="BQ199" s="318" t="n">
        <v>0</v>
      </c>
      <c r="BR199" s="318" t="n">
        <v>0.45</v>
      </c>
      <c r="BS199" s="0"/>
      <c r="BT199" s="0" t="n">
        <v>0</v>
      </c>
      <c r="BU199" s="0" t="n">
        <v>0</v>
      </c>
      <c r="BV199" s="0" t="n">
        <v>0</v>
      </c>
    </row>
    <row r="200" customFormat="false" ht="12.75" hidden="false" customHeight="false" outlineLevel="0" collapsed="false">
      <c r="A200" s="320"/>
      <c r="B200" s="320" t="n">
        <v>3.974</v>
      </c>
      <c r="C200" s="327" t="n">
        <f aca="false">EOMONTH(C199,0)+1</f>
        <v>43191</v>
      </c>
      <c r="D200" s="0" t="n">
        <f aca="false">D188+0.05</f>
        <v>3.731</v>
      </c>
      <c r="E200" s="320" t="n">
        <v>0.17</v>
      </c>
      <c r="F200" s="318" t="n">
        <v>0.0624329655457703</v>
      </c>
      <c r="G200" s="318"/>
      <c r="H200" s="318"/>
      <c r="I200" s="330"/>
      <c r="J200" s="330"/>
      <c r="K200" s="318"/>
      <c r="L200" s="318"/>
      <c r="M200" s="318"/>
      <c r="N200" s="318"/>
      <c r="O200" s="318"/>
      <c r="V200" s="318" t="n">
        <v>0.5</v>
      </c>
      <c r="W200" s="318" t="n">
        <v>0.195</v>
      </c>
      <c r="X200" s="318" t="n">
        <v>0.29</v>
      </c>
      <c r="Y200" s="318" t="n">
        <v>0</v>
      </c>
      <c r="Z200" s="318" t="n">
        <v>-0.0215</v>
      </c>
      <c r="AA200" s="318" t="n">
        <v>0.023</v>
      </c>
      <c r="AB200" s="318" t="n">
        <v>0.008</v>
      </c>
      <c r="AC200" s="318" t="n">
        <v>0</v>
      </c>
      <c r="AD200" s="318" t="n">
        <v>0</v>
      </c>
      <c r="AE200" s="318" t="n">
        <v>0</v>
      </c>
      <c r="AF200" s="318" t="n">
        <v>0</v>
      </c>
      <c r="AG200" s="318" t="n">
        <v>0</v>
      </c>
      <c r="AH200" s="318" t="n">
        <v>0</v>
      </c>
      <c r="AI200" s="318" t="n">
        <v>0</v>
      </c>
      <c r="AK200" s="318" t="n">
        <v>0</v>
      </c>
      <c r="AL200" s="318" t="n">
        <v>0</v>
      </c>
      <c r="AM200" s="318" t="n">
        <v>0.64</v>
      </c>
      <c r="AN200" s="318" t="n">
        <v>-0.0175</v>
      </c>
      <c r="AO200" s="318" t="n">
        <v>0</v>
      </c>
      <c r="AP200" s="318" t="n">
        <v>-0.07</v>
      </c>
      <c r="AQ200" s="318" t="n">
        <v>-0.13</v>
      </c>
      <c r="AR200" s="318" t="n">
        <v>0</v>
      </c>
      <c r="AS200" s="318" t="n">
        <v>-0.26</v>
      </c>
      <c r="AT200" s="318" t="n">
        <v>0</v>
      </c>
      <c r="AU200" s="318" t="n">
        <v>0.35</v>
      </c>
      <c r="AV200" s="318" t="n">
        <v>0</v>
      </c>
      <c r="AW200" s="318" t="n">
        <v>-0.06</v>
      </c>
      <c r="AX200" s="318" t="n">
        <v>-0.06</v>
      </c>
      <c r="AY200" s="318" t="n">
        <v>0</v>
      </c>
      <c r="BA200" s="318" t="n">
        <v>0</v>
      </c>
      <c r="BB200" s="318" t="n">
        <v>0</v>
      </c>
      <c r="BD200" s="318" t="n">
        <v>-0.0475</v>
      </c>
      <c r="BE200" s="318" t="n">
        <v>0</v>
      </c>
      <c r="BF200" s="318" t="n">
        <v>0</v>
      </c>
      <c r="BJ200" s="318" t="n">
        <v>0.54</v>
      </c>
      <c r="BK200" s="318" t="n">
        <v>0</v>
      </c>
      <c r="BL200" s="318" t="n">
        <v>-0.02</v>
      </c>
      <c r="BM200" s="318" t="n">
        <v>0.005</v>
      </c>
      <c r="BO200" s="318" t="n">
        <v>0</v>
      </c>
      <c r="BP200" s="318" t="n">
        <v>0.005</v>
      </c>
      <c r="BQ200" s="318" t="n">
        <v>0</v>
      </c>
      <c r="BR200" s="318" t="n">
        <v>0.1</v>
      </c>
      <c r="BS200" s="0"/>
      <c r="BT200" s="0" t="n">
        <v>0</v>
      </c>
      <c r="BU200" s="0" t="n">
        <v>0</v>
      </c>
      <c r="BV200" s="0" t="n">
        <v>0</v>
      </c>
    </row>
    <row r="201" customFormat="false" ht="12.75" hidden="false" customHeight="false" outlineLevel="0" collapsed="false">
      <c r="A201" s="320"/>
      <c r="B201" s="320" t="n">
        <v>3.979</v>
      </c>
      <c r="C201" s="327" t="n">
        <f aca="false">EOMONTH(C200,0)+1</f>
        <v>43221</v>
      </c>
      <c r="D201" s="0" t="n">
        <f aca="false">D189+0.05</f>
        <v>3.734</v>
      </c>
      <c r="E201" s="320" t="n">
        <v>0.17</v>
      </c>
      <c r="F201" s="318" t="n">
        <v>0.0624767937968178</v>
      </c>
      <c r="G201" s="318"/>
      <c r="H201" s="318"/>
      <c r="I201" s="330"/>
      <c r="J201" s="330"/>
      <c r="K201" s="318"/>
      <c r="L201" s="318"/>
      <c r="M201" s="318"/>
      <c r="N201" s="318"/>
      <c r="O201" s="318"/>
      <c r="V201" s="318" t="n">
        <v>0.5</v>
      </c>
      <c r="W201" s="318" t="n">
        <v>0.145</v>
      </c>
      <c r="X201" s="318" t="n">
        <v>0.195</v>
      </c>
      <c r="Y201" s="318" t="n">
        <v>0</v>
      </c>
      <c r="Z201" s="318" t="n">
        <v>-0.0365</v>
      </c>
      <c r="AA201" s="318" t="n">
        <v>0.023</v>
      </c>
      <c r="AB201" s="318" t="n">
        <v>0.008</v>
      </c>
      <c r="AC201" s="318" t="n">
        <v>0</v>
      </c>
      <c r="AD201" s="318" t="n">
        <v>0</v>
      </c>
      <c r="AE201" s="318" t="n">
        <v>0</v>
      </c>
      <c r="AF201" s="318" t="n">
        <v>0</v>
      </c>
      <c r="AG201" s="318" t="n">
        <v>0</v>
      </c>
      <c r="AH201" s="318" t="n">
        <v>0</v>
      </c>
      <c r="AI201" s="318" t="n">
        <v>0</v>
      </c>
      <c r="AK201" s="318" t="n">
        <v>0</v>
      </c>
      <c r="AL201" s="318" t="n">
        <v>0</v>
      </c>
      <c r="AM201" s="318" t="n">
        <v>0.38</v>
      </c>
      <c r="AN201" s="318" t="n">
        <v>0.02</v>
      </c>
      <c r="AO201" s="318" t="n">
        <v>0</v>
      </c>
      <c r="AP201" s="318" t="n">
        <v>-0.07</v>
      </c>
      <c r="AQ201" s="318" t="n">
        <v>-0.195</v>
      </c>
      <c r="AR201" s="318" t="n">
        <v>0</v>
      </c>
      <c r="AS201" s="318" t="n">
        <v>-0.37</v>
      </c>
      <c r="AT201" s="318" t="n">
        <v>0</v>
      </c>
      <c r="AU201" s="318" t="n">
        <v>0.43</v>
      </c>
      <c r="AV201" s="318" t="n">
        <v>0</v>
      </c>
      <c r="AW201" s="318" t="n">
        <v>-0.06</v>
      </c>
      <c r="AX201" s="318" t="n">
        <v>-0.06</v>
      </c>
      <c r="AY201" s="318" t="n">
        <v>0</v>
      </c>
      <c r="BA201" s="318" t="n">
        <v>0</v>
      </c>
      <c r="BB201" s="318" t="n">
        <v>0</v>
      </c>
      <c r="BD201" s="318" t="n">
        <v>-0.01</v>
      </c>
      <c r="BE201" s="318" t="n">
        <v>0</v>
      </c>
      <c r="BF201" s="318" t="n">
        <v>0</v>
      </c>
      <c r="BJ201" s="318" t="n">
        <v>0.36</v>
      </c>
      <c r="BK201" s="318" t="n">
        <v>0</v>
      </c>
      <c r="BL201" s="318" t="n">
        <v>-0.015</v>
      </c>
      <c r="BM201" s="318" t="n">
        <v>0.005</v>
      </c>
      <c r="BO201" s="318" t="n">
        <v>0</v>
      </c>
      <c r="BP201" s="318" t="n">
        <v>0.005</v>
      </c>
      <c r="BQ201" s="318" t="n">
        <v>0</v>
      </c>
      <c r="BR201" s="318" t="n">
        <v>0.02</v>
      </c>
      <c r="BS201" s="0"/>
      <c r="BT201" s="0" t="n">
        <v>0</v>
      </c>
      <c r="BU201" s="0" t="n">
        <v>0</v>
      </c>
      <c r="BV201" s="0" t="n">
        <v>0</v>
      </c>
    </row>
    <row r="202" customFormat="false" ht="12.75" hidden="false" customHeight="false" outlineLevel="0" collapsed="false">
      <c r="A202" s="320"/>
      <c r="B202" s="320" t="n">
        <v>4.026</v>
      </c>
      <c r="C202" s="327" t="n">
        <f aca="false">EOMONTH(C201,0)+1</f>
        <v>43252</v>
      </c>
      <c r="D202" s="0" t="n">
        <f aca="false">D190+0.05</f>
        <v>3.774</v>
      </c>
      <c r="E202" s="320" t="n">
        <v>0.17</v>
      </c>
      <c r="F202" s="318" t="n">
        <v>0.0625192082339221</v>
      </c>
      <c r="G202" s="318"/>
      <c r="H202" s="318"/>
      <c r="I202" s="330"/>
      <c r="J202" s="330"/>
      <c r="K202" s="318"/>
      <c r="L202" s="318"/>
      <c r="M202" s="318"/>
      <c r="N202" s="318"/>
      <c r="O202" s="318"/>
      <c r="V202" s="318" t="n">
        <v>0.5</v>
      </c>
      <c r="W202" s="318" t="n">
        <v>0.125</v>
      </c>
      <c r="X202" s="318" t="n">
        <v>0.135</v>
      </c>
      <c r="Y202" s="318" t="n">
        <v>0</v>
      </c>
      <c r="Z202" s="318" t="n">
        <v>-0.0365</v>
      </c>
      <c r="AA202" s="318" t="n">
        <v>0.0255</v>
      </c>
      <c r="AB202" s="318" t="n">
        <v>0.0105</v>
      </c>
      <c r="AC202" s="318" t="n">
        <v>0</v>
      </c>
      <c r="AD202" s="318" t="n">
        <v>0</v>
      </c>
      <c r="AE202" s="318" t="n">
        <v>0</v>
      </c>
      <c r="AF202" s="318" t="n">
        <v>0</v>
      </c>
      <c r="AG202" s="318" t="n">
        <v>0</v>
      </c>
      <c r="AH202" s="318" t="n">
        <v>0</v>
      </c>
      <c r="AI202" s="318" t="n">
        <v>0</v>
      </c>
      <c r="AK202" s="318" t="n">
        <v>0</v>
      </c>
      <c r="AL202" s="318" t="n">
        <v>0</v>
      </c>
      <c r="AM202" s="318" t="n">
        <v>0.33</v>
      </c>
      <c r="AN202" s="318" t="n">
        <v>0.02</v>
      </c>
      <c r="AO202" s="318" t="n">
        <v>0</v>
      </c>
      <c r="AP202" s="318" t="n">
        <v>-0.07</v>
      </c>
      <c r="AQ202" s="318" t="n">
        <v>-0.195</v>
      </c>
      <c r="AR202" s="318" t="n">
        <v>0</v>
      </c>
      <c r="AS202" s="318" t="n">
        <v>-0.37</v>
      </c>
      <c r="AT202" s="318" t="n">
        <v>0</v>
      </c>
      <c r="AU202" s="318" t="n">
        <v>0.43</v>
      </c>
      <c r="AV202" s="318" t="n">
        <v>0</v>
      </c>
      <c r="AW202" s="318" t="n">
        <v>-0.06</v>
      </c>
      <c r="AX202" s="318" t="n">
        <v>-0.06</v>
      </c>
      <c r="AY202" s="318" t="n">
        <v>0</v>
      </c>
      <c r="BA202" s="318" t="n">
        <v>0</v>
      </c>
      <c r="BB202" s="318" t="n">
        <v>0</v>
      </c>
      <c r="BD202" s="318" t="n">
        <v>-0.01</v>
      </c>
      <c r="BE202" s="318" t="n">
        <v>0</v>
      </c>
      <c r="BF202" s="318" t="n">
        <v>0</v>
      </c>
      <c r="BJ202" s="318" t="n">
        <v>0.325</v>
      </c>
      <c r="BK202" s="318" t="n">
        <v>0</v>
      </c>
      <c r="BL202" s="318" t="n">
        <v>-0.015</v>
      </c>
      <c r="BM202" s="318" t="n">
        <v>0.005</v>
      </c>
      <c r="BO202" s="318" t="n">
        <v>0</v>
      </c>
      <c r="BP202" s="318" t="n">
        <v>0.005</v>
      </c>
      <c r="BQ202" s="318" t="n">
        <v>0</v>
      </c>
      <c r="BR202" s="318" t="n">
        <v>0.02</v>
      </c>
      <c r="BS202" s="0"/>
      <c r="BT202" s="0" t="n">
        <v>0</v>
      </c>
      <c r="BU202" s="0" t="n">
        <v>0</v>
      </c>
      <c r="BV202" s="0" t="n">
        <v>0</v>
      </c>
    </row>
    <row r="203" customFormat="false" ht="12.75" hidden="false" customHeight="false" outlineLevel="0" collapsed="false">
      <c r="A203" s="320"/>
      <c r="B203" s="320" t="n">
        <v>4.096</v>
      </c>
      <c r="C203" s="327" t="n">
        <f aca="false">EOMONTH(C202,0)+1</f>
        <v>43282</v>
      </c>
      <c r="D203" s="0" t="n">
        <f aca="false">D191+0.05</f>
        <v>3.814</v>
      </c>
      <c r="E203" s="320" t="n">
        <v>0.17</v>
      </c>
      <c r="F203" s="318" t="n">
        <v>0.0625630364862237</v>
      </c>
      <c r="G203" s="318"/>
      <c r="H203" s="318"/>
      <c r="I203" s="330"/>
      <c r="J203" s="330"/>
      <c r="K203" s="318"/>
      <c r="L203" s="318"/>
      <c r="M203" s="318"/>
      <c r="N203" s="318"/>
      <c r="O203" s="318"/>
      <c r="V203" s="318" t="n">
        <v>0.5</v>
      </c>
      <c r="W203" s="318" t="n">
        <v>0.145</v>
      </c>
      <c r="X203" s="318" t="n">
        <v>0.165</v>
      </c>
      <c r="Y203" s="318" t="n">
        <v>0</v>
      </c>
      <c r="Z203" s="318" t="n">
        <v>-0.034</v>
      </c>
      <c r="AA203" s="318" t="n">
        <v>0.0255</v>
      </c>
      <c r="AB203" s="318" t="n">
        <v>0.0105</v>
      </c>
      <c r="AC203" s="318" t="n">
        <v>0</v>
      </c>
      <c r="AD203" s="318" t="n">
        <v>0</v>
      </c>
      <c r="AE203" s="318" t="n">
        <v>0</v>
      </c>
      <c r="AF203" s="318" t="n">
        <v>0</v>
      </c>
      <c r="AG203" s="318" t="n">
        <v>0</v>
      </c>
      <c r="AH203" s="318" t="n">
        <v>0</v>
      </c>
      <c r="AI203" s="318" t="n">
        <v>0</v>
      </c>
      <c r="AK203" s="318" t="n">
        <v>0</v>
      </c>
      <c r="AL203" s="318" t="n">
        <v>0</v>
      </c>
      <c r="AM203" s="318" t="n">
        <v>0.37</v>
      </c>
      <c r="AN203" s="318" t="n">
        <v>0.025</v>
      </c>
      <c r="AO203" s="318" t="n">
        <v>0</v>
      </c>
      <c r="AP203" s="318" t="n">
        <v>-0.07</v>
      </c>
      <c r="AQ203" s="318" t="n">
        <v>-0.195</v>
      </c>
      <c r="AR203" s="318" t="n">
        <v>0</v>
      </c>
      <c r="AS203" s="318" t="n">
        <v>-0.37</v>
      </c>
      <c r="AT203" s="318" t="n">
        <v>0</v>
      </c>
      <c r="AU203" s="318" t="n">
        <v>0.43</v>
      </c>
      <c r="AV203" s="318" t="n">
        <v>0</v>
      </c>
      <c r="AW203" s="318" t="n">
        <v>-0.06</v>
      </c>
      <c r="AX203" s="318" t="n">
        <v>-0.06</v>
      </c>
      <c r="AY203" s="318" t="n">
        <v>0</v>
      </c>
      <c r="BA203" s="318" t="n">
        <v>0</v>
      </c>
      <c r="BB203" s="318" t="n">
        <v>0</v>
      </c>
      <c r="BD203" s="318" t="n">
        <v>-0.005</v>
      </c>
      <c r="BE203" s="318" t="n">
        <v>0</v>
      </c>
      <c r="BF203" s="318" t="n">
        <v>0</v>
      </c>
      <c r="BJ203" s="318" t="n">
        <v>0.335</v>
      </c>
      <c r="BK203" s="318" t="n">
        <v>0</v>
      </c>
      <c r="BL203" s="318" t="n">
        <v>-0.015</v>
      </c>
      <c r="BM203" s="318" t="n">
        <v>0.005</v>
      </c>
      <c r="BO203" s="318" t="n">
        <v>0</v>
      </c>
      <c r="BP203" s="318" t="n">
        <v>0.005</v>
      </c>
      <c r="BQ203" s="318" t="n">
        <v>0</v>
      </c>
      <c r="BR203" s="318" t="n">
        <v>0.035</v>
      </c>
      <c r="BS203" s="0"/>
      <c r="BT203" s="0" t="n">
        <v>0</v>
      </c>
      <c r="BU203" s="0" t="n">
        <v>0</v>
      </c>
      <c r="BV203" s="0" t="n">
        <v>0</v>
      </c>
    </row>
    <row r="204" customFormat="false" ht="12.75" hidden="false" customHeight="false" outlineLevel="0" collapsed="false">
      <c r="A204" s="320"/>
      <c r="B204" s="320" t="n">
        <v>4.366</v>
      </c>
      <c r="C204" s="327" t="n">
        <f aca="false">EOMONTH(C203,0)+1</f>
        <v>43313</v>
      </c>
      <c r="D204" s="0" t="n">
        <f aca="false">D192+0.05</f>
        <v>3.864</v>
      </c>
      <c r="E204" s="320" t="n">
        <v>0.17</v>
      </c>
      <c r="F204" s="318" t="n">
        <v>0.0626054509245422</v>
      </c>
      <c r="G204" s="318"/>
      <c r="H204" s="318"/>
      <c r="I204" s="330"/>
      <c r="J204" s="330"/>
      <c r="K204" s="318"/>
      <c r="L204" s="318"/>
      <c r="M204" s="318"/>
      <c r="N204" s="318"/>
      <c r="O204" s="318"/>
      <c r="V204" s="318" t="n">
        <v>0.5</v>
      </c>
      <c r="W204" s="318" t="n">
        <v>0.15</v>
      </c>
      <c r="X204" s="318" t="n">
        <v>0.205</v>
      </c>
      <c r="Y204" s="318" t="n">
        <v>0</v>
      </c>
      <c r="Z204" s="318" t="n">
        <v>-0.034</v>
      </c>
      <c r="AA204" s="318" t="n">
        <v>0.0255</v>
      </c>
      <c r="AB204" s="318" t="n">
        <v>0.0105</v>
      </c>
      <c r="AC204" s="318" t="n">
        <v>0</v>
      </c>
      <c r="AD204" s="318" t="n">
        <v>0</v>
      </c>
      <c r="AE204" s="318" t="n">
        <v>0</v>
      </c>
      <c r="AF204" s="318" t="n">
        <v>0</v>
      </c>
      <c r="AG204" s="318" t="n">
        <v>0</v>
      </c>
      <c r="AH204" s="318" t="n">
        <v>0</v>
      </c>
      <c r="AI204" s="318" t="n">
        <v>0</v>
      </c>
      <c r="AK204" s="318" t="n">
        <v>0</v>
      </c>
      <c r="AL204" s="318" t="n">
        <v>0</v>
      </c>
      <c r="AM204" s="318" t="n">
        <v>0.41</v>
      </c>
      <c r="AN204" s="318" t="n">
        <v>0.0275</v>
      </c>
      <c r="AO204" s="318" t="n">
        <v>0</v>
      </c>
      <c r="AP204" s="318" t="n">
        <v>-0.07</v>
      </c>
      <c r="AQ204" s="318" t="n">
        <v>-0.195</v>
      </c>
      <c r="AR204" s="318" t="n">
        <v>0</v>
      </c>
      <c r="AS204" s="318" t="n">
        <v>-0.37</v>
      </c>
      <c r="AT204" s="318" t="n">
        <v>0</v>
      </c>
      <c r="AU204" s="318" t="n">
        <v>0.43</v>
      </c>
      <c r="AV204" s="318" t="n">
        <v>0</v>
      </c>
      <c r="AW204" s="318" t="n">
        <v>-0.06</v>
      </c>
      <c r="AX204" s="318" t="n">
        <v>-0.06</v>
      </c>
      <c r="AY204" s="318" t="n">
        <v>0</v>
      </c>
      <c r="BA204" s="318" t="n">
        <v>0</v>
      </c>
      <c r="BB204" s="318" t="n">
        <v>0</v>
      </c>
      <c r="BD204" s="318" t="n">
        <v>-0.0025</v>
      </c>
      <c r="BE204" s="318" t="n">
        <v>0</v>
      </c>
      <c r="BF204" s="318" t="n">
        <v>0</v>
      </c>
      <c r="BJ204" s="318" t="n">
        <v>0.35</v>
      </c>
      <c r="BK204" s="318" t="n">
        <v>0</v>
      </c>
      <c r="BL204" s="318" t="n">
        <v>-0.01</v>
      </c>
      <c r="BM204" s="318" t="n">
        <v>0.005</v>
      </c>
      <c r="BO204" s="318" t="n">
        <v>0</v>
      </c>
      <c r="BP204" s="318" t="n">
        <v>0.005</v>
      </c>
      <c r="BQ204" s="318" t="n">
        <v>0</v>
      </c>
      <c r="BR204" s="318" t="n">
        <v>0.035</v>
      </c>
      <c r="BS204" s="0"/>
      <c r="BT204" s="0" t="n">
        <v>0</v>
      </c>
      <c r="BU204" s="0" t="n">
        <v>0</v>
      </c>
      <c r="BV204" s="0" t="n">
        <v>0</v>
      </c>
    </row>
    <row r="205" customFormat="false" ht="12.75" hidden="false" customHeight="false" outlineLevel="0" collapsed="false">
      <c r="A205" s="320"/>
      <c r="B205" s="320" t="n">
        <v>4.295</v>
      </c>
      <c r="C205" s="327" t="n">
        <f aca="false">EOMONTH(C204,0)+1</f>
        <v>43344</v>
      </c>
      <c r="D205" s="0" t="n">
        <f aca="false">D193+0.05</f>
        <v>3.849</v>
      </c>
      <c r="E205" s="320" t="n">
        <v>0.17</v>
      </c>
      <c r="F205" s="318" t="n">
        <v>0.0626492791780979</v>
      </c>
      <c r="G205" s="318"/>
      <c r="H205" s="318"/>
      <c r="I205" s="330"/>
      <c r="J205" s="330"/>
      <c r="K205" s="318"/>
      <c r="L205" s="318"/>
      <c r="M205" s="318"/>
      <c r="N205" s="318"/>
      <c r="O205" s="318"/>
      <c r="V205" s="318" t="n">
        <v>0.5</v>
      </c>
      <c r="W205" s="318" t="n">
        <v>0.15</v>
      </c>
      <c r="X205" s="318" t="n">
        <v>0.205</v>
      </c>
      <c r="Y205" s="318" t="n">
        <v>0</v>
      </c>
      <c r="Z205" s="318" t="n">
        <v>-0.034</v>
      </c>
      <c r="AA205" s="318" t="n">
        <v>0.0205</v>
      </c>
      <c r="AB205" s="318" t="n">
        <v>0.0055</v>
      </c>
      <c r="AC205" s="318" t="n">
        <v>0</v>
      </c>
      <c r="AD205" s="318" t="n">
        <v>0</v>
      </c>
      <c r="AE205" s="318" t="n">
        <v>0</v>
      </c>
      <c r="AF205" s="318" t="n">
        <v>0</v>
      </c>
      <c r="AG205" s="318" t="n">
        <v>0</v>
      </c>
      <c r="AH205" s="318" t="n">
        <v>0</v>
      </c>
      <c r="AI205" s="318" t="n">
        <v>0</v>
      </c>
      <c r="AK205" s="318" t="n">
        <v>0</v>
      </c>
      <c r="AL205" s="318" t="n">
        <v>0</v>
      </c>
      <c r="AM205" s="318" t="n">
        <v>0.41</v>
      </c>
      <c r="AN205" s="318" t="n">
        <v>0.03</v>
      </c>
      <c r="AO205" s="318" t="n">
        <v>0</v>
      </c>
      <c r="AP205" s="318" t="n">
        <v>-0.07</v>
      </c>
      <c r="AQ205" s="318" t="n">
        <v>-0.195</v>
      </c>
      <c r="AR205" s="318" t="n">
        <v>0</v>
      </c>
      <c r="AS205" s="318" t="n">
        <v>-0.37</v>
      </c>
      <c r="AT205" s="318" t="n">
        <v>0</v>
      </c>
      <c r="AU205" s="318" t="n">
        <v>0.43</v>
      </c>
      <c r="AV205" s="318" t="n">
        <v>0</v>
      </c>
      <c r="AW205" s="318" t="n">
        <v>-0.06</v>
      </c>
      <c r="AX205" s="318" t="n">
        <v>-0.06</v>
      </c>
      <c r="AY205" s="318" t="n">
        <v>0</v>
      </c>
      <c r="BA205" s="318" t="n">
        <v>0</v>
      </c>
      <c r="BB205" s="318" t="n">
        <v>0</v>
      </c>
      <c r="BD205" s="318" t="n">
        <v>0</v>
      </c>
      <c r="BE205" s="318" t="n">
        <v>0</v>
      </c>
      <c r="BF205" s="318" t="n">
        <v>0</v>
      </c>
      <c r="BJ205" s="318" t="n">
        <v>0.35</v>
      </c>
      <c r="BK205" s="318" t="n">
        <v>0</v>
      </c>
      <c r="BL205" s="318" t="n">
        <v>-0.01</v>
      </c>
      <c r="BM205" s="318" t="n">
        <v>0.005</v>
      </c>
      <c r="BO205" s="318" t="n">
        <v>0</v>
      </c>
      <c r="BP205" s="318" t="n">
        <v>0.005</v>
      </c>
      <c r="BQ205" s="318" t="n">
        <v>0</v>
      </c>
      <c r="BR205" s="318" t="n">
        <v>0.01</v>
      </c>
      <c r="BS205" s="0"/>
      <c r="BT205" s="0" t="n">
        <v>0</v>
      </c>
      <c r="BU205" s="0" t="n">
        <v>0</v>
      </c>
      <c r="BV205" s="0" t="n">
        <v>0</v>
      </c>
    </row>
    <row r="206" customFormat="false" ht="12.75" hidden="false" customHeight="false" outlineLevel="0" collapsed="false">
      <c r="A206" s="320"/>
      <c r="B206" s="320" t="n">
        <v>4.179</v>
      </c>
      <c r="C206" s="327" t="n">
        <f aca="false">EOMONTH(C205,0)+1</f>
        <v>43374</v>
      </c>
      <c r="D206" s="0" t="n">
        <f aca="false">D194+0.05</f>
        <v>3.864</v>
      </c>
      <c r="E206" s="320" t="n">
        <v>0.17</v>
      </c>
      <c r="F206" s="318" t="n">
        <v>0.0626931074322914</v>
      </c>
      <c r="G206" s="318"/>
      <c r="H206" s="318"/>
      <c r="I206" s="330"/>
      <c r="J206" s="330"/>
      <c r="K206" s="318"/>
      <c r="L206" s="318"/>
      <c r="M206" s="318"/>
      <c r="N206" s="318"/>
      <c r="O206" s="318"/>
      <c r="V206" s="318" t="n">
        <v>0.5</v>
      </c>
      <c r="W206" s="318" t="n">
        <v>0.125</v>
      </c>
      <c r="X206" s="318" t="n">
        <v>0.145</v>
      </c>
      <c r="Y206" s="318" t="n">
        <v>0</v>
      </c>
      <c r="Z206" s="318" t="n">
        <v>-0.039</v>
      </c>
      <c r="AA206" s="318" t="n">
        <v>0.0205</v>
      </c>
      <c r="AB206" s="318" t="n">
        <v>0.0055</v>
      </c>
      <c r="AC206" s="318" t="n">
        <v>0</v>
      </c>
      <c r="AD206" s="318" t="n">
        <v>0</v>
      </c>
      <c r="AE206" s="318" t="n">
        <v>0</v>
      </c>
      <c r="AF206" s="318" t="n">
        <v>0</v>
      </c>
      <c r="AG206" s="318" t="n">
        <v>0</v>
      </c>
      <c r="AH206" s="318" t="n">
        <v>0</v>
      </c>
      <c r="AI206" s="318" t="n">
        <v>0</v>
      </c>
      <c r="AK206" s="318" t="n">
        <v>0</v>
      </c>
      <c r="AL206" s="318" t="n">
        <v>0</v>
      </c>
      <c r="AM206" s="318" t="n">
        <v>0.36</v>
      </c>
      <c r="AN206" s="318" t="n">
        <v>0.0225</v>
      </c>
      <c r="AO206" s="318" t="n">
        <v>0</v>
      </c>
      <c r="AP206" s="318" t="n">
        <v>-0.07</v>
      </c>
      <c r="AQ206" s="318" t="n">
        <v>-0.195</v>
      </c>
      <c r="AR206" s="318" t="n">
        <v>0</v>
      </c>
      <c r="AS206" s="318" t="n">
        <v>-0.37</v>
      </c>
      <c r="AT206" s="318" t="n">
        <v>0</v>
      </c>
      <c r="AU206" s="318" t="n">
        <v>0.43</v>
      </c>
      <c r="AV206" s="318" t="n">
        <v>0</v>
      </c>
      <c r="AW206" s="318" t="n">
        <v>-0.06</v>
      </c>
      <c r="AX206" s="318" t="n">
        <v>-0.06</v>
      </c>
      <c r="AY206" s="318" t="n">
        <v>0</v>
      </c>
      <c r="BA206" s="318" t="n">
        <v>0</v>
      </c>
      <c r="BB206" s="318" t="n">
        <v>0</v>
      </c>
      <c r="BD206" s="318" t="n">
        <v>-0.0075</v>
      </c>
      <c r="BE206" s="318" t="n">
        <v>0</v>
      </c>
      <c r="BF206" s="318" t="n">
        <v>0</v>
      </c>
      <c r="BJ206" s="318" t="n">
        <v>0.315</v>
      </c>
      <c r="BK206" s="318" t="n">
        <v>0</v>
      </c>
      <c r="BL206" s="318" t="n">
        <v>-0.01</v>
      </c>
      <c r="BM206" s="318" t="n">
        <v>0.005</v>
      </c>
      <c r="BO206" s="318" t="n">
        <v>0</v>
      </c>
      <c r="BP206" s="318" t="n">
        <v>0.005</v>
      </c>
      <c r="BQ206" s="318" t="n">
        <v>0</v>
      </c>
      <c r="BR206" s="318" t="n">
        <v>0.01</v>
      </c>
      <c r="BS206" s="0"/>
      <c r="BT206" s="0" t="n">
        <v>0</v>
      </c>
      <c r="BU206" s="0" t="n">
        <v>0</v>
      </c>
      <c r="BV206" s="0" t="n">
        <v>0</v>
      </c>
    </row>
    <row r="207" customFormat="false" ht="12.75" hidden="false" customHeight="false" outlineLevel="0" collapsed="false">
      <c r="A207" s="320"/>
      <c r="B207" s="320" t="n">
        <v>4.066</v>
      </c>
      <c r="C207" s="327" t="n">
        <f aca="false">EOMONTH(C206,0)+1</f>
        <v>43405</v>
      </c>
      <c r="D207" s="0" t="n">
        <f aca="false">D195+0.05</f>
        <v>4.009</v>
      </c>
      <c r="E207" s="320" t="n">
        <v>0.17</v>
      </c>
      <c r="F207" s="318" t="n">
        <v>0.0627355218724404</v>
      </c>
      <c r="G207" s="318"/>
      <c r="H207" s="318"/>
      <c r="I207" s="330"/>
      <c r="J207" s="330"/>
      <c r="K207" s="318"/>
      <c r="L207" s="318"/>
      <c r="M207" s="318"/>
      <c r="N207" s="318"/>
      <c r="O207" s="318"/>
      <c r="V207" s="318" t="n">
        <v>0.5</v>
      </c>
      <c r="W207" s="318" t="n">
        <v>0.145</v>
      </c>
      <c r="X207" s="318" t="n">
        <v>0.175</v>
      </c>
      <c r="Y207" s="318" t="n">
        <v>0</v>
      </c>
      <c r="Z207" s="318" t="n">
        <v>-0.039</v>
      </c>
      <c r="AA207" s="318" t="n">
        <v>0.0155</v>
      </c>
      <c r="AB207" s="318" t="n">
        <v>0.000500000000000007</v>
      </c>
      <c r="AC207" s="318" t="n">
        <v>0</v>
      </c>
      <c r="AD207" s="318" t="n">
        <v>0</v>
      </c>
      <c r="AE207" s="318" t="n">
        <v>0</v>
      </c>
      <c r="AF207" s="318" t="n">
        <v>0</v>
      </c>
      <c r="AG207" s="318" t="n">
        <v>0</v>
      </c>
      <c r="AH207" s="318" t="n">
        <v>0</v>
      </c>
      <c r="AI207" s="318" t="n">
        <v>0</v>
      </c>
      <c r="AK207" s="318" t="n">
        <v>0</v>
      </c>
      <c r="AL207" s="318" t="n">
        <v>0</v>
      </c>
      <c r="AM207" s="318" t="n">
        <v>0.4</v>
      </c>
      <c r="AN207" s="318" t="n">
        <v>0.0125</v>
      </c>
      <c r="AO207" s="318" t="n">
        <v>0</v>
      </c>
      <c r="AP207" s="318" t="n">
        <v>-0.07</v>
      </c>
      <c r="AQ207" s="318" t="n">
        <v>-0.195</v>
      </c>
      <c r="AR207" s="318" t="n">
        <v>0</v>
      </c>
      <c r="AS207" s="318" t="n">
        <v>-0.37</v>
      </c>
      <c r="AT207" s="318" t="n">
        <v>0</v>
      </c>
      <c r="AU207" s="318" t="n">
        <v>0.43</v>
      </c>
      <c r="AV207" s="318" t="n">
        <v>0</v>
      </c>
      <c r="AW207" s="318" t="n">
        <v>-0.06</v>
      </c>
      <c r="AX207" s="318" t="n">
        <v>-0.06</v>
      </c>
      <c r="AY207" s="318" t="n">
        <v>0</v>
      </c>
      <c r="BA207" s="318" t="n">
        <v>0</v>
      </c>
      <c r="BB207" s="318" t="n">
        <v>0</v>
      </c>
      <c r="BD207" s="318" t="n">
        <v>-0.0175</v>
      </c>
      <c r="BE207" s="318" t="n">
        <v>0</v>
      </c>
      <c r="BF207" s="318" t="n">
        <v>0</v>
      </c>
      <c r="BJ207" s="318" t="n">
        <v>0.36</v>
      </c>
      <c r="BK207" s="318" t="n">
        <v>0</v>
      </c>
      <c r="BL207" s="318" t="n">
        <v>-0.015</v>
      </c>
      <c r="BM207" s="318" t="n">
        <v>0.005</v>
      </c>
      <c r="BO207" s="318" t="n">
        <v>0</v>
      </c>
      <c r="BP207" s="318" t="n">
        <v>0.005</v>
      </c>
      <c r="BQ207" s="318" t="n">
        <v>0</v>
      </c>
      <c r="BR207" s="318" t="n">
        <v>0.01</v>
      </c>
      <c r="BS207" s="0"/>
      <c r="BT207" s="0" t="n">
        <v>0</v>
      </c>
      <c r="BU207" s="0" t="n">
        <v>0</v>
      </c>
      <c r="BV207" s="0" t="n">
        <v>0</v>
      </c>
    </row>
    <row r="208" customFormat="false" ht="12.75" hidden="false" customHeight="false" outlineLevel="0" collapsed="false">
      <c r="A208" s="320"/>
      <c r="B208" s="320" t="n">
        <v>4.052</v>
      </c>
      <c r="C208" s="327" t="n">
        <f aca="false">EOMONTH(C207,0)+1</f>
        <v>43435</v>
      </c>
      <c r="D208" s="0" t="n">
        <f aca="false">D196+0.05</f>
        <v>4.144</v>
      </c>
      <c r="E208" s="320" t="n">
        <v>0.17</v>
      </c>
      <c r="F208" s="318" t="n">
        <v>0.0627793501278884</v>
      </c>
      <c r="G208" s="318"/>
      <c r="H208" s="318"/>
      <c r="I208" s="330"/>
      <c r="J208" s="330"/>
      <c r="K208" s="318"/>
      <c r="L208" s="318"/>
      <c r="M208" s="318"/>
      <c r="N208" s="318"/>
      <c r="O208" s="318"/>
      <c r="V208" s="318" t="n">
        <v>0.5</v>
      </c>
      <c r="W208" s="318" t="n">
        <v>0.195</v>
      </c>
      <c r="X208" s="318" t="n">
        <v>0.21</v>
      </c>
      <c r="Y208" s="318" t="n">
        <v>0</v>
      </c>
      <c r="Z208" s="318" t="n">
        <v>-0.02</v>
      </c>
      <c r="AA208" s="318" t="n">
        <v>0.0165</v>
      </c>
      <c r="AB208" s="318" t="n">
        <v>0.0015</v>
      </c>
      <c r="AC208" s="318" t="n">
        <v>0</v>
      </c>
      <c r="AD208" s="318" t="n">
        <v>0</v>
      </c>
      <c r="AE208" s="318" t="n">
        <v>0</v>
      </c>
      <c r="AF208" s="318" t="n">
        <v>0</v>
      </c>
      <c r="AG208" s="318" t="n">
        <v>0</v>
      </c>
      <c r="AH208" s="318" t="n">
        <v>0</v>
      </c>
      <c r="AI208" s="318" t="n">
        <v>0</v>
      </c>
      <c r="AK208" s="318" t="n">
        <v>0</v>
      </c>
      <c r="AL208" s="318" t="n">
        <v>0</v>
      </c>
      <c r="AM208" s="318" t="n">
        <v>0.65</v>
      </c>
      <c r="AN208" s="318" t="n">
        <v>-0.0225</v>
      </c>
      <c r="AO208" s="318" t="n">
        <v>0</v>
      </c>
      <c r="AP208" s="318" t="n">
        <v>-0.07</v>
      </c>
      <c r="AQ208" s="318" t="n">
        <v>-0.13</v>
      </c>
      <c r="AR208" s="318" t="n">
        <v>0</v>
      </c>
      <c r="AS208" s="318" t="n">
        <v>-0.26</v>
      </c>
      <c r="AT208" s="318" t="n">
        <v>0</v>
      </c>
      <c r="AU208" s="318" t="n">
        <v>0.35</v>
      </c>
      <c r="AV208" s="318" t="n">
        <v>0</v>
      </c>
      <c r="AW208" s="318" t="n">
        <v>-0.06</v>
      </c>
      <c r="AX208" s="318" t="n">
        <v>-0.06</v>
      </c>
      <c r="AY208" s="318" t="n">
        <v>0</v>
      </c>
      <c r="BA208" s="318" t="n">
        <v>0</v>
      </c>
      <c r="BB208" s="318" t="n">
        <v>0</v>
      </c>
      <c r="BD208" s="318" t="n">
        <v>-0.0525</v>
      </c>
      <c r="BE208" s="318" t="n">
        <v>0</v>
      </c>
      <c r="BF208" s="318" t="n">
        <v>0</v>
      </c>
      <c r="BJ208" s="318" t="n">
        <v>0.46</v>
      </c>
      <c r="BK208" s="318" t="n">
        <v>0</v>
      </c>
      <c r="BL208" s="318" t="n">
        <v>-0.02</v>
      </c>
      <c r="BM208" s="318" t="n">
        <v>0.005</v>
      </c>
      <c r="BO208" s="318" t="n">
        <v>0</v>
      </c>
      <c r="BP208" s="318" t="n">
        <v>0.005</v>
      </c>
      <c r="BQ208" s="318" t="n">
        <v>0</v>
      </c>
      <c r="BR208" s="318" t="n">
        <v>0.055</v>
      </c>
      <c r="BS208" s="0"/>
      <c r="BT208" s="0" t="n">
        <v>0</v>
      </c>
      <c r="BU208" s="0" t="n">
        <v>0</v>
      </c>
      <c r="BV208" s="0" t="n">
        <v>0</v>
      </c>
    </row>
    <row r="209" customFormat="false" ht="12.75" hidden="false" customHeight="false" outlineLevel="0" collapsed="false">
      <c r="A209" s="320"/>
      <c r="B209" s="320" t="n">
        <v>4.046</v>
      </c>
      <c r="C209" s="327" t="n">
        <f aca="false">EOMONTH(C208,0)+1</f>
        <v>43466</v>
      </c>
      <c r="D209" s="0" t="n">
        <f aca="false">D197+0.05</f>
        <v>4.199</v>
      </c>
      <c r="E209" s="320" t="n">
        <v>0.17</v>
      </c>
      <c r="F209" s="318" t="n">
        <v>0.062821764569251</v>
      </c>
      <c r="G209" s="318"/>
      <c r="H209" s="318"/>
      <c r="I209" s="330"/>
      <c r="J209" s="330"/>
      <c r="K209" s="318"/>
      <c r="L209" s="318"/>
      <c r="M209" s="318"/>
      <c r="N209" s="318"/>
      <c r="O209" s="318"/>
      <c r="V209" s="318" t="n">
        <v>0.5</v>
      </c>
      <c r="W209" s="318" t="n">
        <v>0.215</v>
      </c>
      <c r="X209" s="318" t="n">
        <v>0.29</v>
      </c>
      <c r="Y209" s="318" t="n">
        <v>0</v>
      </c>
      <c r="Z209" s="318" t="n">
        <v>-0.02</v>
      </c>
      <c r="AA209" s="318" t="n">
        <v>0.0165</v>
      </c>
      <c r="AB209" s="318" t="n">
        <v>0.0015</v>
      </c>
      <c r="AC209" s="318" t="n">
        <v>0</v>
      </c>
      <c r="AD209" s="318" t="n">
        <v>0</v>
      </c>
      <c r="AE209" s="318" t="n">
        <v>0</v>
      </c>
      <c r="AF209" s="318" t="n">
        <v>0</v>
      </c>
      <c r="AG209" s="318" t="n">
        <v>0</v>
      </c>
      <c r="AH209" s="318" t="n">
        <v>0</v>
      </c>
      <c r="AI209" s="318" t="n">
        <v>0</v>
      </c>
      <c r="AK209" s="318" t="n">
        <v>0</v>
      </c>
      <c r="AL209" s="318" t="n">
        <v>0</v>
      </c>
      <c r="AM209" s="318" t="n">
        <v>0.98</v>
      </c>
      <c r="AN209" s="318" t="n">
        <v>-0.045</v>
      </c>
      <c r="AO209" s="318" t="n">
        <v>0</v>
      </c>
      <c r="AP209" s="318" t="n">
        <v>-0.07</v>
      </c>
      <c r="AQ209" s="318" t="n">
        <v>-0.13</v>
      </c>
      <c r="AR209" s="318" t="n">
        <v>0</v>
      </c>
      <c r="AS209" s="318" t="n">
        <v>-0.26</v>
      </c>
      <c r="AT209" s="318" t="n">
        <v>0</v>
      </c>
      <c r="AU209" s="318" t="n">
        <v>0.35</v>
      </c>
      <c r="AV209" s="318" t="n">
        <v>0</v>
      </c>
      <c r="AW209" s="318" t="n">
        <v>-0.06</v>
      </c>
      <c r="AX209" s="318" t="n">
        <v>-0.06</v>
      </c>
      <c r="AY209" s="318" t="n">
        <v>0</v>
      </c>
      <c r="BA209" s="318" t="n">
        <v>0</v>
      </c>
      <c r="BB209" s="318" t="n">
        <v>0</v>
      </c>
      <c r="BD209" s="318" t="n">
        <v>-0.075</v>
      </c>
      <c r="BE209" s="318" t="n">
        <v>0</v>
      </c>
      <c r="BF209" s="318" t="n">
        <v>0</v>
      </c>
      <c r="BJ209" s="318" t="n">
        <v>0.77</v>
      </c>
      <c r="BK209" s="318" t="n">
        <v>0</v>
      </c>
      <c r="BL209" s="318" t="n">
        <v>-0.025</v>
      </c>
      <c r="BM209" s="318" t="n">
        <v>0.005</v>
      </c>
      <c r="BO209" s="318" t="n">
        <v>0</v>
      </c>
      <c r="BP209" s="318" t="n">
        <v>0.005</v>
      </c>
      <c r="BQ209" s="318" t="n">
        <v>0</v>
      </c>
      <c r="BR209" s="318" t="n">
        <v>0.25</v>
      </c>
      <c r="BS209" s="0"/>
      <c r="BT209" s="0" t="n">
        <v>0</v>
      </c>
      <c r="BU209" s="0" t="n">
        <v>0</v>
      </c>
      <c r="BV209" s="0" t="n">
        <v>0</v>
      </c>
    </row>
    <row r="210" customFormat="false" ht="12.75" hidden="false" customHeight="false" outlineLevel="0" collapsed="false">
      <c r="A210" s="320"/>
      <c r="B210" s="320" t="n">
        <v>4.111</v>
      </c>
      <c r="C210" s="327" t="n">
        <f aca="false">EOMONTH(C209,0)+1</f>
        <v>43497</v>
      </c>
      <c r="D210" s="0" t="n">
        <f aca="false">D198+0.05</f>
        <v>4.051</v>
      </c>
      <c r="E210" s="320" t="n">
        <v>0.17</v>
      </c>
      <c r="F210" s="318" t="n">
        <v>0.0628655928259532</v>
      </c>
      <c r="G210" s="318"/>
      <c r="H210" s="318"/>
      <c r="I210" s="330"/>
      <c r="J210" s="330"/>
      <c r="K210" s="318"/>
      <c r="L210" s="318"/>
      <c r="M210" s="318"/>
      <c r="N210" s="318"/>
      <c r="O210" s="318"/>
      <c r="V210" s="318" t="n">
        <v>0.5</v>
      </c>
      <c r="W210" s="318" t="n">
        <v>0.235</v>
      </c>
      <c r="X210" s="318" t="n">
        <v>0.34</v>
      </c>
      <c r="Y210" s="318" t="n">
        <v>0</v>
      </c>
      <c r="Z210" s="318" t="n">
        <v>-0.02</v>
      </c>
      <c r="AA210" s="318" t="n">
        <v>0.0165</v>
      </c>
      <c r="AB210" s="318" t="n">
        <v>0.0015</v>
      </c>
      <c r="AC210" s="318" t="n">
        <v>0</v>
      </c>
      <c r="AD210" s="318" t="n">
        <v>0</v>
      </c>
      <c r="AE210" s="318" t="n">
        <v>0</v>
      </c>
      <c r="AF210" s="318" t="n">
        <v>0</v>
      </c>
      <c r="AG210" s="318" t="n">
        <v>0</v>
      </c>
      <c r="AH210" s="318" t="n">
        <v>0</v>
      </c>
      <c r="AI210" s="318" t="n">
        <v>0</v>
      </c>
      <c r="AK210" s="318" t="n">
        <v>0</v>
      </c>
      <c r="AL210" s="318" t="n">
        <v>0</v>
      </c>
      <c r="AM210" s="318" t="n">
        <v>1.6</v>
      </c>
      <c r="AN210" s="318" t="n">
        <v>-0.0475</v>
      </c>
      <c r="AO210" s="318" t="n">
        <v>0</v>
      </c>
      <c r="AP210" s="318" t="n">
        <v>-0.07</v>
      </c>
      <c r="AQ210" s="318" t="n">
        <v>-0.13</v>
      </c>
      <c r="AR210" s="318" t="n">
        <v>0</v>
      </c>
      <c r="AS210" s="318" t="n">
        <v>-0.26</v>
      </c>
      <c r="AT210" s="318" t="n">
        <v>0</v>
      </c>
      <c r="AU210" s="318" t="n">
        <v>0.35</v>
      </c>
      <c r="AV210" s="318" t="n">
        <v>0</v>
      </c>
      <c r="AW210" s="318" t="n">
        <v>-0.06</v>
      </c>
      <c r="AX210" s="318" t="n">
        <v>-0.06</v>
      </c>
      <c r="AY210" s="318" t="n">
        <v>0</v>
      </c>
      <c r="BA210" s="318" t="n">
        <v>0</v>
      </c>
      <c r="BB210" s="318" t="n">
        <v>0</v>
      </c>
      <c r="BD210" s="318" t="n">
        <v>-0.0775</v>
      </c>
      <c r="BE210" s="318" t="n">
        <v>0</v>
      </c>
      <c r="BF210" s="318" t="n">
        <v>0</v>
      </c>
      <c r="BJ210" s="318" t="n">
        <v>1.04</v>
      </c>
      <c r="BK210" s="318" t="n">
        <v>0</v>
      </c>
      <c r="BL210" s="318" t="n">
        <v>-0.025</v>
      </c>
      <c r="BM210" s="318" t="n">
        <v>0.005</v>
      </c>
      <c r="BO210" s="318" t="n">
        <v>0</v>
      </c>
      <c r="BP210" s="318" t="n">
        <v>0.005</v>
      </c>
      <c r="BQ210" s="318" t="n">
        <v>0</v>
      </c>
      <c r="BR210" s="318" t="n">
        <v>0.45</v>
      </c>
      <c r="BS210" s="0"/>
      <c r="BT210" s="0" t="n">
        <v>0</v>
      </c>
      <c r="BU210" s="0" t="n">
        <v>0</v>
      </c>
      <c r="BV210" s="0" t="n">
        <v>0</v>
      </c>
    </row>
    <row r="211" customFormat="false" ht="12.75" hidden="false" customHeight="false" outlineLevel="0" collapsed="false">
      <c r="A211" s="320"/>
      <c r="B211" s="320" t="n">
        <v>4.106</v>
      </c>
      <c r="C211" s="327" t="n">
        <f aca="false">EOMONTH(C210,0)+1</f>
        <v>43525</v>
      </c>
      <c r="D211" s="0" t="n">
        <f aca="false">D199+0.05</f>
        <v>4</v>
      </c>
      <c r="E211" s="320" t="n">
        <v>0.17</v>
      </c>
      <c r="F211" s="318" t="n">
        <v>0.0629094210832926</v>
      </c>
      <c r="G211" s="318"/>
      <c r="H211" s="318"/>
      <c r="I211" s="330"/>
      <c r="J211" s="330"/>
      <c r="K211" s="318"/>
      <c r="L211" s="318"/>
      <c r="M211" s="318"/>
      <c r="N211" s="318"/>
      <c r="O211" s="318"/>
      <c r="V211" s="318" t="n">
        <v>0.5</v>
      </c>
      <c r="W211" s="318" t="n">
        <v>0.235</v>
      </c>
      <c r="X211" s="318" t="n">
        <v>0.34</v>
      </c>
      <c r="Y211" s="318" t="n">
        <v>0</v>
      </c>
      <c r="Z211" s="318" t="n">
        <v>-0.02</v>
      </c>
      <c r="AA211" s="318" t="n">
        <v>0.0165</v>
      </c>
      <c r="AB211" s="318" t="n">
        <v>0.0015</v>
      </c>
      <c r="AC211" s="318" t="n">
        <v>0</v>
      </c>
      <c r="AD211" s="318" t="n">
        <v>0</v>
      </c>
      <c r="AE211" s="318" t="n">
        <v>0</v>
      </c>
      <c r="AF211" s="318" t="n">
        <v>0</v>
      </c>
      <c r="AG211" s="318" t="n">
        <v>0</v>
      </c>
      <c r="AH211" s="318" t="n">
        <v>0</v>
      </c>
      <c r="AI211" s="318" t="n">
        <v>0</v>
      </c>
      <c r="AK211" s="318" t="n">
        <v>0</v>
      </c>
      <c r="AL211" s="318" t="n">
        <v>0</v>
      </c>
      <c r="AM211" s="318" t="n">
        <v>1.6</v>
      </c>
      <c r="AN211" s="318" t="n">
        <v>-0.03</v>
      </c>
      <c r="AO211" s="318" t="n">
        <v>0</v>
      </c>
      <c r="AP211" s="318" t="n">
        <v>-0.07</v>
      </c>
      <c r="AQ211" s="318" t="n">
        <v>-0.13</v>
      </c>
      <c r="AR211" s="318" t="n">
        <v>0</v>
      </c>
      <c r="AS211" s="318" t="n">
        <v>-0.26</v>
      </c>
      <c r="AT211" s="318" t="n">
        <v>0</v>
      </c>
      <c r="AU211" s="318" t="n">
        <v>0.35</v>
      </c>
      <c r="AV211" s="318" t="n">
        <v>0</v>
      </c>
      <c r="AW211" s="318" t="n">
        <v>-0.06</v>
      </c>
      <c r="AX211" s="318" t="n">
        <v>-0.06</v>
      </c>
      <c r="AY211" s="318" t="n">
        <v>0</v>
      </c>
      <c r="BA211" s="318" t="n">
        <v>0</v>
      </c>
      <c r="BB211" s="318" t="n">
        <v>0</v>
      </c>
      <c r="BD211" s="318" t="n">
        <v>-0.06</v>
      </c>
      <c r="BE211" s="318" t="n">
        <v>0</v>
      </c>
      <c r="BF211" s="318" t="n">
        <v>0</v>
      </c>
      <c r="BJ211" s="318" t="n">
        <v>1.04</v>
      </c>
      <c r="BK211" s="318" t="n">
        <v>0</v>
      </c>
      <c r="BL211" s="318" t="n">
        <v>-0.025</v>
      </c>
      <c r="BM211" s="318" t="n">
        <v>0.005</v>
      </c>
      <c r="BO211" s="318" t="n">
        <v>0</v>
      </c>
      <c r="BP211" s="318" t="n">
        <v>0</v>
      </c>
      <c r="BQ211" s="318" t="n">
        <v>0</v>
      </c>
      <c r="BR211" s="318" t="n">
        <v>0.45</v>
      </c>
      <c r="BS211" s="0"/>
      <c r="BT211" s="0" t="n">
        <v>0</v>
      </c>
      <c r="BU211" s="0" t="n">
        <v>0</v>
      </c>
      <c r="BV211" s="0" t="n">
        <v>0</v>
      </c>
    </row>
    <row r="212" customFormat="false" ht="12.75" hidden="false" customHeight="false" outlineLevel="0" collapsed="false">
      <c r="A212" s="320"/>
      <c r="B212" s="320" t="n">
        <v>4.082</v>
      </c>
      <c r="C212" s="327" t="n">
        <f aca="false">EOMONTH(C211,0)+1</f>
        <v>43556</v>
      </c>
      <c r="D212" s="0" t="n">
        <f aca="false">D200+0.05</f>
        <v>3.781</v>
      </c>
      <c r="E212" s="320" t="n">
        <v>0.17</v>
      </c>
      <c r="F212" s="318" t="n">
        <v>0.062949007896921</v>
      </c>
      <c r="G212" s="318"/>
      <c r="H212" s="318"/>
      <c r="I212" s="330"/>
      <c r="J212" s="330"/>
      <c r="K212" s="318"/>
      <c r="L212" s="318"/>
      <c r="M212" s="318"/>
      <c r="N212" s="318"/>
      <c r="O212" s="318"/>
      <c r="V212" s="318" t="n">
        <v>0.5</v>
      </c>
      <c r="W212" s="318" t="n">
        <v>0.195</v>
      </c>
      <c r="X212" s="318" t="n">
        <v>0.29</v>
      </c>
      <c r="Y212" s="318" t="n">
        <v>0</v>
      </c>
      <c r="Z212" s="318" t="n">
        <v>-0.02</v>
      </c>
      <c r="AA212" s="318" t="n">
        <v>0.024</v>
      </c>
      <c r="AB212" s="318" t="n">
        <v>0.009</v>
      </c>
      <c r="AC212" s="318" t="n">
        <v>0</v>
      </c>
      <c r="AD212" s="318" t="n">
        <v>0</v>
      </c>
      <c r="AE212" s="318" t="n">
        <v>0</v>
      </c>
      <c r="AF212" s="318" t="n">
        <v>0</v>
      </c>
      <c r="AG212" s="318" t="n">
        <v>0</v>
      </c>
      <c r="AH212" s="318" t="n">
        <v>0</v>
      </c>
      <c r="AI212" s="318" t="n">
        <v>0</v>
      </c>
      <c r="AK212" s="318" t="n">
        <v>0</v>
      </c>
      <c r="AL212" s="318" t="n">
        <v>0</v>
      </c>
      <c r="AM212" s="318" t="n">
        <v>0.64</v>
      </c>
      <c r="AN212" s="318" t="n">
        <v>-0.0175</v>
      </c>
      <c r="AO212" s="318" t="n">
        <v>0</v>
      </c>
      <c r="AP212" s="318" t="n">
        <v>-0.07</v>
      </c>
      <c r="AQ212" s="318" t="n">
        <v>-0.13</v>
      </c>
      <c r="AR212" s="318" t="n">
        <v>0</v>
      </c>
      <c r="AS212" s="318" t="n">
        <v>-0.26</v>
      </c>
      <c r="AT212" s="318" t="n">
        <v>0</v>
      </c>
      <c r="AU212" s="318" t="n">
        <v>0.35</v>
      </c>
      <c r="AV212" s="318" t="n">
        <v>0</v>
      </c>
      <c r="AW212" s="318" t="n">
        <v>-0.06</v>
      </c>
      <c r="AX212" s="318" t="n">
        <v>-0.06</v>
      </c>
      <c r="AY212" s="318" t="n">
        <v>0</v>
      </c>
      <c r="BA212" s="318" t="n">
        <v>0</v>
      </c>
      <c r="BB212" s="318" t="n">
        <v>0</v>
      </c>
      <c r="BD212" s="318" t="n">
        <v>-0.0475</v>
      </c>
      <c r="BE212" s="318" t="n">
        <v>0</v>
      </c>
      <c r="BF212" s="318" t="n">
        <v>0</v>
      </c>
      <c r="BJ212" s="318" t="n">
        <v>0.54</v>
      </c>
      <c r="BK212" s="318" t="n">
        <v>0</v>
      </c>
      <c r="BL212" s="318" t="n">
        <v>-0.02</v>
      </c>
      <c r="BM212" s="318" t="n">
        <v>0.005</v>
      </c>
      <c r="BO212" s="318" t="n">
        <v>0</v>
      </c>
      <c r="BP212" s="318" t="n">
        <v>0</v>
      </c>
      <c r="BQ212" s="318" t="n">
        <v>0</v>
      </c>
      <c r="BR212" s="318" t="n">
        <v>0.1</v>
      </c>
      <c r="BS212" s="0"/>
      <c r="BT212" s="0" t="n">
        <v>0</v>
      </c>
      <c r="BU212" s="0" t="n">
        <v>0</v>
      </c>
      <c r="BV212" s="0" t="n">
        <v>0</v>
      </c>
    </row>
    <row r="213" customFormat="false" ht="12.75" hidden="false" customHeight="false" outlineLevel="0" collapsed="false">
      <c r="A213" s="320"/>
      <c r="B213" s="320" t="n">
        <v>4.086</v>
      </c>
      <c r="C213" s="327" t="n">
        <f aca="false">EOMONTH(C212,0)+1</f>
        <v>43586</v>
      </c>
      <c r="D213" s="0" t="n">
        <f aca="false">D201+0.05</f>
        <v>3.784</v>
      </c>
      <c r="E213" s="320" t="n">
        <v>0.17</v>
      </c>
      <c r="F213" s="318" t="n">
        <v>0.0629928361554737</v>
      </c>
      <c r="G213" s="318"/>
      <c r="H213" s="318"/>
      <c r="I213" s="330"/>
      <c r="J213" s="330"/>
      <c r="K213" s="318"/>
      <c r="L213" s="318"/>
      <c r="M213" s="318"/>
      <c r="N213" s="318"/>
      <c r="O213" s="318"/>
      <c r="V213" s="318" t="n">
        <v>0.5</v>
      </c>
      <c r="W213" s="318" t="n">
        <v>0.145</v>
      </c>
      <c r="X213" s="318" t="n">
        <v>0.195</v>
      </c>
      <c r="Y213" s="318" t="n">
        <v>0</v>
      </c>
      <c r="Z213" s="318" t="n">
        <v>-0.035</v>
      </c>
      <c r="AA213" s="318" t="n">
        <v>0.024</v>
      </c>
      <c r="AB213" s="318" t="n">
        <v>0.009</v>
      </c>
      <c r="AC213" s="318" t="n">
        <v>0</v>
      </c>
      <c r="AD213" s="318" t="n">
        <v>0</v>
      </c>
      <c r="AE213" s="318" t="n">
        <v>0</v>
      </c>
      <c r="AF213" s="318" t="n">
        <v>0</v>
      </c>
      <c r="AG213" s="318" t="n">
        <v>0</v>
      </c>
      <c r="AH213" s="318" t="n">
        <v>0</v>
      </c>
      <c r="AI213" s="318" t="n">
        <v>0</v>
      </c>
      <c r="AK213" s="318" t="n">
        <v>0</v>
      </c>
      <c r="AL213" s="318" t="n">
        <v>0</v>
      </c>
      <c r="AM213" s="318" t="n">
        <v>0.38</v>
      </c>
      <c r="AN213" s="318" t="n">
        <v>0.02</v>
      </c>
      <c r="AO213" s="318" t="n">
        <v>0</v>
      </c>
      <c r="AP213" s="318" t="n">
        <v>-0.07</v>
      </c>
      <c r="AQ213" s="318" t="n">
        <v>-0.195</v>
      </c>
      <c r="AR213" s="318" t="n">
        <v>0</v>
      </c>
      <c r="AS213" s="318" t="n">
        <v>-0.37</v>
      </c>
      <c r="AT213" s="318" t="n">
        <v>0</v>
      </c>
      <c r="AU213" s="318" t="n">
        <v>0.43</v>
      </c>
      <c r="AV213" s="318" t="n">
        <v>0</v>
      </c>
      <c r="AW213" s="318" t="n">
        <v>-0.06</v>
      </c>
      <c r="AX213" s="318" t="n">
        <v>-0.06</v>
      </c>
      <c r="AY213" s="318" t="n">
        <v>0</v>
      </c>
      <c r="BA213" s="318" t="n">
        <v>0</v>
      </c>
      <c r="BB213" s="318" t="n">
        <v>0</v>
      </c>
      <c r="BD213" s="318" t="n">
        <v>-0.01</v>
      </c>
      <c r="BE213" s="318" t="n">
        <v>0</v>
      </c>
      <c r="BF213" s="318" t="n">
        <v>0</v>
      </c>
      <c r="BJ213" s="318" t="n">
        <v>0.36</v>
      </c>
      <c r="BK213" s="318" t="n">
        <v>0</v>
      </c>
      <c r="BL213" s="318" t="n">
        <v>-0.015</v>
      </c>
      <c r="BM213" s="318" t="n">
        <v>0.005</v>
      </c>
      <c r="BO213" s="318" t="n">
        <v>0</v>
      </c>
      <c r="BP213" s="318" t="n">
        <v>0</v>
      </c>
      <c r="BQ213" s="318" t="n">
        <v>0</v>
      </c>
      <c r="BR213" s="318" t="n">
        <v>0.02</v>
      </c>
      <c r="BS213" s="0"/>
      <c r="BT213" s="0" t="n">
        <v>0</v>
      </c>
      <c r="BU213" s="0" t="n">
        <v>0</v>
      </c>
      <c r="BV213" s="0" t="n">
        <v>0</v>
      </c>
    </row>
    <row r="214" customFormat="false" ht="12.75" hidden="false" customHeight="false" outlineLevel="0" collapsed="false">
      <c r="A214" s="320"/>
      <c r="B214" s="320" t="n">
        <v>4.128</v>
      </c>
      <c r="C214" s="327" t="n">
        <f aca="false">EOMONTH(C213,0)+1</f>
        <v>43617</v>
      </c>
      <c r="D214" s="0" t="n">
        <f aca="false">D202+0.05</f>
        <v>3.824</v>
      </c>
      <c r="E214" s="320" t="n">
        <v>0.17</v>
      </c>
      <c r="F214" s="318" t="n">
        <v>0.0630352505998406</v>
      </c>
      <c r="G214" s="318"/>
      <c r="H214" s="318"/>
      <c r="I214" s="330"/>
      <c r="J214" s="330"/>
      <c r="K214" s="318"/>
      <c r="L214" s="318"/>
      <c r="M214" s="318"/>
      <c r="N214" s="318"/>
      <c r="O214" s="318"/>
      <c r="V214" s="318" t="n">
        <v>0.5</v>
      </c>
      <c r="W214" s="318" t="n">
        <v>0.125</v>
      </c>
      <c r="X214" s="318" t="n">
        <v>0.135</v>
      </c>
      <c r="Y214" s="318" t="n">
        <v>0</v>
      </c>
      <c r="Z214" s="318" t="n">
        <v>-0.035</v>
      </c>
      <c r="AA214" s="318" t="n">
        <v>0.0265</v>
      </c>
      <c r="AB214" s="318" t="n">
        <v>0.0115</v>
      </c>
      <c r="AC214" s="318" t="n">
        <v>0</v>
      </c>
      <c r="AD214" s="318" t="n">
        <v>0</v>
      </c>
      <c r="AE214" s="318" t="n">
        <v>0</v>
      </c>
      <c r="AF214" s="318" t="n">
        <v>0</v>
      </c>
      <c r="AG214" s="318" t="n">
        <v>0</v>
      </c>
      <c r="AH214" s="318" t="n">
        <v>0</v>
      </c>
      <c r="AI214" s="318" t="n">
        <v>0</v>
      </c>
      <c r="AK214" s="318" t="n">
        <v>0</v>
      </c>
      <c r="AL214" s="318" t="n">
        <v>0</v>
      </c>
      <c r="AM214" s="318" t="n">
        <v>0.33</v>
      </c>
      <c r="AN214" s="318" t="n">
        <v>0.02</v>
      </c>
      <c r="AO214" s="318" t="n">
        <v>0</v>
      </c>
      <c r="AP214" s="318" t="n">
        <v>-0.07</v>
      </c>
      <c r="AQ214" s="318" t="n">
        <v>-0.195</v>
      </c>
      <c r="AR214" s="318" t="n">
        <v>0</v>
      </c>
      <c r="AS214" s="318" t="n">
        <v>-0.37</v>
      </c>
      <c r="AT214" s="318" t="n">
        <v>0</v>
      </c>
      <c r="AU214" s="318" t="n">
        <v>0.43</v>
      </c>
      <c r="AV214" s="318" t="n">
        <v>0</v>
      </c>
      <c r="AW214" s="318" t="n">
        <v>-0.06</v>
      </c>
      <c r="AX214" s="318" t="n">
        <v>-0.06</v>
      </c>
      <c r="AY214" s="318" t="n">
        <v>0</v>
      </c>
      <c r="BA214" s="318" t="n">
        <v>0</v>
      </c>
      <c r="BB214" s="318" t="n">
        <v>0</v>
      </c>
      <c r="BD214" s="318" t="n">
        <v>-0.01</v>
      </c>
      <c r="BE214" s="318" t="n">
        <v>0</v>
      </c>
      <c r="BF214" s="318" t="n">
        <v>0</v>
      </c>
      <c r="BJ214" s="318" t="n">
        <v>0.325</v>
      </c>
      <c r="BK214" s="318" t="n">
        <v>0</v>
      </c>
      <c r="BL214" s="318" t="n">
        <v>-0.015</v>
      </c>
      <c r="BM214" s="318" t="n">
        <v>0.005</v>
      </c>
      <c r="BO214" s="318" t="n">
        <v>0</v>
      </c>
      <c r="BP214" s="318" t="n">
        <v>0</v>
      </c>
      <c r="BQ214" s="318" t="n">
        <v>0</v>
      </c>
      <c r="BR214" s="318" t="n">
        <v>0.02</v>
      </c>
      <c r="BS214" s="0"/>
      <c r="BT214" s="0" t="n">
        <v>0</v>
      </c>
      <c r="BU214" s="0" t="n">
        <v>0</v>
      </c>
      <c r="BV214" s="0" t="n">
        <v>0</v>
      </c>
    </row>
    <row r="215" customFormat="false" ht="12.75" hidden="false" customHeight="false" outlineLevel="0" collapsed="false">
      <c r="A215" s="320"/>
      <c r="B215" s="320" t="n">
        <v>4.195</v>
      </c>
      <c r="C215" s="327" t="n">
        <f aca="false">EOMONTH(C214,0)+1</f>
        <v>43647</v>
      </c>
      <c r="D215" s="0" t="n">
        <f aca="false">D203+0.05</f>
        <v>3.864</v>
      </c>
      <c r="E215" s="320" t="n">
        <v>0.17</v>
      </c>
      <c r="F215" s="318" t="n">
        <v>0.0630790788596469</v>
      </c>
      <c r="G215" s="318"/>
      <c r="H215" s="318"/>
      <c r="I215" s="330"/>
      <c r="J215" s="330"/>
      <c r="K215" s="318"/>
      <c r="L215" s="318"/>
      <c r="M215" s="318"/>
      <c r="N215" s="318"/>
      <c r="O215" s="318"/>
      <c r="V215" s="318" t="n">
        <v>0.5</v>
      </c>
      <c r="W215" s="318" t="n">
        <v>0.145</v>
      </c>
      <c r="X215" s="318" t="n">
        <v>0.165</v>
      </c>
      <c r="Y215" s="318" t="n">
        <v>0</v>
      </c>
      <c r="Z215" s="318" t="n">
        <v>-0.0325</v>
      </c>
      <c r="AA215" s="318" t="n">
        <v>0.0265</v>
      </c>
      <c r="AB215" s="318" t="n">
        <v>0.0115</v>
      </c>
      <c r="AC215" s="318" t="n">
        <v>0</v>
      </c>
      <c r="AD215" s="318" t="n">
        <v>0</v>
      </c>
      <c r="AE215" s="318" t="n">
        <v>0</v>
      </c>
      <c r="AF215" s="318" t="n">
        <v>0</v>
      </c>
      <c r="AG215" s="318" t="n">
        <v>0</v>
      </c>
      <c r="AH215" s="318" t="n">
        <v>0</v>
      </c>
      <c r="AI215" s="318" t="n">
        <v>0</v>
      </c>
      <c r="AK215" s="318" t="n">
        <v>0</v>
      </c>
      <c r="AL215" s="318" t="n">
        <v>0</v>
      </c>
      <c r="AM215" s="318" t="n">
        <v>0.37</v>
      </c>
      <c r="AN215" s="318" t="n">
        <v>0.025</v>
      </c>
      <c r="AO215" s="318" t="n">
        <v>0</v>
      </c>
      <c r="AP215" s="318" t="n">
        <v>-0.07</v>
      </c>
      <c r="AQ215" s="318" t="n">
        <v>-0.195</v>
      </c>
      <c r="AR215" s="318" t="n">
        <v>0</v>
      </c>
      <c r="AS215" s="318" t="n">
        <v>-0.37</v>
      </c>
      <c r="AT215" s="318" t="n">
        <v>0</v>
      </c>
      <c r="AU215" s="318" t="n">
        <v>0.43</v>
      </c>
      <c r="AV215" s="318" t="n">
        <v>0</v>
      </c>
      <c r="AW215" s="318" t="n">
        <v>-0.06</v>
      </c>
      <c r="AX215" s="318" t="n">
        <v>-0.06</v>
      </c>
      <c r="AY215" s="318" t="n">
        <v>0</v>
      </c>
      <c r="BA215" s="318" t="n">
        <v>0</v>
      </c>
      <c r="BB215" s="318" t="n">
        <v>0</v>
      </c>
      <c r="BD215" s="318" t="n">
        <v>-0.005</v>
      </c>
      <c r="BE215" s="318" t="n">
        <v>0</v>
      </c>
      <c r="BF215" s="318" t="n">
        <v>0</v>
      </c>
      <c r="BJ215" s="318" t="n">
        <v>0.335</v>
      </c>
      <c r="BK215" s="318" t="n">
        <v>0</v>
      </c>
      <c r="BL215" s="318" t="n">
        <v>-0.015</v>
      </c>
      <c r="BM215" s="318" t="n">
        <v>0.005</v>
      </c>
      <c r="BO215" s="318" t="n">
        <v>0</v>
      </c>
      <c r="BP215" s="318" t="n">
        <v>0</v>
      </c>
      <c r="BQ215" s="318" t="n">
        <v>0</v>
      </c>
      <c r="BR215" s="318" t="n">
        <v>0.035</v>
      </c>
      <c r="BS215" s="0"/>
      <c r="BT215" s="0" t="n">
        <v>0</v>
      </c>
      <c r="BU215" s="0" t="n">
        <v>0</v>
      </c>
      <c r="BV215" s="0" t="n">
        <v>0</v>
      </c>
    </row>
    <row r="216" customFormat="false" ht="12.75" hidden="false" customHeight="false" outlineLevel="0" collapsed="false">
      <c r="A216" s="320"/>
      <c r="B216" s="320" t="n">
        <v>4.463</v>
      </c>
      <c r="C216" s="327" t="n">
        <f aca="false">EOMONTH(C215,0)+1</f>
        <v>43678</v>
      </c>
      <c r="D216" s="0" t="n">
        <f aca="false">D204+0.05</f>
        <v>3.914</v>
      </c>
      <c r="E216" s="320" t="n">
        <v>0.17</v>
      </c>
      <c r="F216" s="318" t="n">
        <v>0.0631214933052275</v>
      </c>
      <c r="G216" s="318"/>
      <c r="H216" s="318"/>
      <c r="I216" s="330"/>
      <c r="J216" s="330"/>
      <c r="K216" s="318"/>
      <c r="L216" s="318"/>
      <c r="M216" s="318"/>
      <c r="N216" s="318"/>
      <c r="O216" s="318"/>
      <c r="V216" s="318" t="n">
        <v>0.5</v>
      </c>
      <c r="W216" s="318" t="n">
        <v>0.15</v>
      </c>
      <c r="X216" s="318" t="n">
        <v>0.205</v>
      </c>
      <c r="Y216" s="318" t="n">
        <v>0</v>
      </c>
      <c r="Z216" s="318" t="n">
        <v>-0.0325</v>
      </c>
      <c r="AA216" s="318" t="n">
        <v>0.0265</v>
      </c>
      <c r="AB216" s="318" t="n">
        <v>0.0115</v>
      </c>
      <c r="AC216" s="318" t="n">
        <v>0</v>
      </c>
      <c r="AD216" s="318" t="n">
        <v>0</v>
      </c>
      <c r="AE216" s="318" t="n">
        <v>0</v>
      </c>
      <c r="AF216" s="318" t="n">
        <v>0</v>
      </c>
      <c r="AG216" s="318" t="n">
        <v>0</v>
      </c>
      <c r="AH216" s="318" t="n">
        <v>0</v>
      </c>
      <c r="AI216" s="318" t="n">
        <v>0</v>
      </c>
      <c r="AK216" s="318" t="n">
        <v>0</v>
      </c>
      <c r="AL216" s="318" t="n">
        <v>0</v>
      </c>
      <c r="AM216" s="318" t="n">
        <v>0.41</v>
      </c>
      <c r="AN216" s="318" t="n">
        <v>0.0275</v>
      </c>
      <c r="AO216" s="318" t="n">
        <v>0</v>
      </c>
      <c r="AP216" s="318" t="n">
        <v>-0.07</v>
      </c>
      <c r="AQ216" s="318" t="n">
        <v>-0.195</v>
      </c>
      <c r="AR216" s="318" t="n">
        <v>0</v>
      </c>
      <c r="AS216" s="318" t="n">
        <v>-0.37</v>
      </c>
      <c r="AT216" s="318" t="n">
        <v>0</v>
      </c>
      <c r="AU216" s="318" t="n">
        <v>0.43</v>
      </c>
      <c r="AV216" s="318" t="n">
        <v>0</v>
      </c>
      <c r="AW216" s="318" t="n">
        <v>-0.06</v>
      </c>
      <c r="AX216" s="318" t="n">
        <v>-0.06</v>
      </c>
      <c r="AY216" s="318" t="n">
        <v>0</v>
      </c>
      <c r="BA216" s="318" t="n">
        <v>0</v>
      </c>
      <c r="BB216" s="318" t="n">
        <v>0</v>
      </c>
      <c r="BD216" s="318" t="n">
        <v>-0.0025</v>
      </c>
      <c r="BE216" s="318" t="n">
        <v>0</v>
      </c>
      <c r="BF216" s="318" t="n">
        <v>0</v>
      </c>
      <c r="BJ216" s="318" t="n">
        <v>0.35</v>
      </c>
      <c r="BK216" s="318" t="n">
        <v>0</v>
      </c>
      <c r="BL216" s="318" t="n">
        <v>-0.01</v>
      </c>
      <c r="BM216" s="318" t="n">
        <v>0.005</v>
      </c>
      <c r="BO216" s="318" t="n">
        <v>0</v>
      </c>
      <c r="BP216" s="318" t="n">
        <v>0</v>
      </c>
      <c r="BQ216" s="318" t="n">
        <v>0</v>
      </c>
      <c r="BR216" s="318" t="n">
        <v>0.035</v>
      </c>
      <c r="BS216" s="0"/>
      <c r="BT216" s="0" t="n">
        <v>0</v>
      </c>
      <c r="BU216" s="0" t="n">
        <v>0</v>
      </c>
      <c r="BV216" s="0" t="n">
        <v>0</v>
      </c>
    </row>
    <row r="217" customFormat="false" ht="12.75" hidden="false" customHeight="false" outlineLevel="0" collapsed="false">
      <c r="A217" s="320"/>
      <c r="B217" s="320" t="n">
        <v>4.396</v>
      </c>
      <c r="C217" s="327" t="n">
        <f aca="false">EOMONTH(C216,0)+1</f>
        <v>43709</v>
      </c>
      <c r="D217" s="0" t="n">
        <f aca="false">D205+0.05</f>
        <v>3.899</v>
      </c>
      <c r="E217" s="320" t="n">
        <v>0.17</v>
      </c>
      <c r="F217" s="320" t="n">
        <v>0.0631653215662884</v>
      </c>
      <c r="O217" s="318"/>
      <c r="V217" s="330" t="n">
        <v>0.5</v>
      </c>
      <c r="W217" s="330" t="n">
        <v>0.15</v>
      </c>
      <c r="X217" s="318" t="n">
        <v>0.205</v>
      </c>
      <c r="Y217" s="318" t="n">
        <v>0</v>
      </c>
      <c r="Z217" s="318" t="n">
        <v>-0.0325</v>
      </c>
      <c r="AA217" s="318" t="n">
        <v>0.0215</v>
      </c>
      <c r="AB217" s="318" t="n">
        <v>0.0065</v>
      </c>
      <c r="AC217" s="318" t="n">
        <v>0</v>
      </c>
      <c r="AD217" s="318" t="n">
        <v>0</v>
      </c>
      <c r="AE217" s="318" t="n">
        <v>0</v>
      </c>
      <c r="AF217" s="318" t="n">
        <v>0</v>
      </c>
      <c r="AG217" s="318" t="n">
        <v>0</v>
      </c>
      <c r="AH217" s="318" t="n">
        <v>0</v>
      </c>
      <c r="AI217" s="318" t="n">
        <v>0</v>
      </c>
      <c r="AK217" s="318" t="n">
        <v>0</v>
      </c>
      <c r="AL217" s="318" t="n">
        <v>0</v>
      </c>
      <c r="AM217" s="318" t="n">
        <v>0.41</v>
      </c>
      <c r="AN217" s="318" t="n">
        <v>0.03</v>
      </c>
      <c r="AO217" s="318" t="n">
        <v>0</v>
      </c>
      <c r="AP217" s="318" t="n">
        <v>-0.07</v>
      </c>
      <c r="AQ217" s="318" t="n">
        <v>-0.195</v>
      </c>
      <c r="AR217" s="318" t="n">
        <v>0</v>
      </c>
      <c r="AS217" s="318" t="n">
        <v>-0.37</v>
      </c>
      <c r="AT217" s="318" t="n">
        <v>0</v>
      </c>
      <c r="AU217" s="318" t="n">
        <v>0.43</v>
      </c>
      <c r="AV217" s="318" t="n">
        <v>0</v>
      </c>
      <c r="AW217" s="318" t="n">
        <v>-0.06</v>
      </c>
      <c r="AX217" s="318" t="n">
        <v>-0.06</v>
      </c>
      <c r="AY217" s="318" t="n">
        <v>0</v>
      </c>
      <c r="BA217" s="318" t="n">
        <v>0</v>
      </c>
      <c r="BB217" s="318" t="n">
        <v>0</v>
      </c>
      <c r="BD217" s="318" t="n">
        <v>0</v>
      </c>
      <c r="BE217" s="318" t="n">
        <v>0</v>
      </c>
      <c r="BF217" s="318" t="n">
        <v>0</v>
      </c>
      <c r="BJ217" s="318" t="n">
        <v>0.35</v>
      </c>
      <c r="BK217" s="318" t="n">
        <v>0</v>
      </c>
      <c r="BL217" s="318" t="n">
        <v>-0.01</v>
      </c>
      <c r="BM217" s="318" t="n">
        <v>0.005</v>
      </c>
      <c r="BO217" s="318" t="n">
        <v>0</v>
      </c>
      <c r="BP217" s="318" t="n">
        <v>0</v>
      </c>
      <c r="BQ217" s="318" t="n">
        <v>0</v>
      </c>
      <c r="BR217" s="318" t="n">
        <v>0.01</v>
      </c>
      <c r="BS217" s="0"/>
      <c r="BT217" s="0" t="n">
        <v>0</v>
      </c>
      <c r="BU217" s="0" t="n">
        <v>0</v>
      </c>
      <c r="BV217" s="0" t="n">
        <v>0</v>
      </c>
    </row>
    <row r="218" customFormat="false" ht="12.75" hidden="false" customHeight="false" outlineLevel="0" collapsed="false">
      <c r="A218" s="320"/>
      <c r="B218" s="320" t="n">
        <v>4.283</v>
      </c>
      <c r="C218" s="327" t="n">
        <f aca="false">EOMONTH(C217,0)+1</f>
        <v>43739</v>
      </c>
      <c r="D218" s="0" t="n">
        <f aca="false">D206+0.05</f>
        <v>3.914</v>
      </c>
      <c r="E218" s="320" t="n">
        <v>0.17</v>
      </c>
      <c r="F218" s="320" t="n">
        <v>0.0632091498279856</v>
      </c>
      <c r="O218" s="318"/>
      <c r="V218" s="330" t="n">
        <v>0.5</v>
      </c>
      <c r="W218" s="330" t="n">
        <v>0.125</v>
      </c>
      <c r="X218" s="318" t="n">
        <v>0.145</v>
      </c>
      <c r="Y218" s="318" t="n">
        <v>0</v>
      </c>
      <c r="Z218" s="318" t="n">
        <v>-0.0375</v>
      </c>
      <c r="AA218" s="318" t="n">
        <v>0.0215</v>
      </c>
      <c r="AB218" s="318" t="n">
        <v>0.0065</v>
      </c>
      <c r="AC218" s="318" t="n">
        <v>0</v>
      </c>
      <c r="AD218" s="318" t="n">
        <v>0</v>
      </c>
      <c r="AE218" s="318" t="n">
        <v>0</v>
      </c>
      <c r="AF218" s="318" t="n">
        <v>0</v>
      </c>
      <c r="AG218" s="318" t="n">
        <v>0</v>
      </c>
      <c r="AH218" s="318" t="n">
        <v>0</v>
      </c>
      <c r="AI218" s="318" t="n">
        <v>0</v>
      </c>
      <c r="AK218" s="318" t="n">
        <v>0</v>
      </c>
      <c r="AL218" s="318" t="n">
        <v>0</v>
      </c>
      <c r="AM218" s="318" t="n">
        <v>0.36</v>
      </c>
      <c r="AN218" s="318" t="n">
        <v>0.0225</v>
      </c>
      <c r="AO218" s="318" t="n">
        <v>0</v>
      </c>
      <c r="AP218" s="318" t="n">
        <v>-0.07</v>
      </c>
      <c r="AQ218" s="318" t="n">
        <v>-0.195</v>
      </c>
      <c r="AR218" s="318" t="n">
        <v>0</v>
      </c>
      <c r="AS218" s="318" t="n">
        <v>-0.37</v>
      </c>
      <c r="AT218" s="318" t="n">
        <v>0</v>
      </c>
      <c r="AU218" s="318" t="n">
        <v>0.43</v>
      </c>
      <c r="AV218" s="318" t="n">
        <v>0</v>
      </c>
      <c r="AW218" s="318" t="n">
        <v>-0.06</v>
      </c>
      <c r="AX218" s="318" t="n">
        <v>-0.06</v>
      </c>
      <c r="AY218" s="318" t="n">
        <v>0</v>
      </c>
      <c r="BA218" s="318" t="n">
        <v>0</v>
      </c>
      <c r="BB218" s="318" t="n">
        <v>0</v>
      </c>
      <c r="BD218" s="318" t="n">
        <v>-0.0075</v>
      </c>
      <c r="BE218" s="318" t="n">
        <v>0</v>
      </c>
      <c r="BF218" s="318" t="n">
        <v>0</v>
      </c>
      <c r="BJ218" s="318" t="n">
        <v>0.315</v>
      </c>
      <c r="BK218" s="318" t="n">
        <v>0</v>
      </c>
      <c r="BL218" s="318" t="n">
        <v>-0.01</v>
      </c>
      <c r="BM218" s="318" t="n">
        <v>0.005</v>
      </c>
      <c r="BO218" s="318" t="n">
        <v>0</v>
      </c>
      <c r="BP218" s="318" t="n">
        <v>0</v>
      </c>
      <c r="BQ218" s="318" t="n">
        <v>0</v>
      </c>
      <c r="BR218" s="318" t="n">
        <v>0.01</v>
      </c>
      <c r="BS218" s="0"/>
      <c r="BT218" s="0" t="n">
        <v>0</v>
      </c>
      <c r="BU218" s="0" t="n">
        <v>0</v>
      </c>
      <c r="BV218" s="0" t="n">
        <v>0</v>
      </c>
    </row>
    <row r="219" customFormat="false" ht="12.75" hidden="false" customHeight="false" outlineLevel="0" collapsed="false">
      <c r="A219" s="320"/>
      <c r="B219" s="320" t="n">
        <v>4.173</v>
      </c>
      <c r="C219" s="327" t="n">
        <f aca="false">EOMONTH(C218,0)+1</f>
        <v>43770</v>
      </c>
      <c r="D219" s="0" t="n">
        <f aca="false">D207+0.05</f>
        <v>4.059</v>
      </c>
      <c r="E219" s="320" t="n">
        <v>0.17</v>
      </c>
      <c r="F219" s="320" t="n">
        <v>0.0632515642753972</v>
      </c>
      <c r="O219" s="318"/>
      <c r="V219" s="330" t="n">
        <v>0.5</v>
      </c>
      <c r="W219" s="330" t="n">
        <v>0.145</v>
      </c>
      <c r="X219" s="318" t="n">
        <v>0.175</v>
      </c>
      <c r="Y219" s="318" t="n">
        <v>0</v>
      </c>
      <c r="Z219" s="318" t="n">
        <v>-0.0375</v>
      </c>
      <c r="AA219" s="318" t="n">
        <v>0.0165</v>
      </c>
      <c r="AB219" s="318" t="n">
        <v>0.0015</v>
      </c>
      <c r="AC219" s="318" t="n">
        <v>0</v>
      </c>
      <c r="AD219" s="318" t="n">
        <v>0</v>
      </c>
      <c r="AE219" s="318" t="n">
        <v>0</v>
      </c>
      <c r="AF219" s="318" t="n">
        <v>0</v>
      </c>
      <c r="AG219" s="318" t="n">
        <v>0</v>
      </c>
      <c r="AH219" s="318" t="n">
        <v>0</v>
      </c>
      <c r="AI219" s="318" t="n">
        <v>0</v>
      </c>
      <c r="AK219" s="318" t="n">
        <v>0</v>
      </c>
      <c r="AL219" s="318" t="n">
        <v>0</v>
      </c>
      <c r="AM219" s="318" t="n">
        <v>0.4</v>
      </c>
      <c r="AN219" s="318" t="n">
        <v>0.0125</v>
      </c>
      <c r="AO219" s="318" t="n">
        <v>0</v>
      </c>
      <c r="AP219" s="318" t="n">
        <v>-0.07</v>
      </c>
      <c r="AQ219" s="318" t="n">
        <v>-0.195</v>
      </c>
      <c r="AR219" s="318" t="n">
        <v>0</v>
      </c>
      <c r="AS219" s="318" t="n">
        <v>-0.37</v>
      </c>
      <c r="AT219" s="318" t="n">
        <v>0</v>
      </c>
      <c r="AU219" s="318" t="n">
        <v>0.43</v>
      </c>
      <c r="AV219" s="318" t="n">
        <v>0</v>
      </c>
      <c r="AW219" s="318" t="n">
        <v>-0.06</v>
      </c>
      <c r="AX219" s="318" t="n">
        <v>-0.06</v>
      </c>
      <c r="AY219" s="318" t="n">
        <v>0</v>
      </c>
      <c r="BA219" s="318" t="n">
        <v>0</v>
      </c>
      <c r="BB219" s="318" t="n">
        <v>0</v>
      </c>
      <c r="BD219" s="318" t="n">
        <v>-0.0175</v>
      </c>
      <c r="BE219" s="318" t="n">
        <v>0</v>
      </c>
      <c r="BF219" s="318" t="n">
        <v>0</v>
      </c>
      <c r="BJ219" s="318" t="n">
        <v>0.36</v>
      </c>
      <c r="BK219" s="318" t="n">
        <v>0</v>
      </c>
      <c r="BL219" s="318" t="n">
        <v>-0.015</v>
      </c>
      <c r="BM219" s="318" t="n">
        <v>0.005</v>
      </c>
      <c r="BO219" s="318" t="n">
        <v>0</v>
      </c>
      <c r="BP219" s="318" t="n">
        <v>0</v>
      </c>
      <c r="BQ219" s="318" t="n">
        <v>0</v>
      </c>
      <c r="BR219" s="318" t="n">
        <v>0.01</v>
      </c>
      <c r="BS219" s="0"/>
      <c r="BT219" s="0" t="n">
        <v>0</v>
      </c>
      <c r="BU219" s="0" t="n">
        <v>0</v>
      </c>
      <c r="BV219" s="0" t="n">
        <v>0</v>
      </c>
    </row>
    <row r="220" customFormat="false" ht="12.75" hidden="false" customHeight="false" outlineLevel="0" collapsed="false">
      <c r="A220" s="320"/>
      <c r="B220" s="320" t="n">
        <v>4.16</v>
      </c>
      <c r="C220" s="327" t="n">
        <f aca="false">EOMONTH(C219,0)+1</f>
        <v>43800</v>
      </c>
      <c r="D220" s="0" t="n">
        <f aca="false">D208+0.05</f>
        <v>4.194</v>
      </c>
      <c r="E220" s="320" t="n">
        <v>0.17</v>
      </c>
      <c r="F220" s="320" t="n">
        <v>0.0632953925383486</v>
      </c>
      <c r="O220" s="318"/>
      <c r="V220" s="330" t="n">
        <v>0.5</v>
      </c>
      <c r="W220" s="330" t="n">
        <v>0.195</v>
      </c>
      <c r="X220" s="318" t="n">
        <v>0.21</v>
      </c>
      <c r="Y220" s="318" t="n">
        <v>0</v>
      </c>
      <c r="Z220" s="318" t="n">
        <v>-0.0185</v>
      </c>
      <c r="AA220" s="318" t="n">
        <v>0.0175</v>
      </c>
      <c r="AB220" s="318" t="n">
        <v>0.0025</v>
      </c>
      <c r="AC220" s="318" t="n">
        <v>0</v>
      </c>
      <c r="AD220" s="318" t="n">
        <v>0</v>
      </c>
      <c r="AE220" s="318" t="n">
        <v>0</v>
      </c>
      <c r="AF220" s="318" t="n">
        <v>0</v>
      </c>
      <c r="AG220" s="318" t="n">
        <v>0</v>
      </c>
      <c r="AH220" s="318" t="n">
        <v>0</v>
      </c>
      <c r="AI220" s="318" t="n">
        <v>0</v>
      </c>
      <c r="AK220" s="318" t="n">
        <v>0</v>
      </c>
      <c r="AL220" s="318" t="n">
        <v>0</v>
      </c>
      <c r="AM220" s="318" t="n">
        <v>0.65</v>
      </c>
      <c r="AN220" s="318" t="n">
        <v>-0.0225</v>
      </c>
      <c r="AO220" s="318" t="n">
        <v>0</v>
      </c>
      <c r="AP220" s="318" t="n">
        <v>-0.07</v>
      </c>
      <c r="AQ220" s="318" t="n">
        <v>-0.13</v>
      </c>
      <c r="AR220" s="318" t="n">
        <v>0</v>
      </c>
      <c r="AS220" s="318" t="n">
        <v>-0.26</v>
      </c>
      <c r="AT220" s="318" t="n">
        <v>0</v>
      </c>
      <c r="AU220" s="318" t="n">
        <v>0.35</v>
      </c>
      <c r="AV220" s="318" t="n">
        <v>0</v>
      </c>
      <c r="AW220" s="318" t="n">
        <v>-0.06</v>
      </c>
      <c r="AX220" s="318" t="n">
        <v>-0.06</v>
      </c>
      <c r="AY220" s="318" t="n">
        <v>0</v>
      </c>
      <c r="BA220" s="318" t="n">
        <v>0</v>
      </c>
      <c r="BB220" s="318" t="n">
        <v>0</v>
      </c>
      <c r="BD220" s="318" t="n">
        <v>-0.0525</v>
      </c>
      <c r="BE220" s="318" t="n">
        <v>0</v>
      </c>
      <c r="BF220" s="318" t="n">
        <v>0</v>
      </c>
      <c r="BJ220" s="318" t="n">
        <v>0.46</v>
      </c>
      <c r="BK220" s="318" t="n">
        <v>0</v>
      </c>
      <c r="BL220" s="318" t="n">
        <v>-0.02</v>
      </c>
      <c r="BM220" s="318" t="n">
        <v>0.005</v>
      </c>
      <c r="BO220" s="318" t="n">
        <v>0</v>
      </c>
      <c r="BP220" s="318" t="n">
        <v>0</v>
      </c>
      <c r="BQ220" s="318" t="n">
        <v>0</v>
      </c>
      <c r="BR220" s="318" t="n">
        <v>0.055</v>
      </c>
      <c r="BS220" s="0"/>
      <c r="BT220" s="0" t="n">
        <v>0</v>
      </c>
      <c r="BU220" s="0" t="n">
        <v>0</v>
      </c>
      <c r="BV220" s="0" t="n">
        <v>0</v>
      </c>
    </row>
    <row r="221" customFormat="false" ht="12.75" hidden="false" customHeight="false" outlineLevel="0" collapsed="false">
      <c r="A221" s="320"/>
      <c r="B221" s="320" t="n">
        <v>4.155</v>
      </c>
      <c r="C221" s="327" t="n">
        <f aca="false">EOMONTH(C220,0)+1</f>
        <v>43831</v>
      </c>
      <c r="D221" s="0" t="n">
        <f aca="false">D209+0.05</f>
        <v>4.249</v>
      </c>
      <c r="E221" s="320" t="n">
        <v>0.17</v>
      </c>
      <c r="F221" s="320" t="n">
        <v>0.0633378069869734</v>
      </c>
      <c r="O221" s="318"/>
      <c r="V221" s="330" t="n">
        <v>0.5</v>
      </c>
      <c r="W221" s="330" t="n">
        <v>0.215</v>
      </c>
      <c r="X221" s="318" t="n">
        <v>0.29</v>
      </c>
      <c r="Y221" s="318" t="n">
        <v>0</v>
      </c>
      <c r="Z221" s="318" t="n">
        <v>-0.0185</v>
      </c>
      <c r="AA221" s="318" t="n">
        <v>0.0175</v>
      </c>
      <c r="AB221" s="318" t="n">
        <v>0.0025</v>
      </c>
      <c r="AC221" s="318" t="n">
        <v>0</v>
      </c>
      <c r="AD221" s="318" t="n">
        <v>0</v>
      </c>
      <c r="AE221" s="318" t="n">
        <v>0</v>
      </c>
      <c r="AF221" s="318" t="n">
        <v>0</v>
      </c>
      <c r="AG221" s="318" t="n">
        <v>0</v>
      </c>
      <c r="AH221" s="318" t="n">
        <v>0</v>
      </c>
      <c r="AI221" s="318" t="n">
        <v>0</v>
      </c>
      <c r="AK221" s="318" t="n">
        <v>0</v>
      </c>
      <c r="AL221" s="318" t="n">
        <v>0</v>
      </c>
      <c r="AM221" s="318" t="n">
        <v>0.98</v>
      </c>
      <c r="AN221" s="318" t="n">
        <v>-0.045</v>
      </c>
      <c r="AO221" s="318" t="n">
        <v>0</v>
      </c>
      <c r="AP221" s="318" t="n">
        <v>-0.07</v>
      </c>
      <c r="AQ221" s="318" t="n">
        <v>-0.13</v>
      </c>
      <c r="AR221" s="318" t="n">
        <v>0</v>
      </c>
      <c r="AS221" s="318" t="n">
        <v>-0.26</v>
      </c>
      <c r="AT221" s="318" t="n">
        <v>0</v>
      </c>
      <c r="AU221" s="318" t="n">
        <v>0.35</v>
      </c>
      <c r="AV221" s="318" t="n">
        <v>0</v>
      </c>
      <c r="AW221" s="318" t="n">
        <v>-0.06</v>
      </c>
      <c r="AX221" s="318" t="n">
        <v>-0.06</v>
      </c>
      <c r="AY221" s="318" t="n">
        <v>0</v>
      </c>
      <c r="BA221" s="318" t="n">
        <v>0</v>
      </c>
      <c r="BB221" s="318" t="n">
        <v>0</v>
      </c>
      <c r="BD221" s="318" t="n">
        <v>-0.075</v>
      </c>
      <c r="BE221" s="318" t="n">
        <v>0</v>
      </c>
      <c r="BF221" s="318" t="n">
        <v>0</v>
      </c>
      <c r="BJ221" s="318" t="n">
        <v>0.77</v>
      </c>
      <c r="BK221" s="318" t="n">
        <v>0</v>
      </c>
      <c r="BL221" s="318" t="n">
        <v>-0.025</v>
      </c>
      <c r="BM221" s="318" t="n">
        <v>0.005</v>
      </c>
      <c r="BO221" s="318" t="n">
        <v>0</v>
      </c>
      <c r="BP221" s="318" t="n">
        <v>0</v>
      </c>
      <c r="BQ221" s="318" t="n">
        <v>0</v>
      </c>
      <c r="BR221" s="318" t="n">
        <v>0.25</v>
      </c>
      <c r="BS221" s="0"/>
      <c r="BT221" s="0" t="n">
        <v>0</v>
      </c>
      <c r="BU221" s="0" t="n">
        <v>0</v>
      </c>
      <c r="BV221" s="0" t="n">
        <v>0</v>
      </c>
    </row>
    <row r="222" customFormat="false" ht="12.75" hidden="false" customHeight="false" outlineLevel="0" collapsed="false">
      <c r="A222" s="320"/>
      <c r="B222" s="320" t="n">
        <v>4.22</v>
      </c>
      <c r="C222" s="327" t="n">
        <f aca="false">EOMONTH(C221,0)+1</f>
        <v>43862</v>
      </c>
      <c r="D222" s="0" t="n">
        <f aca="false">D210+0.05</f>
        <v>4.101</v>
      </c>
      <c r="E222" s="320" t="n">
        <v>0.17</v>
      </c>
      <c r="F222" s="320" t="n">
        <v>0.0633816352511785</v>
      </c>
      <c r="O222" s="318"/>
      <c r="V222" s="330" t="n">
        <v>0.5</v>
      </c>
      <c r="W222" s="330" t="n">
        <v>0.235</v>
      </c>
      <c r="X222" s="318" t="n">
        <v>0.34</v>
      </c>
      <c r="Y222" s="318" t="n">
        <v>0</v>
      </c>
      <c r="Z222" s="318" t="n">
        <v>-0.0185</v>
      </c>
      <c r="AA222" s="318" t="n">
        <v>0.0175</v>
      </c>
      <c r="AB222" s="318" t="n">
        <v>0.0025</v>
      </c>
      <c r="AC222" s="318" t="n">
        <v>0</v>
      </c>
      <c r="AD222" s="318" t="n">
        <v>0</v>
      </c>
      <c r="AE222" s="318" t="n">
        <v>0</v>
      </c>
      <c r="AF222" s="318" t="n">
        <v>0</v>
      </c>
      <c r="AG222" s="318" t="n">
        <v>0</v>
      </c>
      <c r="AH222" s="318" t="n">
        <v>0</v>
      </c>
      <c r="AI222" s="318" t="n">
        <v>0</v>
      </c>
      <c r="AK222" s="318" t="n">
        <v>0</v>
      </c>
      <c r="AL222" s="318" t="n">
        <v>0</v>
      </c>
      <c r="AM222" s="318" t="n">
        <v>1.6</v>
      </c>
      <c r="AN222" s="318" t="n">
        <v>-0.0475</v>
      </c>
      <c r="AO222" s="318" t="n">
        <v>0</v>
      </c>
      <c r="AP222" s="318" t="n">
        <v>-0.07</v>
      </c>
      <c r="AQ222" s="318" t="n">
        <v>-0.13</v>
      </c>
      <c r="AR222" s="318" t="n">
        <v>0</v>
      </c>
      <c r="AS222" s="318" t="n">
        <v>-0.26</v>
      </c>
      <c r="AT222" s="318" t="n">
        <v>0</v>
      </c>
      <c r="AU222" s="318" t="n">
        <v>0.35</v>
      </c>
      <c r="AV222" s="318" t="n">
        <v>0</v>
      </c>
      <c r="AW222" s="318" t="n">
        <v>-0.06</v>
      </c>
      <c r="AX222" s="318" t="n">
        <v>-0.06</v>
      </c>
      <c r="AY222" s="318" t="n">
        <v>0</v>
      </c>
      <c r="BA222" s="318" t="n">
        <v>0</v>
      </c>
      <c r="BB222" s="318" t="n">
        <v>0</v>
      </c>
      <c r="BD222" s="318" t="n">
        <v>-0.0775</v>
      </c>
      <c r="BE222" s="318" t="n">
        <v>0</v>
      </c>
      <c r="BF222" s="318" t="n">
        <v>0</v>
      </c>
      <c r="BJ222" s="318" t="n">
        <v>1.04</v>
      </c>
      <c r="BK222" s="318" t="n">
        <v>0</v>
      </c>
      <c r="BL222" s="318" t="n">
        <v>-0.025</v>
      </c>
      <c r="BM222" s="318" t="n">
        <v>0.005</v>
      </c>
      <c r="BO222" s="318" t="n">
        <v>0</v>
      </c>
      <c r="BP222" s="318" t="n">
        <v>0</v>
      </c>
      <c r="BQ222" s="318" t="n">
        <v>0</v>
      </c>
      <c r="BR222" s="318" t="n">
        <v>0.45</v>
      </c>
      <c r="BS222" s="0"/>
      <c r="BT222" s="0" t="n">
        <v>0</v>
      </c>
      <c r="BU222" s="0" t="n">
        <v>0</v>
      </c>
      <c r="BV222" s="0" t="n">
        <v>0</v>
      </c>
    </row>
    <row r="223" customFormat="false" ht="12.75" hidden="false" customHeight="false" outlineLevel="0" collapsed="false">
      <c r="A223" s="320"/>
      <c r="B223" s="320" t="n">
        <v>4.215</v>
      </c>
      <c r="C223" s="327" t="n">
        <f aca="false">EOMONTH(C222,0)+1</f>
        <v>43891</v>
      </c>
      <c r="D223" s="0" t="n">
        <f aca="false">D211+0.05</f>
        <v>4.05</v>
      </c>
      <c r="E223" s="320" t="n">
        <v>0.17</v>
      </c>
      <c r="F223" s="320" t="n">
        <v>0.0634254635160216</v>
      </c>
      <c r="O223" s="318"/>
      <c r="V223" s="330" t="n">
        <v>0.5</v>
      </c>
      <c r="W223" s="330" t="n">
        <v>0.235</v>
      </c>
      <c r="X223" s="318" t="n">
        <v>0.34</v>
      </c>
      <c r="Y223" s="318" t="n">
        <v>0</v>
      </c>
      <c r="Z223" s="318" t="n">
        <v>-0.0185</v>
      </c>
      <c r="AA223" s="318" t="n">
        <v>0.0175</v>
      </c>
      <c r="AB223" s="318" t="n">
        <v>0.0025</v>
      </c>
      <c r="AC223" s="318" t="n">
        <v>0</v>
      </c>
      <c r="AD223" s="318" t="n">
        <v>0</v>
      </c>
      <c r="AE223" s="318" t="n">
        <v>0</v>
      </c>
      <c r="AF223" s="318" t="n">
        <v>0</v>
      </c>
      <c r="AG223" s="318" t="n">
        <v>0</v>
      </c>
      <c r="AH223" s="318" t="n">
        <v>0</v>
      </c>
      <c r="AI223" s="318" t="n">
        <v>0</v>
      </c>
      <c r="AK223" s="318" t="n">
        <v>0</v>
      </c>
      <c r="AL223" s="318" t="n">
        <v>0</v>
      </c>
      <c r="AM223" s="318" t="n">
        <v>1.6</v>
      </c>
      <c r="AN223" s="318" t="n">
        <v>-0.03</v>
      </c>
      <c r="AO223" s="318" t="n">
        <v>0</v>
      </c>
      <c r="AP223" s="318" t="n">
        <v>-0.07</v>
      </c>
      <c r="AQ223" s="318" t="n">
        <v>-0.13</v>
      </c>
      <c r="AR223" s="318" t="n">
        <v>0</v>
      </c>
      <c r="AS223" s="318" t="n">
        <v>-0.26</v>
      </c>
      <c r="AT223" s="318" t="n">
        <v>0</v>
      </c>
      <c r="AU223" s="318" t="n">
        <v>0.35</v>
      </c>
      <c r="AV223" s="318" t="n">
        <v>0</v>
      </c>
      <c r="AW223" s="318" t="n">
        <v>-0.06</v>
      </c>
      <c r="AX223" s="318" t="n">
        <v>-0.06</v>
      </c>
      <c r="AY223" s="318" t="n">
        <v>0</v>
      </c>
      <c r="BA223" s="318" t="n">
        <v>0</v>
      </c>
      <c r="BB223" s="318" t="n">
        <v>0</v>
      </c>
      <c r="BD223" s="318" t="n">
        <v>-0.06</v>
      </c>
      <c r="BE223" s="318" t="n">
        <v>0</v>
      </c>
      <c r="BF223" s="318" t="n">
        <v>0</v>
      </c>
      <c r="BJ223" s="318" t="n">
        <v>1.04</v>
      </c>
      <c r="BK223" s="318" t="n">
        <v>0</v>
      </c>
      <c r="BL223" s="318" t="n">
        <v>-0.025</v>
      </c>
      <c r="BM223" s="318" t="n">
        <v>0.005</v>
      </c>
      <c r="BO223" s="318" t="n">
        <v>0</v>
      </c>
      <c r="BP223" s="318" t="n">
        <v>0</v>
      </c>
      <c r="BQ223" s="318" t="n">
        <v>0</v>
      </c>
      <c r="BR223" s="318" t="n">
        <v>0.45</v>
      </c>
      <c r="BS223" s="0"/>
      <c r="BT223" s="0" t="n">
        <v>0</v>
      </c>
      <c r="BU223" s="0" t="n">
        <v>0</v>
      </c>
      <c r="BV223" s="0" t="n">
        <v>0</v>
      </c>
    </row>
    <row r="224" customFormat="false" ht="12.75" hidden="false" customHeight="false" outlineLevel="0" collapsed="false">
      <c r="A224" s="320"/>
      <c r="B224" s="320" t="n">
        <v>4.19</v>
      </c>
      <c r="C224" s="327" t="n">
        <f aca="false">EOMONTH(C223,0)+1</f>
        <v>43922</v>
      </c>
      <c r="D224" s="0" t="n">
        <f aca="false">D212+0.05</f>
        <v>3.831</v>
      </c>
      <c r="E224" s="320" t="n">
        <v>0.17</v>
      </c>
      <c r="F224" s="320" t="n">
        <v>0.0634664641514515</v>
      </c>
      <c r="O224" s="318"/>
      <c r="V224" s="330" t="n">
        <v>0.5</v>
      </c>
      <c r="W224" s="330" t="n">
        <v>0.195</v>
      </c>
      <c r="X224" s="318" t="n">
        <v>0.29</v>
      </c>
      <c r="Y224" s="318" t="n">
        <v>0</v>
      </c>
      <c r="Z224" s="318" t="n">
        <v>-0.0185</v>
      </c>
      <c r="AA224" s="318" t="n">
        <v>0.025</v>
      </c>
      <c r="AB224" s="318" t="n">
        <v>0.01</v>
      </c>
      <c r="AC224" s="318" t="n">
        <v>0</v>
      </c>
      <c r="AD224" s="318" t="n">
        <v>0</v>
      </c>
      <c r="AE224" s="318" t="n">
        <v>0</v>
      </c>
      <c r="AF224" s="318" t="n">
        <v>0</v>
      </c>
      <c r="AG224" s="318" t="n">
        <v>0</v>
      </c>
      <c r="AH224" s="318" t="n">
        <v>0</v>
      </c>
      <c r="AI224" s="318" t="n">
        <v>0</v>
      </c>
      <c r="AK224" s="318" t="n">
        <v>0</v>
      </c>
      <c r="AL224" s="318" t="n">
        <v>0</v>
      </c>
      <c r="AM224" s="318" t="n">
        <v>0.64</v>
      </c>
      <c r="AN224" s="318" t="n">
        <v>-0.0175</v>
      </c>
      <c r="AO224" s="318" t="n">
        <v>0</v>
      </c>
      <c r="AP224" s="318" t="n">
        <v>-0.07</v>
      </c>
      <c r="AQ224" s="318" t="n">
        <v>-0.13</v>
      </c>
      <c r="AR224" s="318" t="n">
        <v>0</v>
      </c>
      <c r="AS224" s="318" t="n">
        <v>-0.26</v>
      </c>
      <c r="AT224" s="318" t="n">
        <v>0</v>
      </c>
      <c r="AU224" s="318" t="n">
        <v>0.35</v>
      </c>
      <c r="AV224" s="318" t="n">
        <v>0</v>
      </c>
      <c r="AW224" s="318" t="n">
        <v>-0.06</v>
      </c>
      <c r="AX224" s="318" t="n">
        <v>-0.06</v>
      </c>
      <c r="AY224" s="318" t="n">
        <v>0</v>
      </c>
      <c r="BA224" s="318" t="n">
        <v>0</v>
      </c>
      <c r="BB224" s="318" t="n">
        <v>0</v>
      </c>
      <c r="BD224" s="318" t="n">
        <v>-0.0475</v>
      </c>
      <c r="BE224" s="318" t="n">
        <v>0</v>
      </c>
      <c r="BF224" s="318" t="n">
        <v>0</v>
      </c>
      <c r="BJ224" s="318" t="n">
        <v>0.54</v>
      </c>
      <c r="BK224" s="318" t="n">
        <v>0</v>
      </c>
      <c r="BL224" s="318" t="n">
        <v>-0.02</v>
      </c>
      <c r="BM224" s="318" t="n">
        <v>0.005</v>
      </c>
      <c r="BO224" s="318" t="n">
        <v>0</v>
      </c>
      <c r="BP224" s="318" t="n">
        <v>0</v>
      </c>
      <c r="BQ224" s="318" t="n">
        <v>0</v>
      </c>
      <c r="BR224" s="318" t="n">
        <v>0.1</v>
      </c>
      <c r="BS224" s="0"/>
      <c r="BT224" s="0" t="n">
        <v>0</v>
      </c>
      <c r="BU224" s="0" t="n">
        <v>0</v>
      </c>
      <c r="BV224" s="0" t="n">
        <v>0</v>
      </c>
    </row>
    <row r="225" customFormat="false" ht="12.75" hidden="false" customHeight="false" outlineLevel="0" collapsed="false">
      <c r="A225" s="320"/>
      <c r="B225" s="320" t="n">
        <v>4.193</v>
      </c>
      <c r="C225" s="327" t="n">
        <f aca="false">EOMONTH(C224,0)+1</f>
        <v>43952</v>
      </c>
      <c r="D225" s="0" t="n">
        <f aca="false">D213+0.05</f>
        <v>3.834</v>
      </c>
      <c r="E225" s="320" t="n">
        <v>0.17</v>
      </c>
      <c r="F225" s="320" t="n">
        <v>0.063510292417527</v>
      </c>
      <c r="O225" s="318"/>
      <c r="V225" s="330" t="n">
        <v>0.5</v>
      </c>
      <c r="W225" s="330" t="n">
        <v>0.145</v>
      </c>
      <c r="X225" s="318" t="n">
        <v>0.195</v>
      </c>
      <c r="Y225" s="318" t="n">
        <v>0</v>
      </c>
      <c r="Z225" s="318" t="n">
        <v>-0.0335</v>
      </c>
      <c r="AA225" s="318" t="n">
        <v>0.025</v>
      </c>
      <c r="AB225" s="318" t="n">
        <v>0.01</v>
      </c>
      <c r="AC225" s="318" t="n">
        <v>0</v>
      </c>
      <c r="AD225" s="318" t="n">
        <v>0</v>
      </c>
      <c r="AE225" s="318" t="n">
        <v>0</v>
      </c>
      <c r="AF225" s="318" t="n">
        <v>0</v>
      </c>
      <c r="AG225" s="318" t="n">
        <v>0</v>
      </c>
      <c r="AH225" s="318" t="n">
        <v>0</v>
      </c>
      <c r="AI225" s="318" t="n">
        <v>0</v>
      </c>
      <c r="AK225" s="318" t="n">
        <v>0</v>
      </c>
      <c r="AL225" s="318" t="n">
        <v>0</v>
      </c>
      <c r="AM225" s="318" t="n">
        <v>0.38</v>
      </c>
      <c r="AN225" s="318" t="n">
        <v>0.02</v>
      </c>
      <c r="AO225" s="318" t="n">
        <v>0</v>
      </c>
      <c r="AP225" s="318" t="n">
        <v>-0.07</v>
      </c>
      <c r="AQ225" s="318" t="n">
        <v>-0.195</v>
      </c>
      <c r="AR225" s="318" t="n">
        <v>0</v>
      </c>
      <c r="AS225" s="318" t="n">
        <v>-0.37</v>
      </c>
      <c r="AT225" s="318" t="n">
        <v>0</v>
      </c>
      <c r="AU225" s="318" t="n">
        <v>0.43</v>
      </c>
      <c r="AV225" s="318" t="n">
        <v>0</v>
      </c>
      <c r="AW225" s="318" t="n">
        <v>-0.06</v>
      </c>
      <c r="AX225" s="318" t="n">
        <v>-0.06</v>
      </c>
      <c r="AY225" s="318" t="n">
        <v>0</v>
      </c>
      <c r="BA225" s="318" t="n">
        <v>0</v>
      </c>
      <c r="BB225" s="318" t="n">
        <v>0</v>
      </c>
      <c r="BD225" s="318" t="n">
        <v>-0.01</v>
      </c>
      <c r="BE225" s="318" t="n">
        <v>0</v>
      </c>
      <c r="BF225" s="318" t="n">
        <v>0</v>
      </c>
      <c r="BJ225" s="318" t="n">
        <v>0.36</v>
      </c>
      <c r="BK225" s="318" t="n">
        <v>0</v>
      </c>
      <c r="BL225" s="318" t="n">
        <v>-0.015</v>
      </c>
      <c r="BM225" s="318" t="n">
        <v>0.005</v>
      </c>
      <c r="BO225" s="318" t="n">
        <v>0</v>
      </c>
      <c r="BP225" s="318" t="n">
        <v>0</v>
      </c>
      <c r="BQ225" s="318" t="n">
        <v>0</v>
      </c>
      <c r="BR225" s="318" t="n">
        <v>0.02</v>
      </c>
      <c r="BS225" s="0"/>
      <c r="BT225" s="0" t="n">
        <v>0</v>
      </c>
      <c r="BU225" s="0" t="n">
        <v>0</v>
      </c>
      <c r="BV225" s="0" t="n">
        <v>0</v>
      </c>
    </row>
    <row r="226" customFormat="false" ht="12.75" hidden="false" customHeight="false" outlineLevel="0" collapsed="false">
      <c r="A226" s="320"/>
      <c r="B226" s="320" t="n">
        <v>4.23</v>
      </c>
      <c r="C226" s="327" t="n">
        <f aca="false">EOMONTH(C225,0)+1</f>
        <v>43983</v>
      </c>
      <c r="D226" s="0" t="n">
        <f aca="false">D214+0.05</f>
        <v>3.874</v>
      </c>
      <c r="E226" s="320" t="n">
        <v>0.17</v>
      </c>
      <c r="F226" s="320" t="n">
        <v>0.0635527068691752</v>
      </c>
      <c r="O226" s="318"/>
      <c r="V226" s="330" t="n">
        <v>0.5</v>
      </c>
      <c r="W226" s="330" t="n">
        <v>0.125</v>
      </c>
      <c r="X226" s="318" t="n">
        <v>0.135</v>
      </c>
      <c r="Y226" s="318" t="n">
        <v>0</v>
      </c>
      <c r="Z226" s="318" t="n">
        <v>-0.0335</v>
      </c>
      <c r="AA226" s="318" t="n">
        <v>0.0275</v>
      </c>
      <c r="AB226" s="318" t="n">
        <v>0.0125</v>
      </c>
      <c r="AC226" s="318" t="n">
        <v>0</v>
      </c>
      <c r="AD226" s="318" t="n">
        <v>0</v>
      </c>
      <c r="AE226" s="318" t="n">
        <v>0</v>
      </c>
      <c r="AF226" s="318" t="n">
        <v>0</v>
      </c>
      <c r="AG226" s="318" t="n">
        <v>0</v>
      </c>
      <c r="AH226" s="318" t="n">
        <v>0</v>
      </c>
      <c r="AI226" s="318" t="n">
        <v>0</v>
      </c>
      <c r="AK226" s="318" t="n">
        <v>0</v>
      </c>
      <c r="AL226" s="318" t="n">
        <v>0</v>
      </c>
      <c r="AM226" s="318" t="n">
        <v>0.33</v>
      </c>
      <c r="AN226" s="318" t="n">
        <v>0.02</v>
      </c>
      <c r="AO226" s="318" t="n">
        <v>0</v>
      </c>
      <c r="AP226" s="318" t="n">
        <v>-0.07</v>
      </c>
      <c r="AQ226" s="318" t="n">
        <v>-0.195</v>
      </c>
      <c r="AR226" s="318" t="n">
        <v>0</v>
      </c>
      <c r="AS226" s="318" t="n">
        <v>-0.37</v>
      </c>
      <c r="AT226" s="318" t="n">
        <v>0</v>
      </c>
      <c r="AU226" s="318" t="n">
        <v>0.43</v>
      </c>
      <c r="AV226" s="318" t="n">
        <v>0</v>
      </c>
      <c r="AW226" s="318" t="n">
        <v>-0.06</v>
      </c>
      <c r="AX226" s="318" t="n">
        <v>-0.06</v>
      </c>
      <c r="AY226" s="318" t="n">
        <v>0</v>
      </c>
      <c r="BA226" s="318" t="n">
        <v>0</v>
      </c>
      <c r="BB226" s="318" t="n">
        <v>0</v>
      </c>
      <c r="BD226" s="318" t="n">
        <v>-0.01</v>
      </c>
      <c r="BE226" s="318" t="n">
        <v>0</v>
      </c>
      <c r="BF226" s="318" t="n">
        <v>0</v>
      </c>
      <c r="BJ226" s="318" t="n">
        <v>0.325</v>
      </c>
      <c r="BK226" s="318" t="n">
        <v>0</v>
      </c>
      <c r="BL226" s="318" t="n">
        <v>-0.015</v>
      </c>
      <c r="BM226" s="318" t="n">
        <v>0.005</v>
      </c>
      <c r="BO226" s="318" t="n">
        <v>0</v>
      </c>
      <c r="BP226" s="318" t="n">
        <v>0</v>
      </c>
      <c r="BQ226" s="318" t="n">
        <v>0</v>
      </c>
      <c r="BR226" s="318" t="n">
        <v>0.02</v>
      </c>
      <c r="BS226" s="0"/>
      <c r="BT226" s="0" t="n">
        <v>0</v>
      </c>
      <c r="BU226" s="0" t="n">
        <v>0</v>
      </c>
      <c r="BV226" s="0" t="n">
        <v>0</v>
      </c>
    </row>
    <row r="227" customFormat="false" ht="12.75" hidden="false" customHeight="false" outlineLevel="0" collapsed="false">
      <c r="A227" s="320"/>
      <c r="B227" s="320" t="n">
        <v>4.294</v>
      </c>
      <c r="C227" s="327" t="n">
        <f aca="false">EOMONTH(C226,0)+1</f>
        <v>44013</v>
      </c>
      <c r="D227" s="0" t="n">
        <f aca="false">D215+0.05</f>
        <v>3.914</v>
      </c>
      <c r="E227" s="320" t="n">
        <v>0.17</v>
      </c>
      <c r="F227" s="320" t="n">
        <v>0.0635965351365049</v>
      </c>
      <c r="O227" s="318"/>
      <c r="V227" s="330" t="n">
        <v>0.5</v>
      </c>
      <c r="W227" s="318" t="n">
        <v>0.145</v>
      </c>
      <c r="X227" s="318" t="n">
        <v>0.165</v>
      </c>
      <c r="Y227" s="318" t="n">
        <v>0</v>
      </c>
      <c r="Z227" s="318" t="n">
        <v>-0.031</v>
      </c>
      <c r="AA227" s="318" t="n">
        <v>0.0275</v>
      </c>
      <c r="AB227" s="318" t="n">
        <v>0.0125</v>
      </c>
      <c r="AC227" s="318" t="n">
        <v>0</v>
      </c>
      <c r="AD227" s="318" t="n">
        <v>0</v>
      </c>
      <c r="AE227" s="318" t="n">
        <v>0</v>
      </c>
      <c r="AF227" s="318" t="n">
        <v>0</v>
      </c>
      <c r="AG227" s="318" t="n">
        <v>0</v>
      </c>
      <c r="AH227" s="318" t="n">
        <v>0</v>
      </c>
      <c r="AI227" s="318" t="n">
        <v>0</v>
      </c>
      <c r="AK227" s="318" t="n">
        <v>0</v>
      </c>
      <c r="AL227" s="318" t="n">
        <v>0</v>
      </c>
      <c r="AM227" s="318" t="n">
        <v>0.37</v>
      </c>
      <c r="AN227" s="318" t="n">
        <v>0.025</v>
      </c>
      <c r="AO227" s="318" t="n">
        <v>0</v>
      </c>
      <c r="AP227" s="318" t="n">
        <v>-0.07</v>
      </c>
      <c r="AQ227" s="318" t="n">
        <v>-0.195</v>
      </c>
      <c r="AR227" s="318" t="n">
        <v>0</v>
      </c>
      <c r="AS227" s="318" t="n">
        <v>-0.37</v>
      </c>
      <c r="AT227" s="318" t="n">
        <v>0</v>
      </c>
      <c r="AU227" s="318" t="n">
        <v>0.43</v>
      </c>
      <c r="AV227" s="318" t="n">
        <v>0</v>
      </c>
      <c r="AW227" s="318" t="n">
        <v>-0.06</v>
      </c>
      <c r="AX227" s="318" t="n">
        <v>-0.06</v>
      </c>
      <c r="AY227" s="318" t="n">
        <v>0</v>
      </c>
      <c r="BA227" s="318" t="n">
        <v>0</v>
      </c>
      <c r="BB227" s="318" t="n">
        <v>0</v>
      </c>
      <c r="BD227" s="318" t="n">
        <v>-0.005</v>
      </c>
      <c r="BE227" s="318" t="n">
        <v>0</v>
      </c>
      <c r="BF227" s="318" t="n">
        <v>0</v>
      </c>
      <c r="BJ227" s="318" t="n">
        <v>0.335</v>
      </c>
      <c r="BK227" s="318" t="n">
        <v>0</v>
      </c>
      <c r="BL227" s="318" t="n">
        <v>-0.015</v>
      </c>
      <c r="BM227" s="318" t="n">
        <v>0.005</v>
      </c>
      <c r="BO227" s="318" t="n">
        <v>0</v>
      </c>
      <c r="BP227" s="318" t="n">
        <v>0</v>
      </c>
      <c r="BQ227" s="318" t="n">
        <v>0</v>
      </c>
      <c r="BR227" s="318" t="n">
        <v>0.035</v>
      </c>
      <c r="BS227" s="0"/>
      <c r="BT227" s="0" t="n">
        <v>0</v>
      </c>
      <c r="BU227" s="0" t="n">
        <v>0</v>
      </c>
      <c r="BV227" s="0" t="n">
        <v>0</v>
      </c>
    </row>
    <row r="228" customFormat="false" ht="12.75" hidden="false" customHeight="false" outlineLevel="0" collapsed="false">
      <c r="A228" s="320"/>
      <c r="B228" s="320" t="n">
        <v>4.56</v>
      </c>
      <c r="C228" s="327" t="n">
        <f aca="false">EOMONTH(C227,0)+1</f>
        <v>44044</v>
      </c>
      <c r="D228" s="0" t="n">
        <f aca="false">D216+0.05</f>
        <v>3.964</v>
      </c>
      <c r="E228" s="320" t="n">
        <v>0.17</v>
      </c>
      <c r="F228" s="320" t="n">
        <v>0.0636389495893663</v>
      </c>
      <c r="O228" s="318"/>
      <c r="V228" s="330" t="n">
        <v>0.5</v>
      </c>
      <c r="W228" s="318" t="n">
        <v>0.15</v>
      </c>
      <c r="X228" s="318" t="n">
        <v>0.205</v>
      </c>
      <c r="Y228" s="318" t="n">
        <v>0</v>
      </c>
      <c r="Z228" s="318" t="n">
        <v>-0.031</v>
      </c>
      <c r="AA228" s="318" t="n">
        <v>0.0275</v>
      </c>
      <c r="AB228" s="318" t="n">
        <v>0.0125</v>
      </c>
      <c r="AC228" s="318" t="n">
        <v>0</v>
      </c>
      <c r="AD228" s="318" t="n">
        <v>0</v>
      </c>
      <c r="AE228" s="318" t="n">
        <v>0</v>
      </c>
      <c r="AF228" s="318" t="n">
        <v>0</v>
      </c>
      <c r="AG228" s="318" t="n">
        <v>0</v>
      </c>
      <c r="AH228" s="318" t="n">
        <v>0</v>
      </c>
      <c r="AI228" s="318" t="n">
        <v>0</v>
      </c>
      <c r="AK228" s="318" t="n">
        <v>0</v>
      </c>
      <c r="AL228" s="318" t="n">
        <v>0</v>
      </c>
      <c r="AM228" s="318" t="n">
        <v>0.41</v>
      </c>
      <c r="AN228" s="318" t="n">
        <v>0.0275</v>
      </c>
      <c r="AO228" s="318" t="n">
        <v>0</v>
      </c>
      <c r="AP228" s="318" t="n">
        <v>-0.07</v>
      </c>
      <c r="AQ228" s="318" t="n">
        <v>-0.195</v>
      </c>
      <c r="AR228" s="318" t="n">
        <v>0</v>
      </c>
      <c r="AS228" s="318" t="n">
        <v>-0.37</v>
      </c>
      <c r="AT228" s="318" t="n">
        <v>0</v>
      </c>
      <c r="AU228" s="318" t="n">
        <v>0.43</v>
      </c>
      <c r="AV228" s="318" t="n">
        <v>0</v>
      </c>
      <c r="AW228" s="318" t="n">
        <v>-0.06</v>
      </c>
      <c r="AX228" s="318" t="n">
        <v>-0.06</v>
      </c>
      <c r="AY228" s="318" t="n">
        <v>0</v>
      </c>
      <c r="BA228" s="318" t="n">
        <v>0</v>
      </c>
      <c r="BB228" s="318" t="n">
        <v>0</v>
      </c>
      <c r="BD228" s="318" t="n">
        <v>-0.0025</v>
      </c>
      <c r="BE228" s="318" t="n">
        <v>0</v>
      </c>
      <c r="BF228" s="318" t="n">
        <v>0</v>
      </c>
      <c r="BJ228" s="318" t="n">
        <v>0.35</v>
      </c>
      <c r="BK228" s="318" t="n">
        <v>0</v>
      </c>
      <c r="BL228" s="318" t="n">
        <v>-0.01</v>
      </c>
      <c r="BM228" s="318" t="n">
        <v>0.005</v>
      </c>
      <c r="BO228" s="318" t="n">
        <v>0</v>
      </c>
      <c r="BP228" s="318" t="n">
        <v>0</v>
      </c>
      <c r="BQ228" s="318" t="n">
        <v>0</v>
      </c>
      <c r="BR228" s="318" t="n">
        <v>0.035</v>
      </c>
      <c r="BS228" s="0"/>
      <c r="BT228" s="0" t="n">
        <v>0</v>
      </c>
      <c r="BU228" s="0" t="n">
        <v>0</v>
      </c>
      <c r="BV228" s="0" t="n">
        <v>0</v>
      </c>
    </row>
    <row r="229" customFormat="false" ht="12.75" hidden="false" customHeight="false" outlineLevel="0" collapsed="false">
      <c r="A229" s="320"/>
      <c r="B229" s="320" t="n">
        <v>4.497</v>
      </c>
      <c r="C229" s="327" t="n">
        <f aca="false">EOMONTH(C228,0)+1</f>
        <v>44075</v>
      </c>
      <c r="D229" s="0" t="n">
        <f aca="false">D217+0.05</f>
        <v>3.949</v>
      </c>
      <c r="E229" s="320" t="n">
        <v>0.17</v>
      </c>
      <c r="F229" s="320" t="n">
        <v>0.0636827778579496</v>
      </c>
      <c r="O229" s="318"/>
      <c r="V229" s="330" t="n">
        <v>0.5</v>
      </c>
      <c r="W229" s="318" t="n">
        <v>0.15</v>
      </c>
      <c r="X229" s="318" t="n">
        <v>0.205</v>
      </c>
      <c r="Y229" s="318" t="n">
        <v>0</v>
      </c>
      <c r="Z229" s="318" t="n">
        <v>-0.031</v>
      </c>
      <c r="AA229" s="318" t="n">
        <v>0.0225</v>
      </c>
      <c r="AB229" s="318" t="n">
        <v>0.0075</v>
      </c>
      <c r="AC229" s="318" t="n">
        <v>0</v>
      </c>
      <c r="AD229" s="318" t="n">
        <v>0</v>
      </c>
      <c r="AE229" s="318" t="n">
        <v>0</v>
      </c>
      <c r="AF229" s="318" t="n">
        <v>0</v>
      </c>
      <c r="AG229" s="318" t="n">
        <v>0</v>
      </c>
      <c r="AH229" s="318" t="n">
        <v>0</v>
      </c>
      <c r="AI229" s="318" t="n">
        <v>0</v>
      </c>
      <c r="AK229" s="318" t="n">
        <v>0</v>
      </c>
      <c r="AL229" s="318" t="n">
        <v>0</v>
      </c>
      <c r="AM229" s="318" t="n">
        <v>0.41</v>
      </c>
      <c r="AN229" s="318" t="n">
        <v>0.03</v>
      </c>
      <c r="AO229" s="318" t="n">
        <v>0</v>
      </c>
      <c r="AP229" s="318" t="n">
        <v>-0.07</v>
      </c>
      <c r="AQ229" s="318" t="n">
        <v>-0.195</v>
      </c>
      <c r="AR229" s="318" t="n">
        <v>0</v>
      </c>
      <c r="AS229" s="318" t="n">
        <v>-0.37</v>
      </c>
      <c r="AT229" s="318" t="n">
        <v>0</v>
      </c>
      <c r="AU229" s="318" t="n">
        <v>0.43</v>
      </c>
      <c r="AV229" s="318" t="n">
        <v>0</v>
      </c>
      <c r="AW229" s="318" t="n">
        <v>-0.06</v>
      </c>
      <c r="AX229" s="318" t="n">
        <v>-0.06</v>
      </c>
      <c r="AY229" s="318" t="n">
        <v>0</v>
      </c>
      <c r="BA229" s="318" t="n">
        <v>0</v>
      </c>
      <c r="BB229" s="318" t="n">
        <v>0</v>
      </c>
      <c r="BD229" s="318" t="n">
        <v>0</v>
      </c>
      <c r="BE229" s="318" t="n">
        <v>0</v>
      </c>
      <c r="BF229" s="318" t="n">
        <v>0</v>
      </c>
      <c r="BJ229" s="318" t="n">
        <v>0.35</v>
      </c>
      <c r="BK229" s="318" t="n">
        <v>0</v>
      </c>
      <c r="BL229" s="318" t="n">
        <v>-0.01</v>
      </c>
      <c r="BM229" s="318" t="n">
        <v>0.005</v>
      </c>
      <c r="BO229" s="318" t="n">
        <v>0</v>
      </c>
      <c r="BP229" s="318" t="n">
        <v>0</v>
      </c>
      <c r="BQ229" s="318" t="n">
        <v>0</v>
      </c>
      <c r="BR229" s="318" t="n">
        <v>0.01</v>
      </c>
      <c r="BS229" s="0"/>
      <c r="BT229" s="0" t="n">
        <v>0</v>
      </c>
      <c r="BU229" s="0" t="n">
        <v>0</v>
      </c>
      <c r="BV229" s="0" t="n">
        <v>0</v>
      </c>
    </row>
    <row r="230" customFormat="false" ht="12.75" hidden="false" customHeight="false" outlineLevel="0" collapsed="false">
      <c r="A230" s="320"/>
      <c r="B230" s="320" t="n">
        <v>4.387</v>
      </c>
      <c r="C230" s="327" t="n">
        <f aca="false">EOMONTH(C229,0)+1</f>
        <v>44105</v>
      </c>
      <c r="D230" s="0" t="n">
        <f aca="false">D218+0.05</f>
        <v>3.964</v>
      </c>
      <c r="E230" s="320" t="n">
        <v>0.17</v>
      </c>
      <c r="F230" s="320" t="n">
        <v>0.0637266061271706</v>
      </c>
      <c r="O230" s="318"/>
      <c r="V230" s="330" t="n">
        <v>0.5</v>
      </c>
      <c r="W230" s="318" t="n">
        <v>0.125</v>
      </c>
      <c r="X230" s="318" t="n">
        <v>0.145</v>
      </c>
      <c r="Y230" s="318" t="n">
        <v>0</v>
      </c>
      <c r="Z230" s="318" t="n">
        <v>-0.036</v>
      </c>
      <c r="AA230" s="318" t="n">
        <v>0.0225</v>
      </c>
      <c r="AB230" s="318" t="n">
        <v>0.0075</v>
      </c>
      <c r="AC230" s="318" t="n">
        <v>0</v>
      </c>
      <c r="AD230" s="318" t="n">
        <v>0</v>
      </c>
      <c r="AE230" s="318" t="n">
        <v>0</v>
      </c>
      <c r="AF230" s="318" t="n">
        <v>0</v>
      </c>
      <c r="AG230" s="318" t="n">
        <v>0</v>
      </c>
      <c r="AH230" s="318" t="n">
        <v>0</v>
      </c>
      <c r="AI230" s="318" t="n">
        <v>0</v>
      </c>
      <c r="AK230" s="318" t="n">
        <v>0</v>
      </c>
      <c r="AL230" s="318" t="n">
        <v>0</v>
      </c>
      <c r="AM230" s="318" t="n">
        <v>0.36</v>
      </c>
      <c r="AN230" s="318" t="n">
        <v>0.0225</v>
      </c>
      <c r="AO230" s="318" t="n">
        <v>0</v>
      </c>
      <c r="AP230" s="318" t="n">
        <v>-0.07</v>
      </c>
      <c r="AQ230" s="318" t="n">
        <v>-0.195</v>
      </c>
      <c r="AR230" s="318" t="n">
        <v>0</v>
      </c>
      <c r="AS230" s="318" t="n">
        <v>-0.37</v>
      </c>
      <c r="AT230" s="318" t="n">
        <v>0</v>
      </c>
      <c r="AU230" s="318" t="n">
        <v>0.43</v>
      </c>
      <c r="AV230" s="318" t="n">
        <v>0</v>
      </c>
      <c r="AW230" s="318" t="n">
        <v>-0.06</v>
      </c>
      <c r="AX230" s="318" t="n">
        <v>-0.06</v>
      </c>
      <c r="AY230" s="318" t="n">
        <v>0</v>
      </c>
      <c r="BA230" s="318" t="n">
        <v>0</v>
      </c>
      <c r="BB230" s="318" t="n">
        <v>0</v>
      </c>
      <c r="BD230" s="318" t="n">
        <v>-0.0075</v>
      </c>
      <c r="BE230" s="318" t="n">
        <v>0</v>
      </c>
      <c r="BF230" s="318" t="n">
        <v>0</v>
      </c>
      <c r="BJ230" s="318" t="n">
        <v>0.315</v>
      </c>
      <c r="BK230" s="318" t="n">
        <v>0</v>
      </c>
      <c r="BL230" s="318" t="n">
        <v>-0.01</v>
      </c>
      <c r="BM230" s="318" t="n">
        <v>0.005</v>
      </c>
      <c r="BO230" s="318" t="n">
        <v>0</v>
      </c>
      <c r="BP230" s="318" t="n">
        <v>0</v>
      </c>
      <c r="BQ230" s="318" t="n">
        <v>0</v>
      </c>
      <c r="BR230" s="318" t="n">
        <v>0.01</v>
      </c>
      <c r="BS230" s="0"/>
      <c r="BT230" s="0" t="n">
        <v>0</v>
      </c>
      <c r="BU230" s="0" t="n">
        <v>0</v>
      </c>
      <c r="BV230" s="0" t="n">
        <v>0</v>
      </c>
    </row>
    <row r="231" customFormat="false" ht="12.75" hidden="false" customHeight="false" outlineLevel="0" collapsed="false">
      <c r="A231" s="320"/>
      <c r="B231" s="320" t="n">
        <v>4.28</v>
      </c>
      <c r="C231" s="327" t="n">
        <f aca="false">EOMONTH(C230,0)+1</f>
        <v>44136</v>
      </c>
      <c r="D231" s="0" t="n">
        <f aca="false">D219+0.05</f>
        <v>4.109</v>
      </c>
      <c r="E231" s="320" t="n">
        <v>0.17</v>
      </c>
      <c r="F231" s="320" t="n">
        <v>0.0637690205818613</v>
      </c>
      <c r="O231" s="318"/>
      <c r="V231" s="330" t="n">
        <v>0.5</v>
      </c>
      <c r="W231" s="318" t="n">
        <v>0.145</v>
      </c>
      <c r="X231" s="318" t="n">
        <v>0.175</v>
      </c>
      <c r="Y231" s="318" t="n">
        <v>0</v>
      </c>
      <c r="Z231" s="318" t="n">
        <v>-0.036</v>
      </c>
      <c r="AA231" s="318" t="n">
        <v>0.0175</v>
      </c>
      <c r="AB231" s="318" t="n">
        <v>0.0025</v>
      </c>
      <c r="AC231" s="318" t="n">
        <v>0</v>
      </c>
      <c r="AD231" s="318" t="n">
        <v>0</v>
      </c>
      <c r="AE231" s="318" t="n">
        <v>0</v>
      </c>
      <c r="AF231" s="318" t="n">
        <v>0</v>
      </c>
      <c r="AG231" s="318" t="n">
        <v>0</v>
      </c>
      <c r="AH231" s="318" t="n">
        <v>0</v>
      </c>
      <c r="AI231" s="318" t="n">
        <v>0</v>
      </c>
      <c r="AK231" s="318" t="n">
        <v>0</v>
      </c>
      <c r="AL231" s="318" t="n">
        <v>0</v>
      </c>
      <c r="AM231" s="318" t="n">
        <v>0.4</v>
      </c>
      <c r="AN231" s="318" t="n">
        <v>0.0125</v>
      </c>
      <c r="AO231" s="318" t="n">
        <v>0</v>
      </c>
      <c r="AP231" s="318" t="n">
        <v>-0.07</v>
      </c>
      <c r="AQ231" s="318" t="n">
        <v>-0.195</v>
      </c>
      <c r="AR231" s="318" t="n">
        <v>0</v>
      </c>
      <c r="AS231" s="318" t="n">
        <v>-0.37</v>
      </c>
      <c r="AT231" s="318" t="n">
        <v>0</v>
      </c>
      <c r="AU231" s="318" t="n">
        <v>0.43</v>
      </c>
      <c r="AV231" s="318" t="n">
        <v>0</v>
      </c>
      <c r="AW231" s="318" t="n">
        <v>-0.06</v>
      </c>
      <c r="AX231" s="318" t="n">
        <v>-0.06</v>
      </c>
      <c r="AY231" s="318" t="n">
        <v>0</v>
      </c>
      <c r="BA231" s="318" t="n">
        <v>0</v>
      </c>
      <c r="BB231" s="318" t="n">
        <v>0</v>
      </c>
      <c r="BD231" s="318" t="n">
        <v>-0.0175</v>
      </c>
      <c r="BE231" s="318" t="n">
        <v>0</v>
      </c>
      <c r="BF231" s="318" t="n">
        <v>0</v>
      </c>
      <c r="BJ231" s="318" t="n">
        <v>0.36</v>
      </c>
      <c r="BK231" s="318" t="n">
        <v>0</v>
      </c>
      <c r="BL231" s="318" t="n">
        <v>-0.015</v>
      </c>
      <c r="BM231" s="318" t="n">
        <v>0.005</v>
      </c>
      <c r="BO231" s="318" t="n">
        <v>0</v>
      </c>
      <c r="BP231" s="318" t="n">
        <v>0</v>
      </c>
      <c r="BQ231" s="318" t="n">
        <v>0</v>
      </c>
      <c r="BR231" s="318" t="n">
        <v>0.01</v>
      </c>
      <c r="BS231" s="0"/>
      <c r="BT231" s="0" t="n">
        <v>0</v>
      </c>
      <c r="BU231" s="0" t="n">
        <v>0</v>
      </c>
      <c r="BV231" s="0" t="n">
        <v>0</v>
      </c>
    </row>
    <row r="232" customFormat="false" ht="12.75" hidden="false" customHeight="false" outlineLevel="0" collapsed="false">
      <c r="A232" s="320"/>
      <c r="B232" s="320" t="n">
        <v>4.268</v>
      </c>
      <c r="C232" s="327" t="n">
        <f aca="false">EOMONTH(C231,0)+1</f>
        <v>44166</v>
      </c>
      <c r="D232" s="0" t="n">
        <f aca="false">D220+0.05</f>
        <v>4.244</v>
      </c>
      <c r="E232" s="320" t="n">
        <v>0.17</v>
      </c>
      <c r="F232" s="320" t="n">
        <v>0.063812848852336</v>
      </c>
      <c r="O232" s="318"/>
      <c r="V232" s="330" t="n">
        <v>0.5</v>
      </c>
      <c r="W232" s="318" t="n">
        <v>0.195</v>
      </c>
      <c r="X232" s="318" t="n">
        <v>0.21</v>
      </c>
      <c r="Y232" s="318" t="n">
        <v>0</v>
      </c>
      <c r="Z232" s="318" t="n">
        <v>-0.017</v>
      </c>
      <c r="AA232" s="318" t="n">
        <v>0.0185</v>
      </c>
      <c r="AB232" s="318" t="n">
        <v>0.0035</v>
      </c>
      <c r="AC232" s="318" t="n">
        <v>0</v>
      </c>
      <c r="AD232" s="318" t="n">
        <v>0</v>
      </c>
      <c r="AE232" s="318" t="n">
        <v>0</v>
      </c>
      <c r="AF232" s="318" t="n">
        <v>0</v>
      </c>
      <c r="AG232" s="318" t="n">
        <v>0</v>
      </c>
      <c r="AH232" s="318" t="n">
        <v>0</v>
      </c>
      <c r="AI232" s="318" t="n">
        <v>0</v>
      </c>
      <c r="AK232" s="318" t="n">
        <v>0</v>
      </c>
      <c r="AL232" s="318" t="n">
        <v>0</v>
      </c>
      <c r="AM232" s="318" t="n">
        <v>0.65</v>
      </c>
      <c r="AN232" s="318" t="n">
        <v>-0.0225</v>
      </c>
      <c r="AO232" s="318" t="n">
        <v>0</v>
      </c>
      <c r="AP232" s="318" t="n">
        <v>-0.07</v>
      </c>
      <c r="AQ232" s="318" t="n">
        <v>0</v>
      </c>
      <c r="AR232" s="318" t="n">
        <v>0</v>
      </c>
      <c r="AS232" s="318" t="n">
        <v>0</v>
      </c>
      <c r="AT232" s="318" t="n">
        <v>0</v>
      </c>
      <c r="AU232" s="318" t="n">
        <v>0.35</v>
      </c>
      <c r="AV232" s="318" t="n">
        <v>0</v>
      </c>
      <c r="AW232" s="318" t="n">
        <v>-0.06</v>
      </c>
      <c r="AX232" s="318" t="n">
        <v>-0.06</v>
      </c>
      <c r="AY232" s="318" t="n">
        <v>0</v>
      </c>
      <c r="BA232" s="318" t="n">
        <v>0</v>
      </c>
      <c r="BB232" s="318" t="n">
        <v>0</v>
      </c>
      <c r="BD232" s="318" t="n">
        <v>-0.0525</v>
      </c>
      <c r="BE232" s="318" t="n">
        <v>0</v>
      </c>
      <c r="BF232" s="318" t="n">
        <v>0</v>
      </c>
      <c r="BJ232" s="318" t="n">
        <v>0.46</v>
      </c>
      <c r="BK232" s="318" t="n">
        <v>0</v>
      </c>
      <c r="BL232" s="318" t="n">
        <v>-0.02</v>
      </c>
      <c r="BM232" s="318" t="n">
        <v>0.005</v>
      </c>
      <c r="BO232" s="318" t="n">
        <v>0</v>
      </c>
      <c r="BP232" s="318" t="n">
        <v>0</v>
      </c>
      <c r="BQ232" s="318" t="n">
        <v>0</v>
      </c>
      <c r="BR232" s="318" t="n">
        <v>0.055</v>
      </c>
      <c r="BS232" s="0"/>
      <c r="BT232" s="0" t="n">
        <v>0</v>
      </c>
      <c r="BU232" s="0" t="n">
        <v>0</v>
      </c>
      <c r="BV232" s="0" t="n">
        <v>0</v>
      </c>
    </row>
    <row r="233" customFormat="false" ht="12.75" hidden="false" customHeight="false" outlineLevel="0" collapsed="false">
      <c r="A233" s="320"/>
      <c r="B233" s="320" t="n">
        <v>4.264</v>
      </c>
      <c r="C233" s="327" t="n">
        <f aca="false">EOMONTH(C232,0)+1</f>
        <v>44197</v>
      </c>
      <c r="D233" s="0" t="n">
        <f aca="false">D221+0.05</f>
        <v>4.299</v>
      </c>
      <c r="E233" s="320" t="n">
        <v>0.17</v>
      </c>
      <c r="F233" s="320" t="n">
        <v>0.0638552633082399</v>
      </c>
      <c r="O233" s="318"/>
      <c r="V233" s="330" t="n">
        <v>0.5</v>
      </c>
      <c r="W233" s="318" t="n">
        <v>0.215</v>
      </c>
      <c r="X233" s="318" t="n">
        <v>0.29</v>
      </c>
      <c r="Y233" s="318" t="n">
        <v>0</v>
      </c>
      <c r="Z233" s="318" t="n">
        <v>-0.017</v>
      </c>
      <c r="AA233" s="318" t="n">
        <v>0.0185</v>
      </c>
      <c r="AB233" s="318" t="n">
        <v>0.0035</v>
      </c>
      <c r="AC233" s="318" t="n">
        <v>0</v>
      </c>
      <c r="AD233" s="318" t="n">
        <v>0</v>
      </c>
      <c r="AE233" s="318" t="n">
        <v>0</v>
      </c>
      <c r="AF233" s="318" t="n">
        <v>0</v>
      </c>
      <c r="AG233" s="318" t="n">
        <v>0</v>
      </c>
      <c r="AH233" s="318" t="n">
        <v>0</v>
      </c>
      <c r="AI233" s="318" t="n">
        <v>0</v>
      </c>
      <c r="AK233" s="318" t="n">
        <v>0</v>
      </c>
      <c r="AL233" s="318" t="n">
        <v>0</v>
      </c>
      <c r="AM233" s="318" t="n">
        <v>0.98</v>
      </c>
      <c r="AN233" s="318" t="n">
        <v>-0.045</v>
      </c>
      <c r="AO233" s="318" t="n">
        <v>0</v>
      </c>
      <c r="AP233" s="318" t="n">
        <v>-0.07</v>
      </c>
      <c r="AQ233" s="318" t="n">
        <v>0</v>
      </c>
      <c r="AR233" s="318" t="n">
        <v>0</v>
      </c>
      <c r="AS233" s="318" t="n">
        <v>0</v>
      </c>
      <c r="AT233" s="318" t="n">
        <v>0</v>
      </c>
      <c r="AU233" s="318" t="n">
        <v>0.35</v>
      </c>
      <c r="AV233" s="318" t="n">
        <v>0</v>
      </c>
      <c r="AW233" s="318" t="n">
        <v>-0.06</v>
      </c>
      <c r="AX233" s="318" t="n">
        <v>-0.06</v>
      </c>
      <c r="AY233" s="318" t="n">
        <v>0</v>
      </c>
      <c r="BA233" s="318" t="n">
        <v>0</v>
      </c>
      <c r="BB233" s="318" t="n">
        <v>0</v>
      </c>
      <c r="BD233" s="318" t="n">
        <v>-0.075</v>
      </c>
      <c r="BE233" s="318" t="n">
        <v>0</v>
      </c>
      <c r="BF233" s="318" t="n">
        <v>0</v>
      </c>
      <c r="BJ233" s="318" t="n">
        <v>0.77</v>
      </c>
      <c r="BK233" s="318" t="n">
        <v>0</v>
      </c>
      <c r="BL233" s="318" t="n">
        <v>-0.025</v>
      </c>
      <c r="BM233" s="318" t="n">
        <v>0.005</v>
      </c>
      <c r="BO233" s="318" t="n">
        <v>0</v>
      </c>
      <c r="BP233" s="318" t="n">
        <v>0</v>
      </c>
      <c r="BQ233" s="318" t="n">
        <v>0</v>
      </c>
      <c r="BR233" s="318" t="n">
        <v>0.25</v>
      </c>
      <c r="BS233" s="0"/>
      <c r="BT233" s="0" t="n">
        <v>0</v>
      </c>
      <c r="BU233" s="0" t="n">
        <v>0</v>
      </c>
      <c r="BV233" s="0" t="n">
        <v>0</v>
      </c>
    </row>
    <row r="234" customFormat="false" ht="12.75" hidden="false" customHeight="false" outlineLevel="0" collapsed="false">
      <c r="A234" s="320"/>
      <c r="B234" s="320" t="n">
        <v>4.329</v>
      </c>
      <c r="C234" s="327" t="n">
        <f aca="false">EOMONTH(C233,0)+1</f>
        <v>44228</v>
      </c>
      <c r="D234" s="0" t="n">
        <f aca="false">D222+0.05</f>
        <v>4.151</v>
      </c>
      <c r="E234" s="320" t="n">
        <v>0.17</v>
      </c>
      <c r="F234" s="320" t="n">
        <v>0.0638990915799678</v>
      </c>
      <c r="O234" s="318"/>
      <c r="V234" s="330" t="n">
        <v>0.5</v>
      </c>
      <c r="W234" s="318" t="n">
        <v>0.235</v>
      </c>
      <c r="X234" s="318" t="n">
        <v>0.34</v>
      </c>
      <c r="Y234" s="318" t="n">
        <v>0</v>
      </c>
      <c r="Z234" s="318" t="n">
        <v>-0.017</v>
      </c>
      <c r="AA234" s="318" t="n">
        <v>0.0185</v>
      </c>
      <c r="AB234" s="318" t="n">
        <v>0.0035</v>
      </c>
      <c r="AC234" s="318" t="n">
        <v>0</v>
      </c>
      <c r="AD234" s="318" t="n">
        <v>0</v>
      </c>
      <c r="AE234" s="318" t="n">
        <v>0</v>
      </c>
      <c r="AF234" s="318" t="n">
        <v>0</v>
      </c>
      <c r="AG234" s="318" t="n">
        <v>0</v>
      </c>
      <c r="AH234" s="318" t="n">
        <v>0</v>
      </c>
      <c r="AI234" s="318" t="n">
        <v>0</v>
      </c>
      <c r="AK234" s="318" t="n">
        <v>0</v>
      </c>
      <c r="AL234" s="318" t="n">
        <v>0</v>
      </c>
      <c r="AM234" s="318" t="n">
        <v>1.6</v>
      </c>
      <c r="AN234" s="318" t="n">
        <v>-0.0475</v>
      </c>
      <c r="AO234" s="318" t="n">
        <v>0</v>
      </c>
      <c r="AP234" s="318" t="n">
        <v>-0.07</v>
      </c>
      <c r="AQ234" s="318" t="n">
        <v>0</v>
      </c>
      <c r="AS234" s="318" t="n">
        <v>0</v>
      </c>
      <c r="AT234" s="318" t="n">
        <v>0</v>
      </c>
      <c r="AU234" s="318" t="n">
        <v>0.35</v>
      </c>
      <c r="AV234" s="318" t="n">
        <v>0</v>
      </c>
      <c r="AW234" s="318" t="n">
        <v>-0.06</v>
      </c>
      <c r="AX234" s="318" t="n">
        <v>-0.06</v>
      </c>
      <c r="AY234" s="318" t="n">
        <v>0</v>
      </c>
      <c r="BA234" s="318" t="n">
        <v>0</v>
      </c>
      <c r="BB234" s="318" t="n">
        <v>0</v>
      </c>
      <c r="BD234" s="318" t="n">
        <v>-0.0775</v>
      </c>
      <c r="BE234" s="318" t="n">
        <v>0</v>
      </c>
      <c r="BF234" s="318" t="n">
        <v>0</v>
      </c>
      <c r="BJ234" s="318" t="n">
        <v>1.04</v>
      </c>
      <c r="BK234" s="318" t="n">
        <v>0</v>
      </c>
      <c r="BL234" s="318" t="n">
        <v>-0.025</v>
      </c>
      <c r="BM234" s="318" t="n">
        <v>0.005</v>
      </c>
      <c r="BO234" s="318" t="n">
        <v>0</v>
      </c>
      <c r="BP234" s="318" t="n">
        <v>0</v>
      </c>
      <c r="BQ234" s="318" t="n">
        <v>0</v>
      </c>
      <c r="BR234" s="318" t="n">
        <v>0.45</v>
      </c>
      <c r="BS234" s="0"/>
      <c r="BT234" s="0" t="n">
        <v>0</v>
      </c>
      <c r="BU234" s="0" t="n">
        <v>0</v>
      </c>
      <c r="BV234" s="0" t="n">
        <v>0</v>
      </c>
    </row>
    <row r="235" customFormat="false" ht="12.75" hidden="false" customHeight="false" outlineLevel="0" collapsed="false">
      <c r="A235" s="320"/>
      <c r="B235" s="320" t="n">
        <v>4.324</v>
      </c>
      <c r="C235" s="327" t="n">
        <f aca="false">EOMONTH(C234,0)+1</f>
        <v>44256</v>
      </c>
      <c r="D235" s="0" t="n">
        <f aca="false">D223+0.05</f>
        <v>4.1</v>
      </c>
      <c r="E235" s="320" t="n">
        <v>0.17</v>
      </c>
      <c r="F235" s="320" t="n">
        <v>0.0639429198523325</v>
      </c>
      <c r="O235" s="318"/>
      <c r="V235" s="330" t="n">
        <v>0.5</v>
      </c>
      <c r="W235" s="318" t="n">
        <v>0.235</v>
      </c>
      <c r="X235" s="318" t="n">
        <v>0.34</v>
      </c>
      <c r="Y235" s="318" t="n">
        <v>0</v>
      </c>
      <c r="Z235" s="318" t="n">
        <v>-0.017</v>
      </c>
      <c r="AA235" s="318" t="n">
        <v>0.0185</v>
      </c>
      <c r="AB235" s="318" t="n">
        <v>0.0035</v>
      </c>
      <c r="AC235" s="318" t="n">
        <v>0</v>
      </c>
      <c r="AD235" s="318" t="n">
        <v>0</v>
      </c>
      <c r="AE235" s="318" t="n">
        <v>0</v>
      </c>
      <c r="AF235" s="318" t="n">
        <v>0</v>
      </c>
      <c r="AG235" s="318" t="n">
        <v>0</v>
      </c>
      <c r="AH235" s="318" t="n">
        <v>0</v>
      </c>
      <c r="AI235" s="318" t="n">
        <v>0</v>
      </c>
      <c r="AK235" s="318" t="n">
        <v>0</v>
      </c>
      <c r="AL235" s="318" t="n">
        <v>0</v>
      </c>
      <c r="AM235" s="318" t="n">
        <v>1.6</v>
      </c>
      <c r="AN235" s="318" t="n">
        <v>-0.03</v>
      </c>
      <c r="AO235" s="318" t="n">
        <v>0</v>
      </c>
      <c r="AP235" s="318" t="n">
        <v>-0.07</v>
      </c>
      <c r="AQ235" s="318" t="n">
        <v>0</v>
      </c>
      <c r="AS235" s="318" t="n">
        <v>0</v>
      </c>
      <c r="AT235" s="318" t="n">
        <v>0</v>
      </c>
      <c r="AU235" s="318" t="n">
        <v>0.35</v>
      </c>
      <c r="AV235" s="318" t="n">
        <v>0</v>
      </c>
      <c r="AW235" s="318" t="n">
        <v>-0.06</v>
      </c>
      <c r="AX235" s="318" t="n">
        <v>-0.06</v>
      </c>
      <c r="AY235" s="318" t="n">
        <v>0</v>
      </c>
      <c r="BA235" s="318" t="n">
        <v>0</v>
      </c>
      <c r="BB235" s="318" t="n">
        <v>0</v>
      </c>
      <c r="BD235" s="318" t="n">
        <v>-0.06</v>
      </c>
      <c r="BE235" s="318" t="n">
        <v>0</v>
      </c>
      <c r="BF235" s="318" t="n">
        <v>0</v>
      </c>
      <c r="BJ235" s="318" t="n">
        <v>1.04</v>
      </c>
      <c r="BK235" s="318" t="n">
        <v>0</v>
      </c>
      <c r="BL235" s="318" t="n">
        <v>-0.025</v>
      </c>
      <c r="BM235" s="318" t="n">
        <v>0.005</v>
      </c>
      <c r="BO235" s="318" t="n">
        <v>0</v>
      </c>
      <c r="BP235" s="318" t="n">
        <v>0</v>
      </c>
      <c r="BQ235" s="318" t="n">
        <v>0</v>
      </c>
      <c r="BR235" s="318" t="n">
        <v>0.45</v>
      </c>
      <c r="BS235" s="0"/>
      <c r="BT235" s="0" t="n">
        <v>0</v>
      </c>
      <c r="BU235" s="0" t="n">
        <v>0</v>
      </c>
      <c r="BV235" s="0" t="n">
        <v>0</v>
      </c>
    </row>
    <row r="236" customFormat="false" ht="12.75" hidden="false" customHeight="false" outlineLevel="0" collapsed="false">
      <c r="A236" s="320"/>
      <c r="B236" s="320" t="n">
        <v>4.298</v>
      </c>
      <c r="C236" s="327" t="n">
        <f aca="false">EOMONTH(C235,0)+1</f>
        <v>44287</v>
      </c>
      <c r="D236" s="0" t="n">
        <f aca="false">D224+0.05</f>
        <v>3.881</v>
      </c>
      <c r="E236" s="320" t="n">
        <v>0.17</v>
      </c>
      <c r="F236" s="320" t="n">
        <v>0.0639825066795323</v>
      </c>
      <c r="O236" s="318"/>
      <c r="V236" s="330" t="n">
        <v>0.5</v>
      </c>
      <c r="W236" s="318" t="n">
        <v>0.195</v>
      </c>
      <c r="X236" s="318" t="n">
        <v>0.29</v>
      </c>
      <c r="Y236" s="318" t="n">
        <v>0</v>
      </c>
      <c r="Z236" s="318" t="n">
        <v>-0.017</v>
      </c>
      <c r="AA236" s="318" t="n">
        <v>0.026</v>
      </c>
      <c r="AB236" s="318" t="n">
        <v>0.011</v>
      </c>
      <c r="AC236" s="318" t="n">
        <v>0</v>
      </c>
      <c r="AD236" s="318" t="n">
        <v>0</v>
      </c>
      <c r="AE236" s="318" t="n">
        <v>0</v>
      </c>
      <c r="AF236" s="318" t="n">
        <v>0</v>
      </c>
      <c r="AG236" s="318" t="n">
        <v>0</v>
      </c>
      <c r="AH236" s="318" t="n">
        <v>0</v>
      </c>
      <c r="AI236" s="318" t="n">
        <v>0</v>
      </c>
      <c r="AK236" s="318" t="n">
        <v>0</v>
      </c>
      <c r="AL236" s="318" t="n">
        <v>0</v>
      </c>
      <c r="AM236" s="318" t="n">
        <v>0.64</v>
      </c>
      <c r="AN236" s="318" t="n">
        <v>-0.0175</v>
      </c>
      <c r="AO236" s="318" t="n">
        <v>0</v>
      </c>
      <c r="AP236" s="318" t="n">
        <v>-0.07</v>
      </c>
      <c r="AQ236" s="318" t="n">
        <v>0</v>
      </c>
      <c r="AS236" s="318" t="n">
        <v>0</v>
      </c>
      <c r="AT236" s="318" t="n">
        <v>0</v>
      </c>
      <c r="AU236" s="318" t="n">
        <v>0.35</v>
      </c>
      <c r="AV236" s="318" t="n">
        <v>0</v>
      </c>
      <c r="AW236" s="318" t="n">
        <v>-0.06</v>
      </c>
      <c r="AX236" s="318" t="n">
        <v>-0.06</v>
      </c>
      <c r="AY236" s="318" t="n">
        <v>0</v>
      </c>
      <c r="BA236" s="318" t="n">
        <v>0</v>
      </c>
      <c r="BB236" s="318" t="n">
        <v>0</v>
      </c>
      <c r="BD236" s="318" t="n">
        <v>-0.0475</v>
      </c>
      <c r="BE236" s="318" t="n">
        <v>0</v>
      </c>
      <c r="BF236" s="318" t="n">
        <v>0</v>
      </c>
      <c r="BJ236" s="318" t="n">
        <v>0.54</v>
      </c>
      <c r="BK236" s="318" t="n">
        <v>0</v>
      </c>
      <c r="BL236" s="318" t="n">
        <v>-0.02</v>
      </c>
      <c r="BM236" s="318" t="n">
        <v>0.005</v>
      </c>
      <c r="BO236" s="318" t="n">
        <v>0</v>
      </c>
      <c r="BP236" s="318" t="n">
        <v>0</v>
      </c>
      <c r="BQ236" s="318" t="n">
        <v>0</v>
      </c>
      <c r="BR236" s="318" t="n">
        <v>0.1</v>
      </c>
      <c r="BS236" s="0"/>
      <c r="BT236" s="0" t="n">
        <v>0</v>
      </c>
      <c r="BU236" s="0" t="n">
        <v>0</v>
      </c>
      <c r="BV236" s="0" t="n">
        <v>0</v>
      </c>
    </row>
    <row r="237" customFormat="false" ht="12.75" hidden="false" customHeight="false" outlineLevel="0" collapsed="false">
      <c r="A237" s="320"/>
      <c r="B237" s="320" t="n">
        <v>4.3</v>
      </c>
      <c r="C237" s="327" t="n">
        <f aca="false">EOMONTH(C236,0)+1</f>
        <v>44317</v>
      </c>
      <c r="D237" s="0" t="n">
        <f aca="false">D225+0.05</f>
        <v>3.884</v>
      </c>
      <c r="E237" s="320" t="n">
        <v>0.17</v>
      </c>
      <c r="F237" s="320" t="n">
        <v>0.0640263349531098</v>
      </c>
      <c r="O237" s="318"/>
      <c r="V237" s="330" t="n">
        <v>0.5</v>
      </c>
      <c r="W237" s="318" t="n">
        <v>0.145</v>
      </c>
      <c r="X237" s="318" t="n">
        <v>0.195</v>
      </c>
      <c r="Y237" s="318" t="n">
        <v>0</v>
      </c>
      <c r="Z237" s="318" t="n">
        <v>-0.032</v>
      </c>
      <c r="AA237" s="318" t="n">
        <v>0.026</v>
      </c>
      <c r="AB237" s="318" t="n">
        <v>0.011</v>
      </c>
      <c r="AC237" s="318" t="n">
        <v>0</v>
      </c>
      <c r="AD237" s="318" t="n">
        <v>0</v>
      </c>
      <c r="AE237" s="318" t="n">
        <v>0</v>
      </c>
      <c r="AF237" s="318" t="n">
        <v>0</v>
      </c>
      <c r="AG237" s="318" t="n">
        <v>0</v>
      </c>
      <c r="AH237" s="318" t="n">
        <v>0</v>
      </c>
      <c r="AI237" s="318" t="n">
        <v>0</v>
      </c>
      <c r="AK237" s="318" t="n">
        <v>0</v>
      </c>
      <c r="AL237" s="318" t="n">
        <v>0</v>
      </c>
      <c r="AM237" s="318" t="n">
        <v>0.38</v>
      </c>
      <c r="AN237" s="318" t="n">
        <v>0.02</v>
      </c>
      <c r="AO237" s="318" t="n">
        <v>0</v>
      </c>
      <c r="AP237" s="318" t="n">
        <v>-0.07</v>
      </c>
      <c r="AQ237" s="318" t="n">
        <v>0</v>
      </c>
      <c r="AS237" s="318" t="n">
        <v>0</v>
      </c>
      <c r="AT237" s="318" t="n">
        <v>0</v>
      </c>
      <c r="AU237" s="318" t="n">
        <v>0.43</v>
      </c>
      <c r="AV237" s="318" t="n">
        <v>0</v>
      </c>
      <c r="AW237" s="318" t="n">
        <v>-0.06</v>
      </c>
      <c r="AX237" s="318" t="n">
        <v>-0.06</v>
      </c>
      <c r="AY237" s="318" t="n">
        <v>0</v>
      </c>
      <c r="BA237" s="318" t="n">
        <v>0</v>
      </c>
      <c r="BB237" s="318" t="n">
        <v>0</v>
      </c>
      <c r="BD237" s="318" t="n">
        <v>-0.01</v>
      </c>
      <c r="BE237" s="318" t="n">
        <v>0</v>
      </c>
      <c r="BF237" s="318" t="n">
        <v>0</v>
      </c>
      <c r="BJ237" s="318" t="n">
        <v>0.36</v>
      </c>
      <c r="BK237" s="318" t="n">
        <v>0</v>
      </c>
      <c r="BL237" s="318" t="n">
        <v>-0.015</v>
      </c>
      <c r="BM237" s="318" t="n">
        <v>0.005</v>
      </c>
      <c r="BO237" s="318" t="n">
        <v>0</v>
      </c>
      <c r="BP237" s="318" t="n">
        <v>0</v>
      </c>
      <c r="BQ237" s="318" t="n">
        <v>0</v>
      </c>
      <c r="BR237" s="318" t="n">
        <v>0.02</v>
      </c>
      <c r="BS237" s="0"/>
      <c r="BT237" s="0" t="n">
        <v>0</v>
      </c>
      <c r="BU237" s="0" t="n">
        <v>0</v>
      </c>
      <c r="BV237" s="0" t="n">
        <v>0</v>
      </c>
    </row>
    <row r="238" customFormat="false" ht="12.75" hidden="false" customHeight="false" outlineLevel="0" collapsed="false">
      <c r="A238" s="320"/>
      <c r="B238" s="320" t="n">
        <v>4.332</v>
      </c>
      <c r="C238" s="327" t="n">
        <f aca="false">EOMONTH(C237,0)+1</f>
        <v>44348</v>
      </c>
      <c r="D238" s="0" t="n">
        <f aca="false">D226+0.05</f>
        <v>3.924</v>
      </c>
      <c r="E238" s="320" t="n">
        <v>0.17</v>
      </c>
      <c r="F238" s="320" t="n">
        <v>0.0640687494120167</v>
      </c>
      <c r="O238" s="318"/>
      <c r="V238" s="330" t="n">
        <v>0.5</v>
      </c>
      <c r="W238" s="318" t="n">
        <v>0.125</v>
      </c>
      <c r="X238" s="318" t="n">
        <v>0.135</v>
      </c>
      <c r="Y238" s="318" t="n">
        <v>0</v>
      </c>
      <c r="Z238" s="318" t="n">
        <v>-0.032</v>
      </c>
      <c r="AA238" s="318" t="n">
        <v>0.0285</v>
      </c>
      <c r="AB238" s="318" t="n">
        <v>0.0135</v>
      </c>
      <c r="AC238" s="318" t="n">
        <v>0</v>
      </c>
      <c r="AD238" s="318" t="n">
        <v>0</v>
      </c>
      <c r="AE238" s="318" t="n">
        <v>0</v>
      </c>
      <c r="AF238" s="318" t="n">
        <v>0</v>
      </c>
      <c r="AG238" s="318" t="n">
        <v>0</v>
      </c>
      <c r="AH238" s="318" t="n">
        <v>0</v>
      </c>
      <c r="AI238" s="318" t="n">
        <v>0</v>
      </c>
      <c r="AK238" s="318" t="n">
        <v>0</v>
      </c>
      <c r="AL238" s="318" t="n">
        <v>0</v>
      </c>
      <c r="AM238" s="318" t="n">
        <v>0.33</v>
      </c>
      <c r="AN238" s="318" t="n">
        <v>0.02</v>
      </c>
      <c r="AO238" s="318" t="n">
        <v>0</v>
      </c>
      <c r="AP238" s="318" t="n">
        <v>-0.07</v>
      </c>
      <c r="AQ238" s="318" t="n">
        <v>0</v>
      </c>
      <c r="AS238" s="318" t="n">
        <v>0</v>
      </c>
      <c r="AT238" s="318" t="n">
        <v>0</v>
      </c>
      <c r="AU238" s="318" t="n">
        <v>0.43</v>
      </c>
      <c r="AV238" s="318" t="n">
        <v>0</v>
      </c>
      <c r="AW238" s="318" t="n">
        <v>-0.06</v>
      </c>
      <c r="AX238" s="318" t="n">
        <v>-0.06</v>
      </c>
      <c r="AY238" s="318" t="n">
        <v>0</v>
      </c>
      <c r="BA238" s="318" t="n">
        <v>0</v>
      </c>
      <c r="BB238" s="318" t="n">
        <v>0</v>
      </c>
      <c r="BD238" s="318" t="n">
        <v>-0.01</v>
      </c>
      <c r="BE238" s="318" t="n">
        <v>0</v>
      </c>
      <c r="BF238" s="318" t="n">
        <v>0</v>
      </c>
      <c r="BJ238" s="318" t="n">
        <v>0.325</v>
      </c>
      <c r="BK238" s="318" t="n">
        <v>0</v>
      </c>
      <c r="BL238" s="318" t="n">
        <v>-0.015</v>
      </c>
      <c r="BM238" s="318" t="n">
        <v>0.005</v>
      </c>
      <c r="BO238" s="318" t="n">
        <v>0</v>
      </c>
      <c r="BP238" s="318" t="n">
        <v>0</v>
      </c>
      <c r="BQ238" s="318" t="n">
        <v>0</v>
      </c>
      <c r="BR238" s="318" t="n">
        <v>0.02</v>
      </c>
      <c r="BS238" s="0"/>
      <c r="BT238" s="0" t="n">
        <v>0</v>
      </c>
      <c r="BU238" s="0" t="n">
        <v>0</v>
      </c>
      <c r="BV238" s="0" t="n">
        <v>0</v>
      </c>
    </row>
    <row r="239" customFormat="false" ht="12.75" hidden="false" customHeight="false" outlineLevel="0" collapsed="false">
      <c r="A239" s="320"/>
      <c r="B239" s="320" t="n">
        <v>4.393</v>
      </c>
      <c r="C239" s="327" t="n">
        <f aca="false">EOMONTH(C238,0)+1</f>
        <v>44378</v>
      </c>
      <c r="D239" s="0" t="n">
        <f aca="false">D227+0.05</f>
        <v>3.964</v>
      </c>
      <c r="E239" s="320" t="n">
        <v>0.17</v>
      </c>
      <c r="F239" s="320" t="n">
        <v>0.064112577686847</v>
      </c>
      <c r="O239" s="318"/>
      <c r="V239" s="330" t="n">
        <v>0.5</v>
      </c>
      <c r="W239" s="318" t="n">
        <v>0.145</v>
      </c>
      <c r="X239" s="318" t="n">
        <v>0.165</v>
      </c>
      <c r="Y239" s="318" t="n">
        <v>0</v>
      </c>
      <c r="Z239" s="318" t="n">
        <v>-0.0295</v>
      </c>
      <c r="AA239" s="318" t="n">
        <v>0.0285</v>
      </c>
      <c r="AB239" s="318" t="n">
        <v>0.0135</v>
      </c>
      <c r="AC239" s="318" t="n">
        <v>0</v>
      </c>
      <c r="AD239" s="318" t="n">
        <v>0</v>
      </c>
      <c r="AE239" s="318" t="n">
        <v>0</v>
      </c>
      <c r="AF239" s="318" t="n">
        <v>0</v>
      </c>
      <c r="AG239" s="318" t="n">
        <v>0</v>
      </c>
      <c r="AH239" s="318" t="n">
        <v>0</v>
      </c>
      <c r="AI239" s="318" t="n">
        <v>0</v>
      </c>
      <c r="AK239" s="318" t="n">
        <v>0</v>
      </c>
      <c r="AL239" s="318" t="n">
        <v>0</v>
      </c>
      <c r="AM239" s="318" t="n">
        <v>0.37</v>
      </c>
      <c r="AN239" s="318" t="n">
        <v>0.025</v>
      </c>
      <c r="AO239" s="318" t="n">
        <v>0</v>
      </c>
      <c r="AP239" s="318" t="n">
        <v>-0.07</v>
      </c>
      <c r="AQ239" s="318" t="n">
        <v>0</v>
      </c>
      <c r="AS239" s="318" t="n">
        <v>0</v>
      </c>
      <c r="AT239" s="318" t="n">
        <v>0</v>
      </c>
      <c r="AU239" s="318" t="n">
        <v>0.43</v>
      </c>
      <c r="AV239" s="318" t="n">
        <v>0</v>
      </c>
      <c r="AW239" s="318" t="n">
        <v>-0.06</v>
      </c>
      <c r="AX239" s="318" t="n">
        <v>-0.06</v>
      </c>
      <c r="AY239" s="318" t="n">
        <v>0</v>
      </c>
      <c r="BA239" s="318" t="n">
        <v>0</v>
      </c>
      <c r="BB239" s="318" t="n">
        <v>0</v>
      </c>
      <c r="BD239" s="318" t="n">
        <v>-0.005</v>
      </c>
      <c r="BE239" s="318" t="n">
        <v>0</v>
      </c>
      <c r="BF239" s="318" t="n">
        <v>0</v>
      </c>
      <c r="BJ239" s="318" t="n">
        <v>0.335</v>
      </c>
      <c r="BK239" s="318" t="n">
        <v>0</v>
      </c>
      <c r="BL239" s="318" t="n">
        <v>-0.015</v>
      </c>
      <c r="BM239" s="318" t="n">
        <v>0.005</v>
      </c>
      <c r="BO239" s="318" t="n">
        <v>0</v>
      </c>
      <c r="BP239" s="318" t="n">
        <v>0</v>
      </c>
      <c r="BQ239" s="318" t="n">
        <v>0</v>
      </c>
      <c r="BR239" s="318" t="n">
        <v>0.035</v>
      </c>
      <c r="BS239" s="0"/>
      <c r="BT239" s="0" t="n">
        <v>0</v>
      </c>
      <c r="BU239" s="0" t="n">
        <v>0</v>
      </c>
      <c r="BV239" s="0" t="n">
        <v>0</v>
      </c>
    </row>
    <row r="240" customFormat="false" ht="12.75" hidden="false" customHeight="false" outlineLevel="0" collapsed="false">
      <c r="A240" s="320"/>
      <c r="B240" s="320" t="n">
        <v>4.657</v>
      </c>
      <c r="C240" s="327" t="n">
        <f aca="false">EOMONTH(C239,0)+1</f>
        <v>44409</v>
      </c>
      <c r="D240" s="0" t="n">
        <f aca="false">D228+0.05</f>
        <v>4.014</v>
      </c>
      <c r="E240" s="320" t="n">
        <v>0.17</v>
      </c>
      <c r="F240" s="320" t="n">
        <v>0.0641549921469675</v>
      </c>
      <c r="O240" s="318"/>
      <c r="V240" s="330" t="n">
        <v>0.5</v>
      </c>
      <c r="W240" s="318" t="n">
        <v>0.15</v>
      </c>
      <c r="X240" s="318" t="n">
        <v>0.205</v>
      </c>
      <c r="Y240" s="318" t="n">
        <v>0</v>
      </c>
      <c r="Z240" s="318" t="n">
        <v>-0.0295</v>
      </c>
      <c r="AA240" s="318" t="n">
        <v>0.0285</v>
      </c>
      <c r="AB240" s="318" t="n">
        <v>0.0135</v>
      </c>
      <c r="AC240" s="318" t="n">
        <v>0</v>
      </c>
      <c r="AD240" s="318" t="n">
        <v>0</v>
      </c>
      <c r="AE240" s="318" t="n">
        <v>0</v>
      </c>
      <c r="AF240" s="318" t="n">
        <v>0</v>
      </c>
      <c r="AG240" s="318" t="n">
        <v>0</v>
      </c>
      <c r="AH240" s="318" t="n">
        <v>0</v>
      </c>
      <c r="AI240" s="318" t="n">
        <v>0</v>
      </c>
      <c r="AK240" s="318" t="n">
        <v>0</v>
      </c>
      <c r="AL240" s="318" t="n">
        <v>0</v>
      </c>
      <c r="AM240" s="318" t="n">
        <v>0.41</v>
      </c>
      <c r="AN240" s="318" t="n">
        <v>0.0275</v>
      </c>
      <c r="AO240" s="318" t="n">
        <v>0</v>
      </c>
      <c r="AP240" s="318" t="n">
        <v>-0.07</v>
      </c>
      <c r="AQ240" s="318" t="n">
        <v>0</v>
      </c>
      <c r="AS240" s="318" t="n">
        <v>0</v>
      </c>
      <c r="AT240" s="318" t="n">
        <v>0</v>
      </c>
      <c r="AU240" s="318" t="n">
        <v>0.43</v>
      </c>
      <c r="AV240" s="318" t="n">
        <v>0</v>
      </c>
      <c r="AW240" s="318" t="n">
        <v>-0.06</v>
      </c>
      <c r="AX240" s="318" t="n">
        <v>-0.06</v>
      </c>
      <c r="AY240" s="318" t="n">
        <v>0</v>
      </c>
      <c r="BA240" s="318" t="n">
        <v>0</v>
      </c>
      <c r="BB240" s="318" t="n">
        <v>0</v>
      </c>
      <c r="BD240" s="318" t="n">
        <v>-0.0025</v>
      </c>
      <c r="BE240" s="318" t="n">
        <v>0</v>
      </c>
      <c r="BF240" s="318" t="n">
        <v>0</v>
      </c>
      <c r="BJ240" s="318" t="n">
        <v>0.35</v>
      </c>
      <c r="BK240" s="318" t="n">
        <v>0</v>
      </c>
      <c r="BL240" s="318" t="n">
        <v>-0.01</v>
      </c>
      <c r="BM240" s="318" t="n">
        <v>0.005</v>
      </c>
      <c r="BO240" s="318" t="n">
        <v>0</v>
      </c>
      <c r="BP240" s="318" t="n">
        <v>0</v>
      </c>
      <c r="BQ240" s="318" t="n">
        <v>0</v>
      </c>
      <c r="BR240" s="318" t="n">
        <v>0.035</v>
      </c>
      <c r="BS240" s="0"/>
      <c r="BT240" s="0" t="n">
        <v>0</v>
      </c>
      <c r="BU240" s="0" t="n">
        <v>0</v>
      </c>
      <c r="BV240" s="0" t="n">
        <v>0</v>
      </c>
    </row>
    <row r="241" customFormat="false" ht="12.75" hidden="false" customHeight="false" outlineLevel="0" collapsed="false">
      <c r="A241" s="320"/>
      <c r="B241" s="320" t="n">
        <v>4.598</v>
      </c>
      <c r="C241" s="327" t="n">
        <f aca="false">EOMONTH(C240,0)+1</f>
        <v>44440</v>
      </c>
      <c r="D241" s="0" t="n">
        <f aca="false">D229+0.05</f>
        <v>3.999</v>
      </c>
      <c r="E241" s="320" t="n">
        <v>0.17</v>
      </c>
      <c r="F241" s="320" t="n">
        <v>0.0641988204230515</v>
      </c>
      <c r="O241" s="318"/>
      <c r="V241" s="330" t="n">
        <v>0.5</v>
      </c>
      <c r="W241" s="318" t="n">
        <v>0.15</v>
      </c>
      <c r="X241" s="318" t="n">
        <v>0.205</v>
      </c>
      <c r="Y241" s="318" t="n">
        <v>0</v>
      </c>
      <c r="Z241" s="318" t="n">
        <v>-0.0295</v>
      </c>
      <c r="AA241" s="318" t="n">
        <v>0.0235</v>
      </c>
      <c r="AB241" s="318" t="n">
        <v>0.0085</v>
      </c>
      <c r="AC241" s="318" t="n">
        <v>0</v>
      </c>
      <c r="AD241" s="318" t="n">
        <v>0</v>
      </c>
      <c r="AE241" s="318" t="n">
        <v>0</v>
      </c>
      <c r="AF241" s="318" t="n">
        <v>0</v>
      </c>
      <c r="AG241" s="318" t="n">
        <v>0</v>
      </c>
      <c r="AH241" s="318" t="n">
        <v>0</v>
      </c>
      <c r="AI241" s="318" t="n">
        <v>0</v>
      </c>
      <c r="AK241" s="318" t="n">
        <v>0</v>
      </c>
      <c r="AL241" s="318" t="n">
        <v>0</v>
      </c>
      <c r="AM241" s="318" t="n">
        <v>0.41</v>
      </c>
      <c r="AN241" s="318" t="n">
        <v>0.03</v>
      </c>
      <c r="AO241" s="318" t="n">
        <v>0</v>
      </c>
      <c r="AP241" s="318" t="n">
        <v>-0.07</v>
      </c>
      <c r="AQ241" s="318" t="n">
        <v>0</v>
      </c>
      <c r="AS241" s="318" t="n">
        <v>0</v>
      </c>
      <c r="AT241" s="318" t="n">
        <v>0</v>
      </c>
      <c r="AU241" s="318" t="n">
        <v>0.43</v>
      </c>
      <c r="AV241" s="318" t="n">
        <v>0</v>
      </c>
      <c r="AW241" s="318" t="n">
        <v>-0.06</v>
      </c>
      <c r="AX241" s="318" t="n">
        <v>-0.06</v>
      </c>
      <c r="AY241" s="318" t="n">
        <v>0</v>
      </c>
      <c r="BA241" s="318" t="n">
        <v>0</v>
      </c>
      <c r="BB241" s="318" t="n">
        <v>0</v>
      </c>
      <c r="BD241" s="318" t="n">
        <v>0</v>
      </c>
      <c r="BE241" s="318" t="n">
        <v>0</v>
      </c>
      <c r="BF241" s="318" t="n">
        <v>0</v>
      </c>
      <c r="BJ241" s="318" t="n">
        <v>0.35</v>
      </c>
      <c r="BK241" s="318" t="n">
        <v>0</v>
      </c>
      <c r="BL241" s="318" t="n">
        <v>-0.01</v>
      </c>
      <c r="BM241" s="318" t="n">
        <v>0.005</v>
      </c>
      <c r="BO241" s="318" t="n">
        <v>0</v>
      </c>
      <c r="BP241" s="318" t="n">
        <v>0</v>
      </c>
      <c r="BQ241" s="318" t="n">
        <v>0</v>
      </c>
      <c r="BR241" s="318" t="n">
        <v>0.01</v>
      </c>
      <c r="BS241" s="0"/>
      <c r="BT241" s="0" t="n">
        <v>0</v>
      </c>
      <c r="BU241" s="0" t="n">
        <v>0</v>
      </c>
      <c r="BV241" s="0" t="n">
        <v>0</v>
      </c>
    </row>
    <row r="242" customFormat="false" ht="12.75" hidden="false" customHeight="false" outlineLevel="0" collapsed="false">
      <c r="A242" s="320"/>
      <c r="B242" s="320" t="n">
        <v>4.491</v>
      </c>
      <c r="C242" s="327" t="n">
        <f aca="false">EOMONTH(C241,0)+1</f>
        <v>44470</v>
      </c>
      <c r="D242" s="0" t="n">
        <f aca="false">D230+0.05</f>
        <v>4.014</v>
      </c>
      <c r="E242" s="320" t="n">
        <v>0.17</v>
      </c>
      <c r="F242" s="320" t="n">
        <v>0.0642426486997727</v>
      </c>
      <c r="O242" s="318"/>
      <c r="V242" s="330" t="n">
        <v>0.5</v>
      </c>
      <c r="W242" s="318" t="n">
        <v>0.125</v>
      </c>
      <c r="X242" s="318" t="n">
        <v>0.145</v>
      </c>
      <c r="Y242" s="318" t="n">
        <v>0</v>
      </c>
      <c r="Z242" s="318" t="n">
        <v>-0.0345</v>
      </c>
      <c r="AA242" s="318" t="n">
        <v>0.0235</v>
      </c>
      <c r="AB242" s="318" t="n">
        <v>0.0085</v>
      </c>
      <c r="AC242" s="318" t="n">
        <v>0</v>
      </c>
      <c r="AD242" s="318" t="n">
        <v>0</v>
      </c>
      <c r="AE242" s="318" t="n">
        <v>0</v>
      </c>
      <c r="AF242" s="318" t="n">
        <v>0</v>
      </c>
      <c r="AG242" s="318" t="n">
        <v>0</v>
      </c>
      <c r="AH242" s="318" t="n">
        <v>0</v>
      </c>
      <c r="AI242" s="318" t="n">
        <v>0</v>
      </c>
      <c r="AK242" s="318" t="n">
        <v>0</v>
      </c>
      <c r="AL242" s="318" t="n">
        <v>0</v>
      </c>
      <c r="AM242" s="318" t="n">
        <v>0.36</v>
      </c>
      <c r="AN242" s="318" t="n">
        <v>0.0225</v>
      </c>
      <c r="AO242" s="318" t="n">
        <v>0</v>
      </c>
      <c r="AP242" s="318" t="n">
        <v>-0.07</v>
      </c>
      <c r="AQ242" s="318" t="n">
        <v>0</v>
      </c>
      <c r="AS242" s="318" t="n">
        <v>0</v>
      </c>
      <c r="AT242" s="318" t="n">
        <v>0</v>
      </c>
      <c r="AU242" s="318" t="n">
        <v>0.43</v>
      </c>
      <c r="AV242" s="318" t="n">
        <v>0</v>
      </c>
      <c r="AW242" s="318" t="n">
        <v>-0.06</v>
      </c>
      <c r="AX242" s="318" t="n">
        <v>-0.06</v>
      </c>
      <c r="AY242" s="318" t="n">
        <v>0</v>
      </c>
      <c r="BA242" s="318" t="n">
        <v>0</v>
      </c>
      <c r="BB242" s="318" t="n">
        <v>0</v>
      </c>
      <c r="BD242" s="318" t="n">
        <v>-0.0075</v>
      </c>
      <c r="BE242" s="318" t="n">
        <v>0</v>
      </c>
      <c r="BF242" s="318" t="n">
        <v>0</v>
      </c>
      <c r="BJ242" s="318" t="n">
        <v>0.315</v>
      </c>
      <c r="BK242" s="318" t="n">
        <v>0</v>
      </c>
      <c r="BL242" s="318" t="n">
        <v>-0.01</v>
      </c>
      <c r="BM242" s="318" t="n">
        <v>0.005</v>
      </c>
      <c r="BO242" s="318" t="n">
        <v>0</v>
      </c>
      <c r="BP242" s="318" t="n">
        <v>0</v>
      </c>
      <c r="BQ242" s="318" t="n">
        <v>0</v>
      </c>
      <c r="BR242" s="318" t="n">
        <v>0.01</v>
      </c>
      <c r="BS242" s="0"/>
      <c r="BT242" s="0" t="n">
        <v>0</v>
      </c>
      <c r="BU242" s="0" t="n">
        <v>0</v>
      </c>
      <c r="BV242" s="0" t="n">
        <v>0</v>
      </c>
    </row>
    <row r="243" customFormat="false" ht="12.75" hidden="false" customHeight="false" outlineLevel="0" collapsed="false">
      <c r="A243" s="320"/>
      <c r="B243" s="320" t="n">
        <v>4.387</v>
      </c>
      <c r="C243" s="327" t="n">
        <f aca="false">EOMONTH(C242,0)+1</f>
        <v>44501</v>
      </c>
      <c r="D243" s="0" t="n">
        <f aca="false">D231+0.05</f>
        <v>4.159</v>
      </c>
      <c r="E243" s="320" t="n">
        <v>0.17</v>
      </c>
      <c r="F243" s="320" t="n">
        <v>0.064285063161722</v>
      </c>
      <c r="O243" s="318"/>
      <c r="V243" s="330" t="n">
        <v>0.5</v>
      </c>
      <c r="W243" s="318" t="n">
        <v>0.145</v>
      </c>
      <c r="X243" s="318" t="n">
        <v>0.175</v>
      </c>
      <c r="Y243" s="318" t="n">
        <v>0</v>
      </c>
      <c r="Z243" s="318" t="n">
        <v>-0.0345</v>
      </c>
      <c r="AA243" s="318" t="n">
        <v>0.0185</v>
      </c>
      <c r="AB243" s="318" t="n">
        <v>0.0035</v>
      </c>
      <c r="AC243" s="318" t="n">
        <v>0</v>
      </c>
      <c r="AD243" s="318" t="n">
        <v>0</v>
      </c>
      <c r="AE243" s="318" t="n">
        <v>0</v>
      </c>
      <c r="AF243" s="318" t="n">
        <v>0</v>
      </c>
      <c r="AG243" s="318" t="n">
        <v>0</v>
      </c>
      <c r="AH243" s="318" t="n">
        <v>0</v>
      </c>
      <c r="AI243" s="318" t="n">
        <v>0</v>
      </c>
      <c r="AK243" s="318" t="n">
        <v>0</v>
      </c>
      <c r="AL243" s="318" t="n">
        <v>0</v>
      </c>
      <c r="AM243" s="318" t="n">
        <v>0.4</v>
      </c>
      <c r="AN243" s="318" t="n">
        <v>0.0125</v>
      </c>
      <c r="AO243" s="318" t="n">
        <v>0</v>
      </c>
      <c r="AP243" s="318" t="n">
        <v>-0.07</v>
      </c>
      <c r="AQ243" s="318" t="n">
        <v>0</v>
      </c>
      <c r="AS243" s="318" t="n">
        <v>0</v>
      </c>
      <c r="AT243" s="318" t="n">
        <v>0</v>
      </c>
      <c r="AU243" s="318" t="n">
        <v>0.43</v>
      </c>
      <c r="AV243" s="318" t="n">
        <v>0</v>
      </c>
      <c r="AW243" s="318" t="n">
        <v>-0.06</v>
      </c>
      <c r="AX243" s="318" t="n">
        <v>-0.06</v>
      </c>
      <c r="AY243" s="318" t="n">
        <v>0</v>
      </c>
      <c r="BA243" s="318" t="n">
        <v>0</v>
      </c>
      <c r="BB243" s="318" t="n">
        <v>0</v>
      </c>
      <c r="BD243" s="318" t="n">
        <v>-0.0175</v>
      </c>
      <c r="BE243" s="318" t="n">
        <v>0</v>
      </c>
      <c r="BF243" s="318" t="n">
        <v>0</v>
      </c>
      <c r="BJ243" s="318" t="n">
        <v>0.36</v>
      </c>
      <c r="BK243" s="318" t="n">
        <v>0</v>
      </c>
      <c r="BL243" s="318" t="n">
        <v>-0.015</v>
      </c>
      <c r="BM243" s="318" t="n">
        <v>0.005</v>
      </c>
      <c r="BO243" s="318" t="n">
        <v>0</v>
      </c>
      <c r="BP243" s="318" t="n">
        <v>0</v>
      </c>
      <c r="BQ243" s="318" t="n">
        <v>0</v>
      </c>
      <c r="BR243" s="318" t="n">
        <v>0.01</v>
      </c>
      <c r="BS243" s="0"/>
      <c r="BT243" s="0" t="n">
        <v>0</v>
      </c>
      <c r="BU243" s="0" t="n">
        <v>0</v>
      </c>
      <c r="BV243" s="0" t="n">
        <v>0</v>
      </c>
    </row>
    <row r="244" customFormat="false" ht="12.75" hidden="false" customHeight="false" outlineLevel="0" collapsed="false">
      <c r="A244" s="320"/>
      <c r="B244" s="320" t="n">
        <v>4.376</v>
      </c>
      <c r="C244" s="327" t="n">
        <f aca="false">EOMONTH(C243,0)+1</f>
        <v>44531</v>
      </c>
      <c r="D244" s="0" t="n">
        <f aca="false">D232+0.05</f>
        <v>4.294</v>
      </c>
      <c r="E244" s="320" t="n">
        <v>0.17</v>
      </c>
      <c r="F244" s="320" t="n">
        <v>0.0643288914396964</v>
      </c>
      <c r="O244" s="318"/>
      <c r="V244" s="330" t="n">
        <v>0</v>
      </c>
      <c r="W244" s="318" t="n">
        <v>0.195</v>
      </c>
      <c r="X244" s="318" t="n">
        <v>0.21</v>
      </c>
      <c r="Y244" s="318" t="n">
        <v>0</v>
      </c>
      <c r="Z244" s="318" t="n">
        <v>-0.0155</v>
      </c>
      <c r="AA244" s="318" t="n">
        <v>0.0195</v>
      </c>
      <c r="AB244" s="318" t="n">
        <v>0.0045</v>
      </c>
      <c r="AC244" s="318" t="n">
        <v>0</v>
      </c>
      <c r="AD244" s="318" t="n">
        <v>0</v>
      </c>
      <c r="AE244" s="318" t="n">
        <v>0</v>
      </c>
      <c r="AF244" s="318" t="n">
        <v>0</v>
      </c>
      <c r="AG244" s="318" t="n">
        <v>0</v>
      </c>
      <c r="AH244" s="318" t="n">
        <v>0</v>
      </c>
      <c r="AI244" s="318" t="n">
        <v>0</v>
      </c>
      <c r="AK244" s="318" t="n">
        <v>0</v>
      </c>
      <c r="AL244" s="318" t="n">
        <v>0</v>
      </c>
      <c r="AM244" s="318" t="n">
        <v>0.65</v>
      </c>
      <c r="AN244" s="318" t="n">
        <v>-0.0225</v>
      </c>
      <c r="AO244" s="318" t="n">
        <v>0</v>
      </c>
      <c r="AP244" s="318" t="n">
        <v>-0.07</v>
      </c>
      <c r="AQ244" s="318" t="n">
        <v>0</v>
      </c>
      <c r="AS244" s="318" t="n">
        <v>0</v>
      </c>
      <c r="AT244" s="318" t="n">
        <v>0</v>
      </c>
      <c r="AU244" s="318" t="n">
        <v>0</v>
      </c>
      <c r="AV244" s="318" t="n">
        <v>0</v>
      </c>
      <c r="AW244" s="318" t="n">
        <v>-0.06</v>
      </c>
      <c r="AX244" s="318" t="n">
        <v>-0.06</v>
      </c>
      <c r="AY244" s="318" t="n">
        <v>0</v>
      </c>
      <c r="BA244" s="318" t="n">
        <v>0</v>
      </c>
      <c r="BB244" s="318" t="n">
        <v>0</v>
      </c>
      <c r="BD244" s="318" t="n">
        <v>-0.0525</v>
      </c>
      <c r="BE244" s="318" t="n">
        <v>0</v>
      </c>
      <c r="BF244" s="318" t="n">
        <v>0</v>
      </c>
      <c r="BJ244" s="318" t="n">
        <v>0.46</v>
      </c>
      <c r="BK244" s="318" t="n">
        <v>0</v>
      </c>
      <c r="BL244" s="318" t="n">
        <v>-0.02</v>
      </c>
      <c r="BM244" s="318" t="n">
        <v>0.005</v>
      </c>
      <c r="BO244" s="318" t="n">
        <v>0</v>
      </c>
      <c r="BP244" s="318" t="n">
        <v>0</v>
      </c>
      <c r="BQ244" s="318" t="n">
        <v>0</v>
      </c>
      <c r="BR244" s="318" t="n">
        <v>0.055</v>
      </c>
      <c r="BS244" s="0"/>
      <c r="BT244" s="0" t="n">
        <v>0</v>
      </c>
      <c r="BU244" s="0" t="n">
        <v>0</v>
      </c>
      <c r="BV244" s="0" t="n">
        <v>0</v>
      </c>
    </row>
    <row r="245" customFormat="false" ht="12.75" hidden="false" customHeight="false" outlineLevel="0" collapsed="false">
      <c r="A245" s="320"/>
      <c r="B245" s="320" t="n">
        <v>4.373</v>
      </c>
      <c r="C245" s="327" t="n">
        <f aca="false">EOMONTH(C244,0)+1</f>
        <v>44562</v>
      </c>
      <c r="D245" s="0" t="n">
        <f aca="false">D233+0.05</f>
        <v>4.349</v>
      </c>
      <c r="E245" s="320" t="n">
        <v>0.17</v>
      </c>
      <c r="F245" s="320" t="n">
        <v>0.0643713059028586</v>
      </c>
      <c r="O245" s="318"/>
      <c r="V245" s="330" t="n">
        <v>0</v>
      </c>
      <c r="W245" s="318" t="n">
        <v>0.215</v>
      </c>
      <c r="X245" s="318" t="n">
        <v>0.29</v>
      </c>
      <c r="Y245" s="318" t="n">
        <v>0</v>
      </c>
      <c r="Z245" s="318" t="n">
        <v>-0.0155</v>
      </c>
      <c r="AA245" s="318" t="n">
        <v>0.0195</v>
      </c>
      <c r="AB245" s="318" t="n">
        <v>0.0045</v>
      </c>
      <c r="AC245" s="318" t="n">
        <v>0</v>
      </c>
      <c r="AD245" s="318" t="n">
        <v>0</v>
      </c>
      <c r="AE245" s="318" t="n">
        <v>0</v>
      </c>
      <c r="AF245" s="318" t="n">
        <v>0</v>
      </c>
      <c r="AG245" s="318" t="n">
        <v>0</v>
      </c>
      <c r="AH245" s="318" t="n">
        <v>0</v>
      </c>
      <c r="AI245" s="318" t="n">
        <v>0</v>
      </c>
      <c r="AK245" s="318" t="n">
        <v>0</v>
      </c>
      <c r="AL245" s="318" t="n">
        <v>0</v>
      </c>
      <c r="AM245" s="318" t="n">
        <v>0.98</v>
      </c>
      <c r="AN245" s="318" t="n">
        <v>-0.045</v>
      </c>
      <c r="AO245" s="318" t="n">
        <v>0</v>
      </c>
      <c r="AP245" s="318" t="n">
        <v>-0.07</v>
      </c>
      <c r="AQ245" s="318" t="n">
        <v>0</v>
      </c>
      <c r="AS245" s="318" t="n">
        <v>0</v>
      </c>
      <c r="AT245" s="318" t="n">
        <v>0</v>
      </c>
      <c r="AU245" s="318" t="n">
        <v>0</v>
      </c>
      <c r="AV245" s="318" t="n">
        <v>0</v>
      </c>
      <c r="AW245" s="318" t="n">
        <v>-0.06</v>
      </c>
      <c r="AX245" s="318" t="n">
        <v>-0.06</v>
      </c>
      <c r="AY245" s="318" t="n">
        <v>0</v>
      </c>
      <c r="BA245" s="318" t="n">
        <v>0</v>
      </c>
      <c r="BB245" s="318" t="n">
        <v>0</v>
      </c>
      <c r="BD245" s="318" t="n">
        <v>-0.075</v>
      </c>
      <c r="BE245" s="318" t="n">
        <v>0</v>
      </c>
      <c r="BF245" s="318" t="n">
        <v>0</v>
      </c>
      <c r="BJ245" s="318" t="n">
        <v>0.77</v>
      </c>
      <c r="BK245" s="318" t="n">
        <v>0</v>
      </c>
      <c r="BL245" s="318" t="n">
        <v>-0.025</v>
      </c>
      <c r="BM245" s="318" t="n">
        <v>0.005</v>
      </c>
      <c r="BO245" s="318" t="n">
        <v>0</v>
      </c>
      <c r="BP245" s="318" t="n">
        <v>0</v>
      </c>
      <c r="BQ245" s="318" t="n">
        <v>0</v>
      </c>
      <c r="BR245" s="318" t="n">
        <v>0.25</v>
      </c>
      <c r="BS245" s="0"/>
      <c r="BT245" s="0" t="n">
        <v>0</v>
      </c>
      <c r="BU245" s="0" t="n">
        <v>0</v>
      </c>
      <c r="BV245" s="0" t="n">
        <v>0</v>
      </c>
    </row>
    <row r="246" customFormat="false" ht="12.75" hidden="false" customHeight="false" outlineLevel="0" collapsed="false">
      <c r="A246" s="320"/>
      <c r="B246" s="320" t="n">
        <v>4.438</v>
      </c>
      <c r="C246" s="327" t="n">
        <f aca="false">EOMONTH(C245,0)+1</f>
        <v>44593</v>
      </c>
      <c r="D246" s="0" t="n">
        <f aca="false">D234+0.05</f>
        <v>4.201</v>
      </c>
      <c r="E246" s="320" t="n">
        <v>0.17</v>
      </c>
      <c r="F246" s="320" t="n">
        <v>0.0643857126822906</v>
      </c>
      <c r="O246" s="318"/>
      <c r="V246" s="330" t="n">
        <v>0</v>
      </c>
      <c r="W246" s="318" t="n">
        <v>0.235</v>
      </c>
      <c r="X246" s="318" t="n">
        <v>0.34</v>
      </c>
      <c r="Y246" s="318" t="n">
        <v>0</v>
      </c>
      <c r="Z246" s="318" t="n">
        <v>-0.0155</v>
      </c>
      <c r="AA246" s="318" t="n">
        <v>0.0195</v>
      </c>
      <c r="AB246" s="318" t="n">
        <v>0.0045</v>
      </c>
      <c r="AC246" s="318" t="n">
        <v>0</v>
      </c>
      <c r="AD246" s="318" t="n">
        <v>0</v>
      </c>
      <c r="AE246" s="318" t="n">
        <v>0</v>
      </c>
      <c r="AF246" s="318" t="n">
        <v>0</v>
      </c>
      <c r="AG246" s="318" t="n">
        <v>0</v>
      </c>
      <c r="AH246" s="318" t="n">
        <v>0</v>
      </c>
      <c r="AI246" s="318" t="n">
        <v>0</v>
      </c>
      <c r="AK246" s="318" t="n">
        <v>0</v>
      </c>
      <c r="AL246" s="318" t="n">
        <v>0</v>
      </c>
      <c r="AM246" s="318" t="n">
        <v>1.6</v>
      </c>
      <c r="AN246" s="318" t="n">
        <v>-0.0475</v>
      </c>
      <c r="AO246" s="318" t="n">
        <v>0</v>
      </c>
      <c r="AP246" s="318" t="n">
        <v>-0.07</v>
      </c>
      <c r="AQ246" s="318" t="n">
        <v>0</v>
      </c>
      <c r="AS246" s="318" t="n">
        <v>0</v>
      </c>
      <c r="AT246" s="318" t="n">
        <v>0</v>
      </c>
      <c r="AU246" s="318" t="n">
        <v>0</v>
      </c>
      <c r="AV246" s="318" t="n">
        <v>0</v>
      </c>
      <c r="AW246" s="318" t="n">
        <v>-0.06</v>
      </c>
      <c r="AX246" s="318" t="n">
        <v>-0.06</v>
      </c>
      <c r="AY246" s="318" t="n">
        <v>0</v>
      </c>
      <c r="BA246" s="318" t="n">
        <v>0</v>
      </c>
      <c r="BB246" s="318" t="n">
        <v>0</v>
      </c>
      <c r="BD246" s="318" t="n">
        <v>-0.0775</v>
      </c>
      <c r="BE246" s="318" t="n">
        <v>0</v>
      </c>
      <c r="BF246" s="318" t="n">
        <v>0</v>
      </c>
      <c r="BJ246" s="318" t="n">
        <v>1.04</v>
      </c>
      <c r="BK246" s="318" t="n">
        <v>0</v>
      </c>
      <c r="BL246" s="318" t="n">
        <v>-0.025</v>
      </c>
      <c r="BM246" s="318" t="n">
        <v>0.005</v>
      </c>
      <c r="BO246" s="318" t="n">
        <v>0</v>
      </c>
      <c r="BP246" s="318" t="n">
        <v>0</v>
      </c>
      <c r="BQ246" s="318" t="n">
        <v>0</v>
      </c>
      <c r="BR246" s="318" t="n">
        <v>0.45</v>
      </c>
      <c r="BS246" s="0"/>
      <c r="BT246" s="0" t="n">
        <v>0</v>
      </c>
      <c r="BU246" s="0" t="n">
        <v>0</v>
      </c>
      <c r="BV246" s="0" t="n">
        <v>0</v>
      </c>
    </row>
    <row r="247" customFormat="false" ht="12.75" hidden="false" customHeight="false" outlineLevel="0" collapsed="false">
      <c r="A247" s="320"/>
      <c r="B247" s="320" t="n">
        <v>4.433</v>
      </c>
      <c r="C247" s="327" t="n">
        <f aca="false">EOMONTH(C246,0)+1</f>
        <v>44621</v>
      </c>
      <c r="D247" s="0" t="n">
        <f aca="false">D235+0.05</f>
        <v>4.15</v>
      </c>
      <c r="E247" s="320" t="n">
        <v>0.17</v>
      </c>
      <c r="F247" s="320" t="n">
        <v>0.0643788706009043</v>
      </c>
      <c r="O247" s="318"/>
      <c r="V247" s="330" t="n">
        <v>0</v>
      </c>
      <c r="W247" s="318" t="n">
        <v>0.235</v>
      </c>
      <c r="X247" s="318" t="n">
        <v>0.34</v>
      </c>
      <c r="Y247" s="318" t="n">
        <v>0</v>
      </c>
      <c r="Z247" s="318" t="n">
        <v>-0.0155</v>
      </c>
      <c r="AA247" s="318" t="n">
        <v>0.0195</v>
      </c>
      <c r="AB247" s="318" t="n">
        <v>0.0045</v>
      </c>
      <c r="AC247" s="318" t="n">
        <v>0</v>
      </c>
      <c r="AD247" s="318" t="n">
        <v>0</v>
      </c>
      <c r="AE247" s="318" t="n">
        <v>0</v>
      </c>
      <c r="AF247" s="318" t="n">
        <v>0</v>
      </c>
      <c r="AG247" s="318" t="n">
        <v>0</v>
      </c>
      <c r="AH247" s="318" t="n">
        <v>0</v>
      </c>
      <c r="AI247" s="318" t="n">
        <v>0</v>
      </c>
      <c r="AK247" s="318" t="n">
        <v>0</v>
      </c>
      <c r="AL247" s="318" t="n">
        <v>0</v>
      </c>
      <c r="AM247" s="318" t="n">
        <v>1.6</v>
      </c>
      <c r="AN247" s="318" t="n">
        <v>-0.03</v>
      </c>
      <c r="AO247" s="318" t="n">
        <v>0</v>
      </c>
      <c r="AP247" s="318" t="n">
        <v>-0.07</v>
      </c>
      <c r="AQ247" s="318" t="n">
        <v>0</v>
      </c>
      <c r="AS247" s="318" t="n">
        <v>0</v>
      </c>
      <c r="AT247" s="318" t="n">
        <v>0</v>
      </c>
      <c r="AU247" s="318" t="n">
        <v>0</v>
      </c>
      <c r="AV247" s="318" t="n">
        <v>0</v>
      </c>
      <c r="AW247" s="318" t="n">
        <v>-0.06</v>
      </c>
      <c r="AX247" s="318" t="n">
        <v>-0.06</v>
      </c>
      <c r="AY247" s="318" t="n">
        <v>0</v>
      </c>
      <c r="BA247" s="318" t="n">
        <v>0</v>
      </c>
      <c r="BB247" s="318" t="n">
        <v>0</v>
      </c>
      <c r="BD247" s="318" t="n">
        <v>-0.06</v>
      </c>
      <c r="BE247" s="318" t="n">
        <v>0</v>
      </c>
      <c r="BF247" s="318" t="n">
        <v>0</v>
      </c>
      <c r="BJ247" s="318" t="n">
        <v>1.04</v>
      </c>
      <c r="BK247" s="318" t="n">
        <v>0</v>
      </c>
      <c r="BL247" s="318" t="n">
        <v>-0.025</v>
      </c>
      <c r="BM247" s="318" t="n">
        <v>0.005</v>
      </c>
      <c r="BO247" s="318" t="n">
        <v>0</v>
      </c>
      <c r="BP247" s="318" t="n">
        <v>0</v>
      </c>
      <c r="BQ247" s="318" t="n">
        <v>0</v>
      </c>
      <c r="BR247" s="318" t="n">
        <v>0.45</v>
      </c>
      <c r="BS247" s="0"/>
      <c r="BT247" s="0" t="n">
        <v>0</v>
      </c>
      <c r="BU247" s="0" t="n">
        <v>0</v>
      </c>
      <c r="BV247" s="0" t="n">
        <v>0</v>
      </c>
    </row>
    <row r="248" customFormat="false" ht="12.75" hidden="false" customHeight="false" outlineLevel="0" collapsed="false">
      <c r="A248" s="320"/>
      <c r="B248" s="320" t="n">
        <v>4.406</v>
      </c>
      <c r="C248" s="327" t="n">
        <f aca="false">EOMONTH(C247,0)+1</f>
        <v>44652</v>
      </c>
      <c r="D248" s="0" t="n">
        <f aca="false">D236+0.05</f>
        <v>3.931</v>
      </c>
      <c r="E248" s="320" t="n">
        <v>0.17</v>
      </c>
      <c r="F248" s="320" t="n">
        <v>0.0643726906564397</v>
      </c>
      <c r="O248" s="318"/>
      <c r="V248" s="330" t="n">
        <v>0</v>
      </c>
      <c r="W248" s="318" t="n">
        <v>0.195</v>
      </c>
      <c r="X248" s="318" t="n">
        <v>0.29</v>
      </c>
      <c r="Y248" s="318" t="n">
        <v>0</v>
      </c>
      <c r="Z248" s="318" t="n">
        <v>-0.0155</v>
      </c>
      <c r="AA248" s="318" t="n">
        <v>0.027</v>
      </c>
      <c r="AB248" s="318" t="n">
        <v>0.012</v>
      </c>
      <c r="AC248" s="318" t="n">
        <v>0</v>
      </c>
      <c r="AD248" s="318" t="n">
        <v>0</v>
      </c>
      <c r="AE248" s="318" t="n">
        <v>0</v>
      </c>
      <c r="AF248" s="318" t="n">
        <v>0</v>
      </c>
      <c r="AG248" s="318" t="n">
        <v>0</v>
      </c>
      <c r="AH248" s="318" t="n">
        <v>0</v>
      </c>
      <c r="AI248" s="318" t="n">
        <v>0</v>
      </c>
      <c r="AK248" s="318" t="n">
        <v>0</v>
      </c>
      <c r="AL248" s="318" t="n">
        <v>0</v>
      </c>
      <c r="AM248" s="318" t="n">
        <v>0.64</v>
      </c>
      <c r="AN248" s="318" t="n">
        <v>-0.0175</v>
      </c>
      <c r="AO248" s="318" t="n">
        <v>0</v>
      </c>
      <c r="AP248" s="318" t="n">
        <v>-0.07</v>
      </c>
      <c r="AQ248" s="318" t="n">
        <v>0</v>
      </c>
      <c r="AS248" s="318" t="n">
        <v>0</v>
      </c>
      <c r="AT248" s="318" t="n">
        <v>0</v>
      </c>
      <c r="AU248" s="318" t="n">
        <v>0</v>
      </c>
      <c r="AV248" s="318" t="n">
        <v>0</v>
      </c>
      <c r="AW248" s="318" t="n">
        <v>-0.06</v>
      </c>
      <c r="AX248" s="318" t="n">
        <v>-0.06</v>
      </c>
      <c r="AY248" s="318" t="n">
        <v>0</v>
      </c>
      <c r="BA248" s="318" t="n">
        <v>0</v>
      </c>
      <c r="BB248" s="318" t="n">
        <v>0</v>
      </c>
      <c r="BD248" s="318" t="n">
        <v>-0.0475</v>
      </c>
      <c r="BE248" s="318" t="n">
        <v>0</v>
      </c>
      <c r="BF248" s="318" t="n">
        <v>0</v>
      </c>
      <c r="BJ248" s="318" t="n">
        <v>0.54</v>
      </c>
      <c r="BK248" s="318" t="n">
        <v>0</v>
      </c>
      <c r="BL248" s="318" t="n">
        <v>-0.02</v>
      </c>
      <c r="BM248" s="318" t="n">
        <v>0.005</v>
      </c>
      <c r="BO248" s="318" t="n">
        <v>0</v>
      </c>
      <c r="BP248" s="318" t="n">
        <v>0</v>
      </c>
      <c r="BQ248" s="318" t="n">
        <v>0</v>
      </c>
      <c r="BR248" s="318" t="n">
        <v>0.1</v>
      </c>
      <c r="BS248" s="0"/>
      <c r="BT248" s="0" t="n">
        <v>0</v>
      </c>
      <c r="BU248" s="0" t="n">
        <v>0</v>
      </c>
      <c r="BV248" s="0" t="n">
        <v>0</v>
      </c>
    </row>
    <row r="249" customFormat="false" ht="12.75" hidden="false" customHeight="false" outlineLevel="0" collapsed="false">
      <c r="A249" s="320"/>
      <c r="B249" s="320" t="n">
        <v>4.407</v>
      </c>
      <c r="C249" s="327" t="n">
        <f aca="false">EOMONTH(C248,0)+1</f>
        <v>44682</v>
      </c>
      <c r="D249" s="0" t="n">
        <f aca="false">D237+0.05</f>
        <v>3.934</v>
      </c>
      <c r="E249" s="320" t="n">
        <v>0.17</v>
      </c>
      <c r="F249" s="320" t="n">
        <v>0.0643658485750831</v>
      </c>
      <c r="O249" s="318"/>
      <c r="V249" s="330" t="n">
        <v>0</v>
      </c>
      <c r="W249" s="318" t="n">
        <v>0.145</v>
      </c>
      <c r="X249" s="318" t="n">
        <v>0.195</v>
      </c>
      <c r="Y249" s="318" t="n">
        <v>0</v>
      </c>
      <c r="Z249" s="318" t="n">
        <v>-0.0305</v>
      </c>
      <c r="AA249" s="318" t="n">
        <v>0.027</v>
      </c>
      <c r="AB249" s="318" t="n">
        <v>0.012</v>
      </c>
      <c r="AC249" s="318" t="n">
        <v>0</v>
      </c>
      <c r="AD249" s="318" t="n">
        <v>0</v>
      </c>
      <c r="AE249" s="318" t="n">
        <v>0</v>
      </c>
      <c r="AF249" s="318" t="n">
        <v>0</v>
      </c>
      <c r="AG249" s="318" t="n">
        <v>0</v>
      </c>
      <c r="AH249" s="318" t="n">
        <v>0</v>
      </c>
      <c r="AI249" s="318" t="n">
        <v>0</v>
      </c>
      <c r="AK249" s="318" t="n">
        <v>0</v>
      </c>
      <c r="AL249" s="318" t="n">
        <v>0</v>
      </c>
      <c r="AM249" s="318" t="n">
        <v>0.38</v>
      </c>
      <c r="AN249" s="318" t="n">
        <v>0.02</v>
      </c>
      <c r="AO249" s="318" t="n">
        <v>0</v>
      </c>
      <c r="AP249" s="318" t="n">
        <v>-0.07</v>
      </c>
      <c r="AQ249" s="318" t="n">
        <v>0</v>
      </c>
      <c r="AS249" s="318" t="n">
        <v>0</v>
      </c>
      <c r="AT249" s="318" t="n">
        <v>0</v>
      </c>
      <c r="AU249" s="318" t="n">
        <v>0</v>
      </c>
      <c r="AV249" s="318" t="n">
        <v>0</v>
      </c>
      <c r="AW249" s="318" t="n">
        <v>-0.06</v>
      </c>
      <c r="AX249" s="318" t="n">
        <v>-0.06</v>
      </c>
      <c r="AY249" s="318" t="n">
        <v>0</v>
      </c>
      <c r="BA249" s="318" t="n">
        <v>0</v>
      </c>
      <c r="BB249" s="318" t="n">
        <v>0</v>
      </c>
      <c r="BD249" s="318" t="n">
        <v>-0.01</v>
      </c>
      <c r="BE249" s="318" t="n">
        <v>0</v>
      </c>
      <c r="BF249" s="318" t="n">
        <v>0</v>
      </c>
      <c r="BJ249" s="318" t="n">
        <v>0.36</v>
      </c>
      <c r="BK249" s="318" t="n">
        <v>0</v>
      </c>
      <c r="BL249" s="318" t="n">
        <v>-0.015</v>
      </c>
      <c r="BM249" s="318" t="n">
        <v>0.005</v>
      </c>
      <c r="BO249" s="318" t="n">
        <v>0</v>
      </c>
      <c r="BP249" s="318" t="n">
        <v>0</v>
      </c>
      <c r="BQ249" s="318" t="n">
        <v>0</v>
      </c>
      <c r="BR249" s="318" t="n">
        <v>0.02</v>
      </c>
      <c r="BS249" s="0"/>
      <c r="BT249" s="0" t="n">
        <v>0</v>
      </c>
      <c r="BU249" s="0" t="n">
        <v>0</v>
      </c>
      <c r="BV249" s="0" t="n">
        <v>0</v>
      </c>
    </row>
    <row r="250" customFormat="false" ht="12.75" hidden="false" customHeight="false" outlineLevel="0" collapsed="false">
      <c r="A250" s="320"/>
      <c r="B250" s="320" t="n">
        <v>4.434</v>
      </c>
      <c r="C250" s="327" t="n">
        <f aca="false">EOMONTH(C249,0)+1</f>
        <v>44713</v>
      </c>
      <c r="D250" s="0" t="n">
        <f aca="false">D238+0.05</f>
        <v>3.974</v>
      </c>
      <c r="E250" s="320" t="n">
        <v>0.17</v>
      </c>
      <c r="F250" s="320" t="n">
        <v>0.0643592272060429</v>
      </c>
      <c r="O250" s="318"/>
      <c r="V250" s="330" t="n">
        <v>0</v>
      </c>
      <c r="W250" s="318" t="n">
        <v>0.125</v>
      </c>
      <c r="X250" s="318" t="n">
        <v>0.135</v>
      </c>
      <c r="Y250" s="318" t="n">
        <v>0</v>
      </c>
      <c r="Z250" s="318" t="n">
        <v>-0.0305</v>
      </c>
      <c r="AA250" s="318" t="n">
        <v>0.0295</v>
      </c>
      <c r="AB250" s="318" t="n">
        <v>0.0145</v>
      </c>
      <c r="AC250" s="318" t="n">
        <v>0</v>
      </c>
      <c r="AD250" s="318" t="n">
        <v>0</v>
      </c>
      <c r="AE250" s="318" t="n">
        <v>0</v>
      </c>
      <c r="AF250" s="318" t="n">
        <v>0</v>
      </c>
      <c r="AG250" s="318" t="n">
        <v>0</v>
      </c>
      <c r="AH250" s="318" t="n">
        <v>0</v>
      </c>
      <c r="AI250" s="318" t="n">
        <v>0</v>
      </c>
      <c r="AK250" s="318" t="n">
        <v>0</v>
      </c>
      <c r="AL250" s="318" t="n">
        <v>0</v>
      </c>
      <c r="AM250" s="318" t="n">
        <v>0.33</v>
      </c>
      <c r="AN250" s="318" t="n">
        <v>0.02</v>
      </c>
      <c r="AO250" s="318" t="n">
        <v>0</v>
      </c>
      <c r="AP250" s="318" t="n">
        <v>-0.07</v>
      </c>
      <c r="AQ250" s="318" t="n">
        <v>0</v>
      </c>
      <c r="AS250" s="318" t="n">
        <v>0</v>
      </c>
      <c r="AT250" s="318" t="n">
        <v>0</v>
      </c>
      <c r="AU250" s="318" t="n">
        <v>0</v>
      </c>
      <c r="AV250" s="318" t="n">
        <v>0</v>
      </c>
      <c r="AW250" s="318" t="n">
        <v>-0.06</v>
      </c>
      <c r="AX250" s="318" t="n">
        <v>-0.06</v>
      </c>
      <c r="AY250" s="318" t="n">
        <v>0</v>
      </c>
      <c r="BA250" s="318" t="n">
        <v>0</v>
      </c>
      <c r="BB250" s="318" t="n">
        <v>0</v>
      </c>
      <c r="BD250" s="318" t="n">
        <v>-0.01</v>
      </c>
      <c r="BE250" s="318" t="n">
        <v>0</v>
      </c>
      <c r="BF250" s="318" t="n">
        <v>0</v>
      </c>
      <c r="BJ250" s="318" t="n">
        <v>0.325</v>
      </c>
      <c r="BK250" s="318" t="n">
        <v>0</v>
      </c>
      <c r="BL250" s="318" t="n">
        <v>-0.015</v>
      </c>
      <c r="BM250" s="318" t="n">
        <v>0.005</v>
      </c>
      <c r="BO250" s="318" t="n">
        <v>0</v>
      </c>
      <c r="BP250" s="318" t="n">
        <v>0</v>
      </c>
      <c r="BQ250" s="318" t="n">
        <v>0</v>
      </c>
      <c r="BR250" s="318" t="n">
        <v>0.02</v>
      </c>
      <c r="BS250" s="0"/>
      <c r="BT250" s="0" t="n">
        <v>0</v>
      </c>
      <c r="BU250" s="0" t="n">
        <v>0</v>
      </c>
      <c r="BV250" s="0" t="n">
        <v>0</v>
      </c>
    </row>
    <row r="251" customFormat="false" ht="12.75" hidden="false" customHeight="false" outlineLevel="0" collapsed="false">
      <c r="A251" s="320"/>
      <c r="B251" s="320" t="n">
        <v>4.492</v>
      </c>
      <c r="C251" s="327" t="n">
        <f aca="false">EOMONTH(C250,0)+1</f>
        <v>44743</v>
      </c>
      <c r="D251" s="0" t="n">
        <f aca="false">D239+0.05</f>
        <v>4.014</v>
      </c>
      <c r="E251" s="320" t="n">
        <v>0.17</v>
      </c>
      <c r="F251" s="320" t="n">
        <v>0.064352385124717</v>
      </c>
      <c r="O251" s="318"/>
      <c r="V251" s="330" t="n">
        <v>0</v>
      </c>
      <c r="W251" s="318" t="n">
        <v>0.145</v>
      </c>
      <c r="X251" s="318" t="n">
        <v>0.165</v>
      </c>
      <c r="Y251" s="318" t="n">
        <v>0</v>
      </c>
      <c r="Z251" s="318" t="n">
        <v>-0.028</v>
      </c>
      <c r="AA251" s="318" t="n">
        <v>0.0295</v>
      </c>
      <c r="AB251" s="318" t="n">
        <v>0.0145</v>
      </c>
      <c r="AC251" s="318" t="n">
        <v>0</v>
      </c>
      <c r="AD251" s="318" t="n">
        <v>0</v>
      </c>
      <c r="AE251" s="318" t="n">
        <v>0</v>
      </c>
      <c r="AF251" s="318" t="n">
        <v>0</v>
      </c>
      <c r="AG251" s="318" t="n">
        <v>0</v>
      </c>
      <c r="AH251" s="318" t="n">
        <v>0</v>
      </c>
      <c r="AI251" s="318" t="n">
        <v>0</v>
      </c>
      <c r="AK251" s="318" t="n">
        <v>0</v>
      </c>
      <c r="AL251" s="318" t="n">
        <v>0</v>
      </c>
      <c r="AM251" s="318" t="n">
        <v>0.37</v>
      </c>
      <c r="AN251" s="318" t="n">
        <v>0.025</v>
      </c>
      <c r="AO251" s="318" t="n">
        <v>0</v>
      </c>
      <c r="AP251" s="318" t="n">
        <v>-0.07</v>
      </c>
      <c r="AQ251" s="318" t="n">
        <v>0</v>
      </c>
      <c r="AS251" s="318" t="n">
        <v>0</v>
      </c>
      <c r="AT251" s="318" t="n">
        <v>0</v>
      </c>
      <c r="AU251" s="318" t="n">
        <v>0</v>
      </c>
      <c r="AV251" s="318" t="n">
        <v>0</v>
      </c>
      <c r="AW251" s="318" t="n">
        <v>-0.06</v>
      </c>
      <c r="AX251" s="318" t="n">
        <v>-0.06</v>
      </c>
      <c r="AY251" s="318" t="n">
        <v>0</v>
      </c>
      <c r="BA251" s="318" t="n">
        <v>0</v>
      </c>
      <c r="BB251" s="318" t="n">
        <v>0</v>
      </c>
      <c r="BD251" s="318" t="n">
        <v>-0.005</v>
      </c>
      <c r="BE251" s="318" t="n">
        <v>0</v>
      </c>
      <c r="BF251" s="318" t="n">
        <v>0</v>
      </c>
      <c r="BJ251" s="318" t="n">
        <v>0.335</v>
      </c>
      <c r="BK251" s="318" t="n">
        <v>0</v>
      </c>
      <c r="BL251" s="318" t="n">
        <v>-0.015</v>
      </c>
      <c r="BM251" s="318" t="n">
        <v>0.005</v>
      </c>
      <c r="BO251" s="318" t="n">
        <v>0</v>
      </c>
      <c r="BP251" s="318" t="n">
        <v>0</v>
      </c>
      <c r="BQ251" s="318" t="n">
        <v>0</v>
      </c>
      <c r="BR251" s="318" t="n">
        <v>0.035</v>
      </c>
      <c r="BS251" s="0"/>
      <c r="BT251" s="0" t="n">
        <v>0</v>
      </c>
      <c r="BU251" s="0" t="n">
        <v>0</v>
      </c>
      <c r="BV251" s="0" t="n">
        <v>0</v>
      </c>
    </row>
    <row r="252" customFormat="false" ht="12.75" hidden="false" customHeight="false" outlineLevel="0" collapsed="false">
      <c r="A252" s="320"/>
      <c r="B252" s="320" t="n">
        <v>4.754</v>
      </c>
      <c r="C252" s="327" t="n">
        <f aca="false">EOMONTH(C251,0)+1</f>
        <v>44774</v>
      </c>
      <c r="D252" s="0" t="n">
        <f aca="false">D240+0.05</f>
        <v>4.064</v>
      </c>
      <c r="E252" s="320" t="n">
        <v>0.17</v>
      </c>
      <c r="F252" s="320" t="n">
        <v>0.0643457637557066</v>
      </c>
      <c r="O252" s="318"/>
      <c r="V252" s="330" t="n">
        <v>0</v>
      </c>
      <c r="W252" s="318" t="n">
        <v>0.15</v>
      </c>
      <c r="X252" s="318" t="n">
        <v>0.205</v>
      </c>
      <c r="Y252" s="318" t="n">
        <v>0</v>
      </c>
      <c r="Z252" s="318" t="n">
        <v>-0.028</v>
      </c>
      <c r="AA252" s="318" t="n">
        <v>0.0295</v>
      </c>
      <c r="AB252" s="318" t="n">
        <v>0.0145</v>
      </c>
      <c r="AC252" s="318" t="n">
        <v>0</v>
      </c>
      <c r="AD252" s="318" t="n">
        <v>0</v>
      </c>
      <c r="AE252" s="318" t="n">
        <v>0</v>
      </c>
      <c r="AF252" s="318" t="n">
        <v>0</v>
      </c>
      <c r="AG252" s="318" t="n">
        <v>0</v>
      </c>
      <c r="AH252" s="318" t="n">
        <v>0</v>
      </c>
      <c r="AI252" s="318" t="n">
        <v>0</v>
      </c>
      <c r="AK252" s="318" t="n">
        <v>0</v>
      </c>
      <c r="AL252" s="318" t="n">
        <v>0</v>
      </c>
      <c r="AM252" s="318" t="n">
        <v>0.41</v>
      </c>
      <c r="AN252" s="318" t="n">
        <v>0.0275</v>
      </c>
      <c r="AO252" s="318" t="n">
        <v>0</v>
      </c>
      <c r="AP252" s="318" t="n">
        <v>-0.07</v>
      </c>
      <c r="AQ252" s="318" t="n">
        <v>0</v>
      </c>
      <c r="AS252" s="318" t="n">
        <v>0</v>
      </c>
      <c r="AT252" s="318" t="n">
        <v>0</v>
      </c>
      <c r="AU252" s="318" t="n">
        <v>0</v>
      </c>
      <c r="AV252" s="318" t="n">
        <v>0</v>
      </c>
      <c r="AW252" s="318" t="n">
        <v>-0.06</v>
      </c>
      <c r="AX252" s="318" t="n">
        <v>-0.06</v>
      </c>
      <c r="AY252" s="318" t="n">
        <v>0</v>
      </c>
      <c r="BA252" s="318" t="n">
        <v>0</v>
      </c>
      <c r="BB252" s="318" t="n">
        <v>0</v>
      </c>
      <c r="BD252" s="318" t="n">
        <v>-0.0025</v>
      </c>
      <c r="BE252" s="318" t="n">
        <v>0</v>
      </c>
      <c r="BF252" s="318" t="n">
        <v>0</v>
      </c>
      <c r="BJ252" s="318" t="n">
        <v>0.35</v>
      </c>
      <c r="BK252" s="318" t="n">
        <v>0</v>
      </c>
      <c r="BL252" s="318" t="n">
        <v>-0.01</v>
      </c>
      <c r="BM252" s="318" t="n">
        <v>0.005</v>
      </c>
      <c r="BO252" s="318" t="n">
        <v>0</v>
      </c>
      <c r="BP252" s="318" t="n">
        <v>0</v>
      </c>
      <c r="BQ252" s="318" t="n">
        <v>0</v>
      </c>
      <c r="BR252" s="318" t="n">
        <v>0.035</v>
      </c>
      <c r="BS252" s="0"/>
      <c r="BT252" s="0" t="n">
        <v>0</v>
      </c>
      <c r="BU252" s="0" t="n">
        <v>0</v>
      </c>
      <c r="BV252" s="0" t="n">
        <v>0</v>
      </c>
    </row>
    <row r="253" customFormat="false" ht="12.75" hidden="false" customHeight="false" outlineLevel="0" collapsed="false">
      <c r="A253" s="320"/>
      <c r="B253" s="320" t="n">
        <v>4.699</v>
      </c>
      <c r="C253" s="327" t="n">
        <f aca="false">EOMONTH(C252,0)+1</f>
        <v>44805</v>
      </c>
      <c r="D253" s="0" t="n">
        <f aca="false">D241+0.05</f>
        <v>4.049</v>
      </c>
      <c r="E253" s="320" t="n">
        <v>0.17</v>
      </c>
      <c r="F253" s="320" t="n">
        <v>0.0643389216744112</v>
      </c>
      <c r="O253" s="318"/>
      <c r="V253" s="330" t="n">
        <v>0</v>
      </c>
      <c r="W253" s="318" t="n">
        <v>0.15</v>
      </c>
      <c r="X253" s="318" t="n">
        <v>0.205</v>
      </c>
      <c r="Y253" s="318" t="n">
        <v>0</v>
      </c>
      <c r="Z253" s="318" t="n">
        <v>-0.028</v>
      </c>
      <c r="AA253" s="318" t="n">
        <v>0.0245</v>
      </c>
      <c r="AB253" s="318" t="n">
        <v>0.0095</v>
      </c>
      <c r="AC253" s="318" t="n">
        <v>0</v>
      </c>
      <c r="AD253" s="318" t="n">
        <v>0</v>
      </c>
      <c r="AE253" s="318" t="n">
        <v>0</v>
      </c>
      <c r="AF253" s="318" t="n">
        <v>0</v>
      </c>
      <c r="AG253" s="318" t="n">
        <v>0</v>
      </c>
      <c r="AH253" s="318" t="n">
        <v>0</v>
      </c>
      <c r="AI253" s="318" t="n">
        <v>0</v>
      </c>
      <c r="AK253" s="318" t="n">
        <v>0</v>
      </c>
      <c r="AL253" s="318" t="n">
        <v>0</v>
      </c>
      <c r="AM253" s="318" t="n">
        <v>0.41</v>
      </c>
      <c r="AN253" s="318" t="n">
        <v>0.03</v>
      </c>
      <c r="AO253" s="318" t="n">
        <v>0</v>
      </c>
      <c r="AP253" s="318" t="n">
        <v>-0.07</v>
      </c>
      <c r="AQ253" s="318" t="n">
        <v>0</v>
      </c>
      <c r="AS253" s="318" t="n">
        <v>0</v>
      </c>
      <c r="AT253" s="318" t="n">
        <v>0</v>
      </c>
      <c r="AU253" s="318" t="n">
        <v>0</v>
      </c>
      <c r="AV253" s="318" t="n">
        <v>0</v>
      </c>
      <c r="AW253" s="318" t="n">
        <v>-0.06</v>
      </c>
      <c r="AX253" s="318" t="n">
        <v>-0.06</v>
      </c>
      <c r="AY253" s="318" t="n">
        <v>0</v>
      </c>
      <c r="BA253" s="318" t="n">
        <v>0</v>
      </c>
      <c r="BB253" s="318" t="n">
        <v>0</v>
      </c>
      <c r="BD253" s="318" t="n">
        <v>0</v>
      </c>
      <c r="BE253" s="318" t="n">
        <v>0</v>
      </c>
      <c r="BF253" s="318" t="n">
        <v>0</v>
      </c>
      <c r="BJ253" s="318" t="n">
        <v>0.35</v>
      </c>
      <c r="BK253" s="318" t="n">
        <v>0</v>
      </c>
      <c r="BL253" s="318" t="n">
        <v>-0.01</v>
      </c>
      <c r="BM253" s="318" t="n">
        <v>0.005</v>
      </c>
      <c r="BO253" s="318" t="n">
        <v>0</v>
      </c>
      <c r="BP253" s="318" t="n">
        <v>0</v>
      </c>
      <c r="BQ253" s="318" t="n">
        <v>0</v>
      </c>
      <c r="BR253" s="318" t="n">
        <v>0.01</v>
      </c>
      <c r="BS253" s="0"/>
      <c r="BT253" s="0" t="n">
        <v>0</v>
      </c>
      <c r="BU253" s="0" t="n">
        <v>0</v>
      </c>
      <c r="BV253" s="0" t="n">
        <v>0</v>
      </c>
    </row>
    <row r="254" customFormat="false" ht="12.75" hidden="false" customHeight="false" outlineLevel="0" collapsed="false">
      <c r="A254" s="320"/>
      <c r="B254" s="320" t="n">
        <v>4.595</v>
      </c>
      <c r="C254" s="327" t="n">
        <f aca="false">EOMONTH(C253,0)+1</f>
        <v>44835</v>
      </c>
      <c r="D254" s="0" t="n">
        <f aca="false">D242+0.05</f>
        <v>4.064</v>
      </c>
      <c r="E254" s="320" t="n">
        <v>0.17</v>
      </c>
      <c r="F254" s="320" t="n">
        <v>0.064332079593131</v>
      </c>
      <c r="O254" s="318"/>
      <c r="V254" s="330" t="n">
        <v>0</v>
      </c>
      <c r="W254" s="318" t="n">
        <v>0.125</v>
      </c>
      <c r="X254" s="318" t="n">
        <v>0.145</v>
      </c>
      <c r="Y254" s="318" t="n">
        <v>0</v>
      </c>
      <c r="Z254" s="318" t="n">
        <v>-0.033</v>
      </c>
      <c r="AA254" s="318" t="n">
        <v>0.0245</v>
      </c>
      <c r="AB254" s="318" t="n">
        <v>0.0095</v>
      </c>
      <c r="AC254" s="318" t="n">
        <v>0</v>
      </c>
      <c r="AD254" s="318" t="n">
        <v>0</v>
      </c>
      <c r="AE254" s="318" t="n">
        <v>0</v>
      </c>
      <c r="AF254" s="318" t="n">
        <v>0</v>
      </c>
      <c r="AG254" s="318" t="n">
        <v>0</v>
      </c>
      <c r="AH254" s="318" t="n">
        <v>0</v>
      </c>
      <c r="AI254" s="318" t="n">
        <v>0</v>
      </c>
      <c r="AK254" s="318" t="n">
        <v>0</v>
      </c>
      <c r="AL254" s="318" t="n">
        <v>0</v>
      </c>
      <c r="AM254" s="318" t="n">
        <v>0.36</v>
      </c>
      <c r="AN254" s="318" t="n">
        <v>0.0225</v>
      </c>
      <c r="AO254" s="318" t="n">
        <v>0</v>
      </c>
      <c r="AP254" s="318" t="n">
        <v>-0.07</v>
      </c>
      <c r="AQ254" s="318" t="n">
        <v>0</v>
      </c>
      <c r="AS254" s="318" t="n">
        <v>0</v>
      </c>
      <c r="AT254" s="318" t="n">
        <v>0</v>
      </c>
      <c r="AU254" s="318" t="n">
        <v>0</v>
      </c>
      <c r="AV254" s="318" t="n">
        <v>0</v>
      </c>
      <c r="AW254" s="318" t="n">
        <v>-0.06</v>
      </c>
      <c r="AX254" s="318" t="n">
        <v>-0.06</v>
      </c>
      <c r="AY254" s="318" t="n">
        <v>0</v>
      </c>
      <c r="BA254" s="318" t="n">
        <v>0</v>
      </c>
      <c r="BB254" s="318" t="n">
        <v>0</v>
      </c>
      <c r="BD254" s="318" t="n">
        <v>-0.0075</v>
      </c>
      <c r="BE254" s="318" t="n">
        <v>0</v>
      </c>
      <c r="BF254" s="318" t="n">
        <v>0</v>
      </c>
      <c r="BJ254" s="318" t="n">
        <v>0.315</v>
      </c>
      <c r="BK254" s="318" t="n">
        <v>0</v>
      </c>
      <c r="BL254" s="318" t="n">
        <v>-0.01</v>
      </c>
      <c r="BM254" s="318" t="n">
        <v>0.005</v>
      </c>
      <c r="BO254" s="318" t="n">
        <v>0</v>
      </c>
      <c r="BP254" s="318" t="n">
        <v>0</v>
      </c>
      <c r="BQ254" s="318" t="n">
        <v>0</v>
      </c>
      <c r="BR254" s="318" t="n">
        <v>0.01</v>
      </c>
      <c r="BS254" s="0"/>
      <c r="BT254" s="0" t="n">
        <v>0</v>
      </c>
      <c r="BU254" s="0" t="n">
        <v>0</v>
      </c>
      <c r="BV254" s="0" t="n">
        <v>0</v>
      </c>
    </row>
    <row r="255" customFormat="false" ht="12.75" hidden="false" customHeight="false" outlineLevel="0" collapsed="false">
      <c r="A255" s="320"/>
      <c r="B255" s="320" t="n">
        <v>4.494</v>
      </c>
      <c r="C255" s="327" t="n">
        <f aca="false">EOMONTH(C254,0)+1</f>
        <v>44866</v>
      </c>
      <c r="D255" s="0" t="n">
        <f aca="false">D243+0.05</f>
        <v>4.209</v>
      </c>
      <c r="E255" s="320" t="n">
        <v>0.17</v>
      </c>
      <c r="F255" s="320" t="n">
        <v>0.064325458224165</v>
      </c>
      <c r="O255" s="318"/>
      <c r="V255" s="330" t="n">
        <v>0</v>
      </c>
      <c r="W255" s="318" t="n">
        <v>0.145</v>
      </c>
      <c r="X255" s="318" t="n">
        <v>0.175</v>
      </c>
      <c r="Y255" s="318" t="n">
        <v>0</v>
      </c>
      <c r="Z255" s="318" t="n">
        <v>-0.033</v>
      </c>
      <c r="AA255" s="318" t="n">
        <v>0.0195</v>
      </c>
      <c r="AB255" s="318" t="n">
        <v>0.0045</v>
      </c>
      <c r="AC255" s="318" t="n">
        <v>0</v>
      </c>
      <c r="AD255" s="318" t="n">
        <v>0</v>
      </c>
      <c r="AE255" s="318" t="n">
        <v>0</v>
      </c>
      <c r="AF255" s="318" t="n">
        <v>0</v>
      </c>
      <c r="AG255" s="318" t="n">
        <v>0</v>
      </c>
      <c r="AH255" s="318" t="n">
        <v>0</v>
      </c>
      <c r="AI255" s="318" t="n">
        <v>0</v>
      </c>
      <c r="AK255" s="318" t="n">
        <v>0</v>
      </c>
      <c r="AL255" s="318" t="n">
        <v>0</v>
      </c>
      <c r="AM255" s="318" t="n">
        <v>0.4</v>
      </c>
      <c r="AN255" s="318" t="n">
        <v>0.0125</v>
      </c>
      <c r="AO255" s="318" t="n">
        <v>0</v>
      </c>
      <c r="AP255" s="318" t="n">
        <v>-0.07</v>
      </c>
      <c r="AQ255" s="318" t="n">
        <v>0</v>
      </c>
      <c r="AS255" s="318" t="n">
        <v>0</v>
      </c>
      <c r="AT255" s="318" t="n">
        <v>0</v>
      </c>
      <c r="AU255" s="318" t="n">
        <v>0</v>
      </c>
      <c r="AV255" s="318" t="n">
        <v>0</v>
      </c>
      <c r="AW255" s="318" t="n">
        <v>-0.06</v>
      </c>
      <c r="AX255" s="318" t="n">
        <v>-0.06</v>
      </c>
      <c r="AY255" s="318" t="n">
        <v>0</v>
      </c>
      <c r="BA255" s="318" t="n">
        <v>0</v>
      </c>
      <c r="BB255" s="318" t="n">
        <v>0</v>
      </c>
      <c r="BD255" s="318" t="n">
        <v>-0.0175</v>
      </c>
      <c r="BE255" s="318" t="n">
        <v>0</v>
      </c>
      <c r="BF255" s="318" t="n">
        <v>0</v>
      </c>
      <c r="BJ255" s="318" t="n">
        <v>0.36</v>
      </c>
      <c r="BK255" s="318" t="n">
        <v>0</v>
      </c>
      <c r="BL255" s="318" t="n">
        <v>-0.015</v>
      </c>
      <c r="BM255" s="318" t="n">
        <v>0.005</v>
      </c>
      <c r="BO255" s="318" t="n">
        <v>0</v>
      </c>
      <c r="BP255" s="318" t="n">
        <v>0</v>
      </c>
      <c r="BQ255" s="318" t="n">
        <v>0</v>
      </c>
      <c r="BR255" s="318" t="n">
        <v>0.01</v>
      </c>
      <c r="BS255" s="0"/>
      <c r="BT255" s="0" t="n">
        <v>0</v>
      </c>
      <c r="BU255" s="0" t="n">
        <v>0</v>
      </c>
      <c r="BV255" s="0" t="n">
        <v>0</v>
      </c>
    </row>
    <row r="256" customFormat="false" ht="12.75" hidden="false" customHeight="false" outlineLevel="0" collapsed="false">
      <c r="A256" s="320"/>
      <c r="B256" s="320" t="n">
        <v>4.484</v>
      </c>
      <c r="C256" s="327" t="n">
        <f aca="false">EOMONTH(C255,0)+1</f>
        <v>44896</v>
      </c>
      <c r="D256" s="0" t="n">
        <f aca="false">D244+0.05</f>
        <v>4.344</v>
      </c>
      <c r="E256" s="320" t="n">
        <v>0.17</v>
      </c>
      <c r="F256" s="320" t="n">
        <v>0.0643186161429154</v>
      </c>
      <c r="O256" s="318"/>
      <c r="V256" s="330" t="n">
        <v>0</v>
      </c>
      <c r="W256" s="318" t="n">
        <v>0.195</v>
      </c>
      <c r="X256" s="318" t="n">
        <v>0.21</v>
      </c>
      <c r="Y256" s="318" t="n">
        <v>0</v>
      </c>
      <c r="Z256" s="318" t="n">
        <v>-0.014</v>
      </c>
      <c r="AA256" s="318" t="n">
        <v>0.0205</v>
      </c>
      <c r="AB256" s="318" t="n">
        <v>0.0055</v>
      </c>
      <c r="AC256" s="318" t="n">
        <v>0</v>
      </c>
      <c r="AD256" s="318" t="n">
        <v>0</v>
      </c>
      <c r="AE256" s="318" t="n">
        <v>0</v>
      </c>
      <c r="AF256" s="318" t="n">
        <v>0</v>
      </c>
      <c r="AG256" s="318" t="n">
        <v>0</v>
      </c>
      <c r="AH256" s="318" t="n">
        <v>0</v>
      </c>
      <c r="AI256" s="318" t="n">
        <v>0</v>
      </c>
      <c r="AK256" s="318" t="n">
        <v>0</v>
      </c>
      <c r="AL256" s="318" t="n">
        <v>0</v>
      </c>
      <c r="AM256" s="318" t="n">
        <v>0.65</v>
      </c>
      <c r="AN256" s="318" t="n">
        <v>-0.0225</v>
      </c>
      <c r="AO256" s="318" t="n">
        <v>0</v>
      </c>
      <c r="AP256" s="318" t="n">
        <v>-0.07</v>
      </c>
      <c r="AQ256" s="318" t="n">
        <v>0</v>
      </c>
      <c r="AS256" s="318" t="n">
        <v>0</v>
      </c>
      <c r="AT256" s="318" t="n">
        <v>0</v>
      </c>
      <c r="AU256" s="318" t="n">
        <v>0</v>
      </c>
      <c r="AV256" s="318" t="n">
        <v>0</v>
      </c>
      <c r="AW256" s="318" t="n">
        <v>-0.06</v>
      </c>
      <c r="AX256" s="318" t="n">
        <v>-0.06</v>
      </c>
      <c r="AY256" s="318" t="n">
        <v>0</v>
      </c>
      <c r="BA256" s="318" t="n">
        <v>0</v>
      </c>
      <c r="BB256" s="318" t="n">
        <v>0</v>
      </c>
      <c r="BD256" s="318" t="n">
        <v>-0.0525</v>
      </c>
      <c r="BE256" s="318" t="n">
        <v>0</v>
      </c>
      <c r="BF256" s="318" t="n">
        <v>0</v>
      </c>
      <c r="BJ256" s="318" t="n">
        <v>0.46</v>
      </c>
      <c r="BK256" s="318" t="n">
        <v>0</v>
      </c>
      <c r="BL256" s="318" t="n">
        <v>-0.02</v>
      </c>
      <c r="BM256" s="318" t="n">
        <v>0.005</v>
      </c>
      <c r="BO256" s="318" t="n">
        <v>0</v>
      </c>
      <c r="BP256" s="318" t="n">
        <v>0</v>
      </c>
      <c r="BQ256" s="318" t="n">
        <v>0</v>
      </c>
      <c r="BR256" s="318" t="n">
        <v>0.055</v>
      </c>
      <c r="BS256" s="0"/>
      <c r="BT256" s="0" t="n">
        <v>0</v>
      </c>
      <c r="BU256" s="0" t="n">
        <v>0</v>
      </c>
      <c r="BV256" s="0" t="n">
        <v>0</v>
      </c>
    </row>
    <row r="257" customFormat="false" ht="12.75" hidden="false" customHeight="false" outlineLevel="0" collapsed="false">
      <c r="A257" s="320"/>
      <c r="B257" s="320" t="n">
        <v>4.482</v>
      </c>
      <c r="C257" s="327" t="n">
        <f aca="false">EOMONTH(C256,0)+1</f>
        <v>44927</v>
      </c>
      <c r="D257" s="0" t="n">
        <f aca="false">D245+0.05</f>
        <v>4.399</v>
      </c>
      <c r="E257" s="320" t="n">
        <v>0.17</v>
      </c>
      <c r="F257" s="320" t="n">
        <v>0.0643119947739788</v>
      </c>
      <c r="O257" s="318"/>
      <c r="V257" s="330" t="n">
        <v>0</v>
      </c>
      <c r="W257" s="318" t="n">
        <v>0.215</v>
      </c>
      <c r="X257" s="318" t="n">
        <v>0.29</v>
      </c>
      <c r="Y257" s="318" t="n">
        <v>0</v>
      </c>
      <c r="Z257" s="318" t="n">
        <v>-0.014</v>
      </c>
      <c r="AA257" s="318" t="n">
        <v>0.0205</v>
      </c>
      <c r="AB257" s="318" t="n">
        <v>0.0055</v>
      </c>
      <c r="AC257" s="318" t="n">
        <v>0</v>
      </c>
      <c r="AD257" s="318" t="n">
        <v>0</v>
      </c>
      <c r="AE257" s="318" t="n">
        <v>0</v>
      </c>
      <c r="AF257" s="318" t="n">
        <v>0</v>
      </c>
      <c r="AG257" s="318" t="n">
        <v>0</v>
      </c>
      <c r="AH257" s="318" t="n">
        <v>0</v>
      </c>
      <c r="AI257" s="318" t="n">
        <v>0</v>
      </c>
      <c r="AK257" s="318" t="n">
        <v>0</v>
      </c>
      <c r="AL257" s="318" t="n">
        <v>0</v>
      </c>
      <c r="AM257" s="318" t="n">
        <v>0.98</v>
      </c>
      <c r="AN257" s="318" t="n">
        <v>-0.045</v>
      </c>
      <c r="AO257" s="318" t="n">
        <v>0</v>
      </c>
      <c r="AP257" s="318" t="n">
        <v>-0.07</v>
      </c>
      <c r="AQ257" s="318" t="n">
        <v>0</v>
      </c>
      <c r="AS257" s="318" t="n">
        <v>0</v>
      </c>
      <c r="AT257" s="318" t="n">
        <v>0</v>
      </c>
      <c r="AU257" s="318" t="n">
        <v>0</v>
      </c>
      <c r="AV257" s="318" t="n">
        <v>0</v>
      </c>
      <c r="AW257" s="318" t="n">
        <v>-0.06</v>
      </c>
      <c r="AX257" s="318" t="n">
        <v>-0.06</v>
      </c>
      <c r="AY257" s="318" t="n">
        <v>0</v>
      </c>
      <c r="BA257" s="318" t="n">
        <v>0</v>
      </c>
      <c r="BB257" s="318" t="n">
        <v>0</v>
      </c>
      <c r="BD257" s="318" t="n">
        <v>-0.075</v>
      </c>
      <c r="BE257" s="318" t="n">
        <v>0</v>
      </c>
      <c r="BF257" s="318" t="n">
        <v>0</v>
      </c>
      <c r="BJ257" s="318" t="n">
        <v>0.77</v>
      </c>
      <c r="BK257" s="318" t="n">
        <v>0</v>
      </c>
      <c r="BL257" s="318" t="n">
        <v>-0.025</v>
      </c>
      <c r="BM257" s="318" t="n">
        <v>0.005</v>
      </c>
      <c r="BO257" s="318" t="n">
        <v>0</v>
      </c>
      <c r="BP257" s="318" t="n">
        <v>0</v>
      </c>
      <c r="BQ257" s="318" t="n">
        <v>0</v>
      </c>
      <c r="BR257" s="318" t="n">
        <v>0.25</v>
      </c>
      <c r="BS257" s="0"/>
      <c r="BT257" s="0" t="n">
        <v>0</v>
      </c>
      <c r="BU257" s="0" t="n">
        <v>0</v>
      </c>
      <c r="BV257" s="0" t="n">
        <v>0</v>
      </c>
    </row>
    <row r="258" customFormat="false" ht="12.75" hidden="false" customHeight="false" outlineLevel="0" collapsed="false">
      <c r="A258" s="320"/>
      <c r="B258" s="320" t="n">
        <v>4.547</v>
      </c>
      <c r="C258" s="327" t="n">
        <f aca="false">EOMONTH(C257,0)+1</f>
        <v>44958</v>
      </c>
      <c r="D258" s="0" t="n">
        <f aca="false">D246+0.05</f>
        <v>4.251</v>
      </c>
      <c r="E258" s="320" t="n">
        <v>0.17</v>
      </c>
      <c r="F258" s="320" t="n">
        <v>0.0643051526927598</v>
      </c>
      <c r="O258" s="318"/>
      <c r="V258" s="330" t="n">
        <v>0</v>
      </c>
      <c r="W258" s="318" t="n">
        <v>0.235</v>
      </c>
      <c r="X258" s="318" t="n">
        <v>0.34</v>
      </c>
      <c r="AM258" s="318" t="n">
        <v>1.6</v>
      </c>
      <c r="AN258" s="318" t="n">
        <v>-0.0475</v>
      </c>
      <c r="AO258" s="318" t="n">
        <v>0</v>
      </c>
      <c r="AP258" s="318" t="n">
        <v>-0.07</v>
      </c>
      <c r="AQ258" s="318" t="n">
        <v>0</v>
      </c>
      <c r="AS258" s="318" t="n">
        <v>0</v>
      </c>
      <c r="AT258" s="318" t="n">
        <v>0</v>
      </c>
      <c r="AU258" s="318" t="n">
        <v>0</v>
      </c>
      <c r="AV258" s="318" t="n">
        <v>0</v>
      </c>
      <c r="AW258" s="318" t="n">
        <v>-0.06</v>
      </c>
      <c r="AX258" s="318" t="n">
        <v>-0.06</v>
      </c>
      <c r="BD258" s="318" t="n">
        <v>-0.0775</v>
      </c>
      <c r="BF258" s="318" t="n">
        <v>0</v>
      </c>
      <c r="BJ258" s="318" t="n">
        <v>1.04</v>
      </c>
      <c r="BL258" s="318" t="n">
        <v>-0.025</v>
      </c>
      <c r="BM258" s="318" t="n">
        <v>0.005</v>
      </c>
      <c r="BO258" s="318" t="n">
        <v>0</v>
      </c>
      <c r="BP258" s="318" t="n">
        <v>0</v>
      </c>
      <c r="BQ258" s="318" t="n">
        <v>0</v>
      </c>
      <c r="BR258" s="318" t="n">
        <v>0.45</v>
      </c>
      <c r="BS258" s="0"/>
      <c r="BT258" s="0" t="n">
        <v>0</v>
      </c>
      <c r="BU258" s="0" t="n">
        <v>0</v>
      </c>
      <c r="BV258" s="0" t="n">
        <v>0</v>
      </c>
    </row>
    <row r="259" customFormat="false" ht="12.75" hidden="false" customHeight="false" outlineLevel="0" collapsed="false">
      <c r="A259" s="320"/>
      <c r="B259" s="320" t="n">
        <v>4.542</v>
      </c>
      <c r="C259" s="327" t="n">
        <f aca="false">EOMONTH(C258,0)+1</f>
        <v>44986</v>
      </c>
      <c r="D259" s="0" t="n">
        <f aca="false">D247+0.05</f>
        <v>4.2</v>
      </c>
      <c r="E259" s="320" t="n">
        <v>0.17</v>
      </c>
      <c r="F259" s="320" t="n">
        <v>0.0642983106115564</v>
      </c>
      <c r="O259" s="318"/>
      <c r="V259" s="330" t="n">
        <v>0</v>
      </c>
      <c r="W259" s="318" t="n">
        <v>0.235</v>
      </c>
      <c r="X259" s="318" t="n">
        <v>0.34</v>
      </c>
      <c r="AM259" s="318" t="n">
        <v>1.6</v>
      </c>
      <c r="AN259" s="318" t="n">
        <v>-0.03</v>
      </c>
      <c r="AO259" s="318" t="n">
        <v>0</v>
      </c>
      <c r="AP259" s="318" t="n">
        <v>-0.07</v>
      </c>
      <c r="AQ259" s="318" t="n">
        <v>0</v>
      </c>
      <c r="AS259" s="318" t="n">
        <v>0</v>
      </c>
      <c r="AT259" s="318" t="n">
        <v>0</v>
      </c>
      <c r="AU259" s="318" t="n">
        <v>0</v>
      </c>
      <c r="AV259" s="318" t="n">
        <v>0</v>
      </c>
      <c r="AW259" s="318" t="n">
        <v>-0.06</v>
      </c>
      <c r="AX259" s="318" t="n">
        <v>-0.06</v>
      </c>
      <c r="BD259" s="318" t="n">
        <v>-0.06</v>
      </c>
      <c r="BF259" s="318" t="n">
        <v>0</v>
      </c>
      <c r="BJ259" s="318" t="n">
        <v>1.04</v>
      </c>
      <c r="BL259" s="318" t="n">
        <v>-0.025</v>
      </c>
      <c r="BM259" s="318" t="n">
        <v>0.005</v>
      </c>
      <c r="BO259" s="318" t="n">
        <v>0</v>
      </c>
      <c r="BP259" s="318" t="n">
        <v>0</v>
      </c>
      <c r="BQ259" s="318" t="n">
        <v>0</v>
      </c>
      <c r="BR259" s="318" t="n">
        <v>0.45</v>
      </c>
      <c r="BS259" s="0"/>
      <c r="BT259" s="0" t="n">
        <v>0</v>
      </c>
      <c r="BU259" s="0" t="n">
        <v>0</v>
      </c>
      <c r="BV259" s="0" t="n">
        <v>0</v>
      </c>
    </row>
    <row r="260" customFormat="false" ht="12.75" hidden="false" customHeight="false" outlineLevel="0" collapsed="false">
      <c r="A260" s="320"/>
      <c r="B260" s="320" t="n">
        <v>4.514</v>
      </c>
      <c r="C260" s="327" t="n">
        <f aca="false">EOMONTH(C259,0)+1</f>
        <v>45017</v>
      </c>
      <c r="D260" s="0" t="n">
        <f aca="false">D248+0.05</f>
        <v>3.981</v>
      </c>
      <c r="E260" s="320" t="n">
        <v>0.17</v>
      </c>
      <c r="F260" s="320" t="n">
        <v>0.064292130667257</v>
      </c>
      <c r="O260" s="318"/>
      <c r="V260" s="330" t="n">
        <v>0</v>
      </c>
      <c r="W260" s="318" t="n">
        <v>0.195</v>
      </c>
      <c r="X260" s="318" t="n">
        <v>0.29</v>
      </c>
      <c r="AM260" s="318" t="n">
        <v>0.64</v>
      </c>
      <c r="AN260" s="318" t="n">
        <v>-0.0175</v>
      </c>
      <c r="AO260" s="318" t="n">
        <v>0</v>
      </c>
      <c r="AP260" s="318" t="n">
        <v>-0.07</v>
      </c>
      <c r="AQ260" s="318" t="n">
        <v>0</v>
      </c>
      <c r="AS260" s="318" t="n">
        <v>0</v>
      </c>
      <c r="AT260" s="318" t="n">
        <v>0</v>
      </c>
      <c r="AU260" s="318" t="n">
        <v>0</v>
      </c>
      <c r="AV260" s="318" t="n">
        <v>0</v>
      </c>
      <c r="AW260" s="318" t="n">
        <v>-0.06</v>
      </c>
      <c r="AX260" s="318" t="n">
        <v>-0.06</v>
      </c>
      <c r="BD260" s="318" t="n">
        <v>-0.0475</v>
      </c>
      <c r="BF260" s="318" t="n">
        <v>0</v>
      </c>
      <c r="BJ260" s="318" t="n">
        <v>0.54</v>
      </c>
      <c r="BL260" s="318" t="n">
        <v>-0.02</v>
      </c>
      <c r="BM260" s="318" t="n">
        <v>0.005</v>
      </c>
      <c r="BO260" s="318" t="n">
        <v>0</v>
      </c>
      <c r="BP260" s="318" t="n">
        <v>0</v>
      </c>
      <c r="BQ260" s="318" t="n">
        <v>0</v>
      </c>
      <c r="BR260" s="318" t="n">
        <v>0.1</v>
      </c>
      <c r="BS260" s="0"/>
      <c r="BT260" s="0" t="n">
        <v>0</v>
      </c>
      <c r="BU260" s="0" t="n">
        <v>0</v>
      </c>
      <c r="BV260" s="0" t="n">
        <v>0</v>
      </c>
    </row>
    <row r="261" customFormat="false" ht="12.75" hidden="false" customHeight="false" outlineLevel="0" collapsed="false">
      <c r="A261" s="320"/>
      <c r="B261" s="320" t="n">
        <v>4.514</v>
      </c>
      <c r="C261" s="327" t="n">
        <f aca="false">EOMONTH(C260,0)+1</f>
        <v>45047</v>
      </c>
      <c r="D261" s="0" t="n">
        <f aca="false">D249+0.05</f>
        <v>3.984</v>
      </c>
      <c r="E261" s="320" t="n">
        <v>0.17</v>
      </c>
      <c r="F261" s="320" t="n">
        <v>0.0642852885860834</v>
      </c>
      <c r="O261" s="318"/>
      <c r="V261" s="330" t="n">
        <v>0</v>
      </c>
      <c r="W261" s="318" t="n">
        <v>0.145</v>
      </c>
      <c r="X261" s="318" t="n">
        <v>0.195</v>
      </c>
      <c r="AM261" s="318" t="n">
        <v>0.38</v>
      </c>
      <c r="AN261" s="318" t="n">
        <v>0.02</v>
      </c>
      <c r="AO261" s="318" t="n">
        <v>0</v>
      </c>
      <c r="AP261" s="318" t="n">
        <v>-0.07</v>
      </c>
      <c r="AQ261" s="318" t="n">
        <v>0</v>
      </c>
      <c r="AS261" s="318" t="n">
        <v>0</v>
      </c>
      <c r="AT261" s="318" t="n">
        <v>0</v>
      </c>
      <c r="AU261" s="318" t="n">
        <v>0</v>
      </c>
      <c r="AV261" s="318" t="n">
        <v>0</v>
      </c>
      <c r="AW261" s="318" t="n">
        <v>-0.06</v>
      </c>
      <c r="AX261" s="318" t="n">
        <v>-0.06</v>
      </c>
      <c r="BD261" s="318" t="n">
        <v>-0.01</v>
      </c>
      <c r="BF261" s="318" t="n">
        <v>0</v>
      </c>
      <c r="BJ261" s="318" t="n">
        <v>0.36</v>
      </c>
      <c r="BL261" s="318" t="n">
        <v>-0.015</v>
      </c>
      <c r="BM261" s="318" t="n">
        <v>0.005</v>
      </c>
      <c r="BO261" s="318" t="n">
        <v>0</v>
      </c>
      <c r="BP261" s="318" t="n">
        <v>0</v>
      </c>
      <c r="BQ261" s="318" t="n">
        <v>0</v>
      </c>
      <c r="BR261" s="318" t="n">
        <v>0.02</v>
      </c>
      <c r="BS261" s="0"/>
      <c r="BT261" s="0" t="n">
        <v>0</v>
      </c>
      <c r="BU261" s="0" t="n">
        <v>0</v>
      </c>
      <c r="BV261" s="0" t="n">
        <v>0</v>
      </c>
    </row>
    <row r="262" customFormat="false" ht="12.75" hidden="false" customHeight="false" outlineLevel="0" collapsed="false">
      <c r="A262" s="320"/>
      <c r="B262" s="320" t="n">
        <v>4.536</v>
      </c>
      <c r="C262" s="327" t="n">
        <f aca="false">EOMONTH(C261,0)+1</f>
        <v>45078</v>
      </c>
      <c r="D262" s="0" t="n">
        <f aca="false">D250+0.05</f>
        <v>4.024</v>
      </c>
      <c r="E262" s="320" t="n">
        <v>0.17</v>
      </c>
      <c r="F262" s="320" t="n">
        <v>0.0642786672172204</v>
      </c>
      <c r="O262" s="318"/>
      <c r="V262" s="330" t="n">
        <v>0</v>
      </c>
      <c r="W262" s="318" t="n">
        <v>0.125</v>
      </c>
      <c r="X262" s="318" t="n">
        <v>0.135</v>
      </c>
      <c r="AM262" s="318" t="n">
        <v>0.33</v>
      </c>
      <c r="AN262" s="318" t="n">
        <v>0.02</v>
      </c>
      <c r="AO262" s="318" t="n">
        <v>0</v>
      </c>
      <c r="AP262" s="318" t="n">
        <v>-0.07</v>
      </c>
      <c r="AQ262" s="318" t="n">
        <v>0</v>
      </c>
      <c r="AS262" s="318" t="n">
        <v>0</v>
      </c>
      <c r="AT262" s="318" t="n">
        <v>0</v>
      </c>
      <c r="AU262" s="318" t="n">
        <v>0</v>
      </c>
      <c r="AV262" s="318" t="n">
        <v>0</v>
      </c>
      <c r="AW262" s="318" t="n">
        <v>-0.06</v>
      </c>
      <c r="AX262" s="318" t="n">
        <v>-0.06</v>
      </c>
      <c r="BD262" s="318" t="n">
        <v>-0.01</v>
      </c>
      <c r="BF262" s="318" t="n">
        <v>0</v>
      </c>
      <c r="BJ262" s="318" t="n">
        <v>0.325</v>
      </c>
      <c r="BL262" s="318" t="n">
        <v>-0.015</v>
      </c>
      <c r="BM262" s="318" t="n">
        <v>0.005</v>
      </c>
      <c r="BO262" s="318" t="n">
        <v>0</v>
      </c>
      <c r="BP262" s="318" t="n">
        <v>0</v>
      </c>
      <c r="BQ262" s="318" t="n">
        <v>0</v>
      </c>
      <c r="BR262" s="318" t="n">
        <v>0.02</v>
      </c>
      <c r="BS262" s="0"/>
      <c r="BT262" s="0" t="n">
        <v>0</v>
      </c>
      <c r="BU262" s="0" t="n">
        <v>0</v>
      </c>
      <c r="BV262" s="0" t="n">
        <v>0</v>
      </c>
    </row>
    <row r="263" customFormat="false" ht="12.75" hidden="false" customHeight="false" outlineLevel="0" collapsed="false">
      <c r="A263" s="320"/>
      <c r="B263" s="320" t="n">
        <v>4.591</v>
      </c>
      <c r="C263" s="327" t="n">
        <f aca="false">EOMONTH(C262,0)+1</f>
        <v>45108</v>
      </c>
      <c r="D263" s="0" t="n">
        <f aca="false">D251+0.05</f>
        <v>4.064</v>
      </c>
      <c r="E263" s="320" t="n">
        <v>0.17</v>
      </c>
      <c r="F263" s="320" t="n">
        <v>0.0642718251360765</v>
      </c>
      <c r="O263" s="318"/>
      <c r="V263" s="330" t="n">
        <v>0</v>
      </c>
      <c r="W263" s="318" t="n">
        <v>0.145</v>
      </c>
      <c r="X263" s="332" t="n">
        <v>0.165</v>
      </c>
      <c r="Z263" s="332"/>
      <c r="AM263" s="332" t="n">
        <v>0.37</v>
      </c>
      <c r="AN263" s="318" t="n">
        <v>0.025</v>
      </c>
      <c r="AO263" s="318" t="n">
        <v>0</v>
      </c>
      <c r="AP263" s="318" t="n">
        <v>-0.07</v>
      </c>
      <c r="AQ263" s="318" t="n">
        <v>0</v>
      </c>
      <c r="AS263" s="318" t="n">
        <v>0</v>
      </c>
      <c r="AT263" s="318" t="n">
        <v>0</v>
      </c>
      <c r="AU263" s="318" t="n">
        <v>0</v>
      </c>
      <c r="AV263" s="318" t="n">
        <v>0</v>
      </c>
      <c r="AW263" s="318" t="n">
        <v>-0.06</v>
      </c>
      <c r="AX263" s="318" t="n">
        <v>-0.06</v>
      </c>
      <c r="BD263" s="318" t="n">
        <v>-0.005</v>
      </c>
      <c r="BF263" s="318" t="n">
        <v>0</v>
      </c>
      <c r="BJ263" s="318" t="n">
        <v>0.335</v>
      </c>
      <c r="BL263" s="318" t="n">
        <v>-0.015</v>
      </c>
      <c r="BM263" s="318" t="n">
        <v>0.005</v>
      </c>
      <c r="BO263" s="318" t="n">
        <v>0</v>
      </c>
      <c r="BP263" s="318" t="n">
        <v>0</v>
      </c>
      <c r="BQ263" s="318" t="n">
        <v>0</v>
      </c>
      <c r="BR263" s="318" t="n">
        <v>0.035</v>
      </c>
      <c r="BS263" s="0"/>
      <c r="BT263" s="0" t="n">
        <v>0</v>
      </c>
      <c r="BU263" s="0" t="n">
        <v>0</v>
      </c>
      <c r="BV263" s="0" t="n">
        <v>0</v>
      </c>
    </row>
    <row r="264" customFormat="false" ht="12.75" hidden="false" customHeight="false" outlineLevel="0" collapsed="false">
      <c r="A264" s="320"/>
      <c r="B264" s="320" t="n">
        <v>4.851</v>
      </c>
      <c r="C264" s="327" t="n">
        <f aca="false">EOMONTH(C263,0)+1</f>
        <v>45139</v>
      </c>
      <c r="D264" s="0" t="n">
        <f aca="false">D252+0.05</f>
        <v>4.114</v>
      </c>
      <c r="E264" s="320" t="n">
        <v>0.17</v>
      </c>
      <c r="F264" s="320" t="n">
        <v>0.0642652037672429</v>
      </c>
      <c r="O264" s="318"/>
      <c r="V264" s="330" t="n">
        <v>0</v>
      </c>
      <c r="W264" s="318" t="n">
        <v>0.15</v>
      </c>
      <c r="X264" s="332" t="n">
        <v>0.205</v>
      </c>
      <c r="Z264" s="332"/>
      <c r="AM264" s="332" t="n">
        <v>0.41</v>
      </c>
      <c r="AN264" s="318" t="n">
        <v>0.0275</v>
      </c>
      <c r="AO264" s="318" t="n">
        <v>0</v>
      </c>
      <c r="AP264" s="318" t="n">
        <v>-0.07</v>
      </c>
      <c r="AQ264" s="318" t="n">
        <v>0</v>
      </c>
      <c r="AS264" s="318" t="n">
        <v>0</v>
      </c>
      <c r="AT264" s="318" t="n">
        <v>0</v>
      </c>
      <c r="AU264" s="318" t="n">
        <v>0</v>
      </c>
      <c r="AV264" s="318" t="n">
        <v>0</v>
      </c>
      <c r="AW264" s="318" t="n">
        <v>-0.06</v>
      </c>
      <c r="AX264" s="318" t="n">
        <v>-0.06</v>
      </c>
      <c r="BD264" s="318" t="n">
        <v>-0.0025</v>
      </c>
      <c r="BF264" s="318" t="n">
        <v>0</v>
      </c>
      <c r="BJ264" s="318" t="n">
        <v>0.35</v>
      </c>
      <c r="BL264" s="318" t="n">
        <v>-0.01</v>
      </c>
      <c r="BM264" s="318" t="n">
        <v>0.005</v>
      </c>
      <c r="BO264" s="318" t="n">
        <v>0</v>
      </c>
      <c r="BP264" s="318" t="n">
        <v>0</v>
      </c>
      <c r="BQ264" s="318" t="n">
        <v>0</v>
      </c>
      <c r="BR264" s="318" t="n">
        <v>0.035</v>
      </c>
      <c r="BS264" s="0"/>
      <c r="BT264" s="0" t="n">
        <v>0</v>
      </c>
      <c r="BU264" s="0" t="n">
        <v>0</v>
      </c>
      <c r="BV264" s="0" t="n">
        <v>0</v>
      </c>
    </row>
    <row r="265" customFormat="false" ht="12.75" hidden="false" customHeight="false" outlineLevel="0" collapsed="false">
      <c r="A265" s="320"/>
      <c r="B265" s="320" t="n">
        <v>4.8</v>
      </c>
      <c r="C265" s="327" t="n">
        <f aca="false">EOMONTH(C264,0)+1</f>
        <v>45170</v>
      </c>
      <c r="D265" s="0" t="n">
        <f aca="false">D253+0.05</f>
        <v>4.099</v>
      </c>
      <c r="E265" s="320" t="n">
        <v>0.17</v>
      </c>
      <c r="F265" s="320" t="n">
        <v>0.0642583616861305</v>
      </c>
      <c r="O265" s="318"/>
      <c r="V265" s="330" t="n">
        <v>0</v>
      </c>
      <c r="W265" s="318" t="n">
        <v>0.15</v>
      </c>
      <c r="X265" s="318" t="n">
        <v>0.205</v>
      </c>
      <c r="AM265" s="318" t="n">
        <v>0.41</v>
      </c>
      <c r="AN265" s="318" t="n">
        <v>0.03</v>
      </c>
      <c r="AO265" s="318" t="n">
        <v>0</v>
      </c>
      <c r="AP265" s="318" t="n">
        <v>-0.07</v>
      </c>
      <c r="AQ265" s="318" t="n">
        <v>0</v>
      </c>
      <c r="AS265" s="318" t="n">
        <v>0</v>
      </c>
      <c r="AT265" s="318" t="n">
        <v>0</v>
      </c>
      <c r="AU265" s="318" t="n">
        <v>0</v>
      </c>
      <c r="AV265" s="318" t="n">
        <v>0</v>
      </c>
      <c r="AW265" s="318" t="n">
        <v>-0.06</v>
      </c>
      <c r="AX265" s="318" t="n">
        <v>-0.06</v>
      </c>
      <c r="BD265" s="318" t="n">
        <v>0</v>
      </c>
      <c r="BF265" s="318" t="n">
        <v>0</v>
      </c>
      <c r="BJ265" s="318" t="n">
        <v>0.35</v>
      </c>
      <c r="BL265" s="318" t="n">
        <v>-0.01</v>
      </c>
      <c r="BM265" s="318" t="n">
        <v>0.005</v>
      </c>
      <c r="BO265" s="318" t="n">
        <v>0</v>
      </c>
      <c r="BP265" s="318" t="n">
        <v>0</v>
      </c>
      <c r="BQ265" s="318" t="n">
        <v>0</v>
      </c>
      <c r="BR265" s="318" t="n">
        <v>0.01</v>
      </c>
      <c r="BS265" s="0"/>
      <c r="BT265" s="0" t="n">
        <v>0</v>
      </c>
      <c r="BU265" s="0" t="n">
        <v>0</v>
      </c>
      <c r="BV265" s="0" t="n">
        <v>0</v>
      </c>
    </row>
    <row r="266" customFormat="false" ht="12.75" hidden="false" customHeight="false" outlineLevel="0" collapsed="false">
      <c r="A266" s="320"/>
      <c r="B266" s="320" t="n">
        <v>4.699</v>
      </c>
      <c r="C266" s="327" t="n">
        <f aca="false">EOMONTH(C265,0)+1</f>
        <v>45200</v>
      </c>
      <c r="D266" s="0" t="n">
        <f aca="false">D254+0.05</f>
        <v>4.114</v>
      </c>
      <c r="E266" s="320" t="n">
        <v>0.17</v>
      </c>
      <c r="F266" s="320" t="n">
        <v>0.0642515196050333</v>
      </c>
      <c r="O266" s="318"/>
      <c r="V266" s="330" t="n">
        <v>0</v>
      </c>
      <c r="W266" s="318" t="n">
        <v>0.125</v>
      </c>
      <c r="X266" s="318" t="n">
        <v>0.145</v>
      </c>
      <c r="AM266" s="318" t="n">
        <v>0.36</v>
      </c>
      <c r="AN266" s="318" t="n">
        <v>0.0225</v>
      </c>
      <c r="AO266" s="318" t="n">
        <v>0</v>
      </c>
      <c r="AP266" s="318" t="n">
        <v>-0.07</v>
      </c>
      <c r="AQ266" s="318" t="n">
        <v>0</v>
      </c>
      <c r="AS266" s="318" t="n">
        <v>0</v>
      </c>
      <c r="AT266" s="318" t="n">
        <v>0</v>
      </c>
      <c r="AU266" s="318" t="n">
        <v>0</v>
      </c>
      <c r="AV266" s="318" t="n">
        <v>0</v>
      </c>
      <c r="AW266" s="318" t="n">
        <v>-0.06</v>
      </c>
      <c r="AX266" s="318" t="n">
        <v>-0.06</v>
      </c>
      <c r="BD266" s="318" t="n">
        <v>-0.0075</v>
      </c>
      <c r="BF266" s="318" t="n">
        <v>0</v>
      </c>
      <c r="BJ266" s="318" t="n">
        <v>0.315</v>
      </c>
      <c r="BL266" s="318" t="n">
        <v>-0.01</v>
      </c>
      <c r="BM266" s="318" t="n">
        <v>0.005</v>
      </c>
      <c r="BO266" s="318" t="n">
        <v>0</v>
      </c>
      <c r="BP266" s="318" t="n">
        <v>0</v>
      </c>
      <c r="BQ266" s="318" t="n">
        <v>0</v>
      </c>
      <c r="BR266" s="318" t="n">
        <v>0.01</v>
      </c>
      <c r="BS266" s="0"/>
      <c r="BT266" s="0" t="n">
        <v>0</v>
      </c>
      <c r="BU266" s="0" t="n">
        <v>0</v>
      </c>
      <c r="BV266" s="0" t="n">
        <v>0</v>
      </c>
    </row>
    <row r="267" customFormat="false" ht="12.75" hidden="false" customHeight="false" outlineLevel="0" collapsed="false">
      <c r="A267" s="320"/>
      <c r="B267" s="320" t="n">
        <v>4.601</v>
      </c>
      <c r="C267" s="327" t="n">
        <f aca="false">EOMONTH(C266,0)+1</f>
        <v>45231</v>
      </c>
      <c r="D267" s="0" t="n">
        <f aca="false">D255+0.05</f>
        <v>4.259</v>
      </c>
      <c r="E267" s="320" t="n">
        <v>0.17</v>
      </c>
      <c r="F267" s="320" t="n">
        <v>0.064244898236244</v>
      </c>
      <c r="O267" s="318"/>
      <c r="V267" s="330" t="n">
        <v>0</v>
      </c>
      <c r="W267" s="318" t="n">
        <v>0.145</v>
      </c>
      <c r="X267" s="318" t="n">
        <v>0.175</v>
      </c>
      <c r="AM267" s="318" t="n">
        <v>0.4</v>
      </c>
      <c r="AN267" s="318" t="n">
        <v>0.0125</v>
      </c>
      <c r="AO267" s="318" t="n">
        <v>0</v>
      </c>
      <c r="AP267" s="318" t="n">
        <v>-0.07</v>
      </c>
      <c r="AQ267" s="318" t="n">
        <v>0</v>
      </c>
      <c r="AS267" s="318" t="n">
        <v>0</v>
      </c>
      <c r="AT267" s="318" t="n">
        <v>0</v>
      </c>
      <c r="AU267" s="318" t="n">
        <v>0</v>
      </c>
      <c r="AV267" s="318" t="n">
        <v>0</v>
      </c>
      <c r="AW267" s="318" t="n">
        <v>-0.06</v>
      </c>
      <c r="AX267" s="318" t="n">
        <v>-0.06</v>
      </c>
      <c r="BD267" s="318" t="n">
        <v>-0.0175</v>
      </c>
      <c r="BF267" s="318" t="n">
        <v>0</v>
      </c>
      <c r="BJ267" s="318" t="n">
        <v>0.36</v>
      </c>
      <c r="BL267" s="318" t="n">
        <v>-0.015</v>
      </c>
      <c r="BM267" s="318" t="n">
        <v>0.005</v>
      </c>
      <c r="BO267" s="318" t="n">
        <v>0</v>
      </c>
      <c r="BP267" s="318" t="n">
        <v>0</v>
      </c>
      <c r="BQ267" s="318" t="n">
        <v>0</v>
      </c>
      <c r="BR267" s="318" t="n">
        <v>0.01</v>
      </c>
      <c r="BS267" s="0"/>
      <c r="BT267" s="0" t="n">
        <v>0</v>
      </c>
      <c r="BU267" s="0" t="n">
        <v>0</v>
      </c>
      <c r="BV267" s="0" t="n">
        <v>0</v>
      </c>
    </row>
    <row r="268" customFormat="false" ht="12.75" hidden="false" customHeight="false" outlineLevel="0" collapsed="false">
      <c r="A268" s="320"/>
      <c r="B268" s="320" t="n">
        <v>4.592</v>
      </c>
      <c r="C268" s="327" t="n">
        <f aca="false">EOMONTH(C267,0)+1</f>
        <v>45261</v>
      </c>
      <c r="D268" s="0" t="n">
        <f aca="false">D256+0.05</f>
        <v>4.394</v>
      </c>
      <c r="E268" s="320" t="n">
        <v>0.17</v>
      </c>
      <c r="F268" s="320" t="n">
        <v>0.064238056155177</v>
      </c>
      <c r="O268" s="318"/>
      <c r="V268" s="330" t="n">
        <v>0</v>
      </c>
      <c r="W268" s="318" t="n">
        <v>0.195</v>
      </c>
      <c r="X268" s="318" t="n">
        <v>0.21</v>
      </c>
      <c r="AM268" s="318" t="n">
        <v>0.65</v>
      </c>
      <c r="AN268" s="318" t="n">
        <v>-0.0225</v>
      </c>
      <c r="AO268" s="318" t="n">
        <v>0</v>
      </c>
      <c r="AP268" s="318" t="n">
        <v>-0.07</v>
      </c>
      <c r="AQ268" s="318" t="n">
        <v>0</v>
      </c>
      <c r="AS268" s="318" t="n">
        <v>0</v>
      </c>
      <c r="AT268" s="318" t="n">
        <v>0</v>
      </c>
      <c r="AU268" s="318" t="n">
        <v>0</v>
      </c>
      <c r="AV268" s="318" t="n">
        <v>0</v>
      </c>
      <c r="AW268" s="318" t="n">
        <v>-0.06</v>
      </c>
      <c r="AX268" s="318" t="n">
        <v>-0.06</v>
      </c>
      <c r="BD268" s="318" t="n">
        <v>-0.0525</v>
      </c>
      <c r="BF268" s="318" t="n">
        <v>0</v>
      </c>
      <c r="BJ268" s="318" t="n">
        <v>0.46</v>
      </c>
      <c r="BL268" s="318" t="n">
        <v>0</v>
      </c>
      <c r="BM268" s="318" t="n">
        <v>0.005</v>
      </c>
      <c r="BO268" s="318" t="n">
        <v>0</v>
      </c>
      <c r="BP268" s="318" t="n">
        <v>0</v>
      </c>
      <c r="BQ268" s="318" t="n">
        <v>0</v>
      </c>
      <c r="BR268" s="318" t="n">
        <v>0.055</v>
      </c>
      <c r="BS268" s="0"/>
      <c r="BT268" s="0" t="n">
        <v>0</v>
      </c>
      <c r="BU268" s="0" t="n">
        <v>0</v>
      </c>
      <c r="BV268" s="0" t="n">
        <v>0</v>
      </c>
    </row>
    <row r="269" customFormat="false" ht="12.75" hidden="false" customHeight="false" outlineLevel="0" collapsed="false">
      <c r="A269" s="320"/>
      <c r="B269" s="320" t="n">
        <v>4.591</v>
      </c>
      <c r="C269" s="327" t="n">
        <f aca="false">EOMONTH(C268,0)+1</f>
        <v>45292</v>
      </c>
      <c r="D269" s="0" t="n">
        <f aca="false">D257+0.05</f>
        <v>4.449</v>
      </c>
      <c r="E269" s="320" t="n">
        <v>0.17</v>
      </c>
      <c r="F269" s="320" t="n">
        <v>0.0642314347864179</v>
      </c>
      <c r="O269" s="318"/>
      <c r="V269" s="330" t="n">
        <v>0</v>
      </c>
      <c r="W269" s="318" t="n">
        <v>0.215</v>
      </c>
      <c r="X269" s="318" t="n">
        <v>0.29</v>
      </c>
      <c r="AM269" s="318" t="n">
        <v>0.98</v>
      </c>
      <c r="AN269" s="318" t="n">
        <v>-0.045</v>
      </c>
      <c r="AO269" s="318" t="n">
        <v>0</v>
      </c>
      <c r="AP269" s="318" t="n">
        <v>-0.07</v>
      </c>
      <c r="AQ269" s="318" t="n">
        <v>0</v>
      </c>
      <c r="AS269" s="318" t="n">
        <v>0</v>
      </c>
      <c r="AT269" s="318" t="n">
        <v>0</v>
      </c>
      <c r="AU269" s="318" t="n">
        <v>0</v>
      </c>
      <c r="AV269" s="318" t="n">
        <v>0</v>
      </c>
      <c r="AW269" s="318" t="n">
        <v>-0.06</v>
      </c>
      <c r="AX269" s="318" t="n">
        <v>-0.06</v>
      </c>
      <c r="BD269" s="318" t="n">
        <v>-0.075</v>
      </c>
      <c r="BF269" s="318" t="n">
        <v>0</v>
      </c>
      <c r="BJ269" s="318" t="n">
        <v>0.77</v>
      </c>
      <c r="BL269" s="318" t="n">
        <v>0</v>
      </c>
      <c r="BM269" s="318" t="n">
        <v>0.005</v>
      </c>
      <c r="BO269" s="318" t="n">
        <v>0</v>
      </c>
      <c r="BP269" s="318" t="n">
        <v>0</v>
      </c>
      <c r="BQ269" s="318" t="n">
        <v>0</v>
      </c>
      <c r="BR269" s="318" t="n">
        <v>0.25</v>
      </c>
      <c r="BS269" s="0"/>
      <c r="BT269" s="0" t="n">
        <v>0</v>
      </c>
      <c r="BU269" s="0" t="n">
        <v>0</v>
      </c>
      <c r="BV269" s="0" t="n">
        <v>0</v>
      </c>
    </row>
    <row r="270" customFormat="false" ht="12.75" hidden="false" customHeight="false" outlineLevel="0" collapsed="false">
      <c r="A270" s="320"/>
      <c r="B270" s="320" t="n">
        <v>4.656</v>
      </c>
      <c r="C270" s="327" t="n">
        <f aca="false">EOMONTH(C269,0)+1</f>
        <v>45323</v>
      </c>
      <c r="D270" s="0" t="n">
        <f aca="false">D258+0.05</f>
        <v>4.301</v>
      </c>
      <c r="E270" s="320" t="n">
        <v>0.17</v>
      </c>
      <c r="F270" s="320" t="n">
        <v>0.0642245927053815</v>
      </c>
      <c r="O270" s="318"/>
      <c r="V270" s="330" t="n">
        <v>0</v>
      </c>
      <c r="W270" s="318" t="n">
        <v>0.235</v>
      </c>
      <c r="X270" s="318" t="n">
        <v>0.34</v>
      </c>
      <c r="AM270" s="318" t="n">
        <v>1.6</v>
      </c>
      <c r="AN270" s="318" t="n">
        <v>-0.0475</v>
      </c>
      <c r="AO270" s="318" t="n">
        <v>0</v>
      </c>
      <c r="AP270" s="318" t="n">
        <v>-0.07</v>
      </c>
      <c r="AQ270" s="318" t="n">
        <v>0</v>
      </c>
      <c r="AS270" s="318" t="n">
        <v>0</v>
      </c>
      <c r="AT270" s="318" t="n">
        <v>0</v>
      </c>
      <c r="AU270" s="318" t="n">
        <v>0</v>
      </c>
      <c r="AV270" s="318" t="n">
        <v>0</v>
      </c>
      <c r="AW270" s="318" t="n">
        <v>-0.0775</v>
      </c>
      <c r="AX270" s="318" t="n">
        <v>-0.06</v>
      </c>
      <c r="BD270" s="318" t="n">
        <v>-0.0775</v>
      </c>
      <c r="BF270" s="318" t="n">
        <v>0</v>
      </c>
      <c r="BJ270" s="318" t="n">
        <v>1.04</v>
      </c>
      <c r="BL270" s="318" t="n">
        <v>0</v>
      </c>
      <c r="BM270" s="318" t="n">
        <v>0.005</v>
      </c>
      <c r="BO270" s="318" t="n">
        <v>0</v>
      </c>
      <c r="BP270" s="318" t="n">
        <v>0</v>
      </c>
      <c r="BQ270" s="318" t="n">
        <v>0</v>
      </c>
      <c r="BR270" s="318" t="n">
        <v>0.45</v>
      </c>
      <c r="BS270" s="0"/>
      <c r="BT270" s="0" t="n">
        <v>0</v>
      </c>
      <c r="BU270" s="0" t="n">
        <v>0</v>
      </c>
      <c r="BV270" s="0" t="n">
        <v>0</v>
      </c>
    </row>
    <row r="271" customFormat="false" ht="12.75" hidden="false" customHeight="false" outlineLevel="0" collapsed="false">
      <c r="A271" s="320"/>
      <c r="B271" s="320" t="n">
        <v>4.651</v>
      </c>
      <c r="C271" s="327" t="n">
        <f aca="false">EOMONTH(C270,0)+1</f>
        <v>45352</v>
      </c>
      <c r="D271" s="0" t="n">
        <f aca="false">D259+0.05</f>
        <v>4.25</v>
      </c>
      <c r="E271" s="320" t="n">
        <v>0.17</v>
      </c>
      <c r="F271" s="320" t="n">
        <v>0.0642177506243606</v>
      </c>
      <c r="O271" s="318"/>
      <c r="V271" s="330" t="n">
        <v>0</v>
      </c>
      <c r="W271" s="318" t="n">
        <v>0.235</v>
      </c>
      <c r="X271" s="318" t="n">
        <v>0.34</v>
      </c>
      <c r="AM271" s="318" t="n">
        <v>1.6</v>
      </c>
      <c r="AN271" s="318" t="n">
        <v>-0.03</v>
      </c>
      <c r="AO271" s="318" t="n">
        <v>0</v>
      </c>
      <c r="AP271" s="318" t="n">
        <v>-0.07</v>
      </c>
      <c r="AQ271" s="318" t="n">
        <v>0</v>
      </c>
      <c r="AS271" s="318" t="n">
        <v>0</v>
      </c>
      <c r="AT271" s="318" t="n">
        <v>0</v>
      </c>
      <c r="AU271" s="318" t="n">
        <v>0</v>
      </c>
      <c r="AV271" s="318" t="n">
        <v>0</v>
      </c>
      <c r="AW271" s="318" t="n">
        <v>-0.06</v>
      </c>
      <c r="AX271" s="318" t="n">
        <v>-0.06</v>
      </c>
      <c r="BD271" s="318" t="n">
        <v>-0.06</v>
      </c>
      <c r="BF271" s="318" t="n">
        <v>0</v>
      </c>
      <c r="BJ271" s="318" t="n">
        <v>1.04</v>
      </c>
      <c r="BL271" s="318" t="n">
        <v>0</v>
      </c>
      <c r="BM271" s="318" t="n">
        <v>0.005</v>
      </c>
      <c r="BO271" s="318" t="n">
        <v>0</v>
      </c>
      <c r="BP271" s="318" t="n">
        <v>0</v>
      </c>
      <c r="BQ271" s="318" t="n">
        <v>0</v>
      </c>
      <c r="BR271" s="318" t="n">
        <v>0.45</v>
      </c>
      <c r="BS271" s="0"/>
      <c r="BT271" s="0" t="n">
        <v>0</v>
      </c>
      <c r="BU271" s="0" t="n">
        <v>0</v>
      </c>
      <c r="BV271" s="0" t="n">
        <v>0</v>
      </c>
    </row>
    <row r="272" customFormat="false" ht="12.75" hidden="false" customHeight="false" outlineLevel="0" collapsed="false">
      <c r="A272" s="320"/>
      <c r="B272" s="320" t="n">
        <v>4.622</v>
      </c>
      <c r="C272" s="327" t="n">
        <f aca="false">EOMONTH(C271,0)+1</f>
        <v>45383</v>
      </c>
      <c r="D272" s="0" t="n">
        <f aca="false">D260+0.05</f>
        <v>4.031</v>
      </c>
      <c r="E272" s="320" t="n">
        <v>0.17</v>
      </c>
      <c r="F272" s="320" t="n">
        <v>0.0642113499679362</v>
      </c>
      <c r="O272" s="318"/>
      <c r="V272" s="330" t="n">
        <v>0</v>
      </c>
      <c r="W272" s="318" t="n">
        <v>0.195</v>
      </c>
      <c r="X272" s="318" t="n">
        <v>0.29</v>
      </c>
      <c r="AM272" s="318" t="n">
        <v>0.64</v>
      </c>
      <c r="AN272" s="318" t="n">
        <v>-0.0175</v>
      </c>
      <c r="AO272" s="318" t="n">
        <v>0</v>
      </c>
      <c r="AP272" s="318" t="n">
        <v>-0.07</v>
      </c>
      <c r="AQ272" s="318" t="n">
        <v>0</v>
      </c>
      <c r="AS272" s="318" t="n">
        <v>0</v>
      </c>
      <c r="AT272" s="318" t="n">
        <v>0</v>
      </c>
      <c r="AU272" s="318" t="n">
        <v>0</v>
      </c>
      <c r="AV272" s="318" t="n">
        <v>0</v>
      </c>
      <c r="AW272" s="318" t="n">
        <v>-0.0475</v>
      </c>
      <c r="AX272" s="318" t="n">
        <v>-0.06</v>
      </c>
      <c r="BD272" s="318" t="n">
        <v>-0.0475</v>
      </c>
      <c r="BF272" s="318" t="n">
        <v>0</v>
      </c>
      <c r="BJ272" s="318" t="n">
        <v>0.54</v>
      </c>
      <c r="BL272" s="318" t="n">
        <v>0</v>
      </c>
      <c r="BM272" s="318" t="n">
        <v>0.005</v>
      </c>
      <c r="BO272" s="318" t="n">
        <v>0</v>
      </c>
      <c r="BP272" s="318" t="n">
        <v>0</v>
      </c>
      <c r="BQ272" s="318" t="n">
        <v>0</v>
      </c>
      <c r="BR272" s="318" t="n">
        <v>0.1</v>
      </c>
      <c r="BS272" s="0"/>
      <c r="BT272" s="0" t="n">
        <v>0</v>
      </c>
      <c r="BU272" s="0" t="n">
        <v>0</v>
      </c>
      <c r="BV272" s="0" t="n">
        <v>0</v>
      </c>
    </row>
    <row r="273" customFormat="false" ht="12.75" hidden="false" customHeight="false" outlineLevel="0" collapsed="false">
      <c r="A273" s="320"/>
      <c r="B273" s="320" t="n">
        <v>4.621</v>
      </c>
      <c r="C273" s="327" t="n">
        <f aca="false">EOMONTH(C272,0)+1</f>
        <v>45413</v>
      </c>
      <c r="D273" s="0" t="n">
        <f aca="false">D261+0.05</f>
        <v>4.034</v>
      </c>
      <c r="E273" s="320" t="n">
        <v>0.17</v>
      </c>
      <c r="F273" s="320" t="n">
        <v>0.0642045078869455</v>
      </c>
      <c r="O273" s="318"/>
      <c r="V273" s="330" t="n">
        <v>0</v>
      </c>
      <c r="W273" s="318" t="n">
        <v>0.145</v>
      </c>
      <c r="X273" s="318" t="n">
        <v>0.195</v>
      </c>
      <c r="AM273" s="318" t="n">
        <v>0.38</v>
      </c>
      <c r="AN273" s="318" t="n">
        <v>0.02</v>
      </c>
      <c r="AO273" s="318" t="n">
        <v>0</v>
      </c>
      <c r="AP273" s="318" t="n">
        <v>-0.07</v>
      </c>
      <c r="AQ273" s="318" t="n">
        <v>0</v>
      </c>
      <c r="AS273" s="318" t="n">
        <v>0</v>
      </c>
      <c r="AT273" s="318" t="n">
        <v>0</v>
      </c>
      <c r="AU273" s="318" t="n">
        <v>0</v>
      </c>
      <c r="AV273" s="318" t="n">
        <v>0</v>
      </c>
      <c r="AW273" s="318" t="n">
        <v>-0.01</v>
      </c>
      <c r="AX273" s="318" t="n">
        <v>-0.06</v>
      </c>
      <c r="BD273" s="318" t="n">
        <v>-0.01</v>
      </c>
      <c r="BF273" s="318" t="n">
        <v>0</v>
      </c>
      <c r="BJ273" s="318" t="n">
        <v>0.36</v>
      </c>
      <c r="BL273" s="318" t="n">
        <v>0</v>
      </c>
      <c r="BM273" s="318" t="n">
        <v>0.005</v>
      </c>
      <c r="BO273" s="318" t="n">
        <v>0</v>
      </c>
      <c r="BP273" s="318" t="n">
        <v>0</v>
      </c>
      <c r="BQ273" s="318" t="n">
        <v>0</v>
      </c>
      <c r="BR273" s="318" t="n">
        <v>0.02</v>
      </c>
      <c r="BS273" s="0"/>
      <c r="BT273" s="0" t="n">
        <v>0</v>
      </c>
      <c r="BU273" s="0" t="n">
        <v>0</v>
      </c>
      <c r="BV273" s="0" t="n">
        <v>0</v>
      </c>
    </row>
    <row r="274" customFormat="false" ht="12.75" hidden="false" customHeight="false" outlineLevel="0" collapsed="false">
      <c r="A274" s="320"/>
      <c r="B274" s="320" t="n">
        <v>4.638</v>
      </c>
      <c r="C274" s="327" t="n">
        <f aca="false">EOMONTH(C273,0)+1</f>
        <v>45444</v>
      </c>
      <c r="D274" s="0" t="n">
        <f aca="false">D262+0.05</f>
        <v>4.074</v>
      </c>
      <c r="E274" s="320" t="n">
        <v>0.17</v>
      </c>
      <c r="F274" s="320" t="n">
        <v>0.0641978865182598</v>
      </c>
      <c r="O274" s="318"/>
      <c r="V274" s="330" t="n">
        <v>0</v>
      </c>
      <c r="W274" s="318" t="n">
        <v>0.125</v>
      </c>
      <c r="X274" s="318" t="n">
        <v>0.135</v>
      </c>
      <c r="AM274" s="318" t="n">
        <v>0.33</v>
      </c>
      <c r="AN274" s="318" t="n">
        <v>0.02</v>
      </c>
      <c r="AO274" s="318" t="n">
        <v>0</v>
      </c>
      <c r="AP274" s="318" t="n">
        <v>-0.07</v>
      </c>
      <c r="AQ274" s="318" t="n">
        <v>0</v>
      </c>
      <c r="AS274" s="318" t="n">
        <v>0</v>
      </c>
      <c r="AT274" s="318" t="n">
        <v>0</v>
      </c>
      <c r="AU274" s="318" t="n">
        <v>0</v>
      </c>
      <c r="AV274" s="318" t="n">
        <v>0</v>
      </c>
      <c r="AW274" s="318" t="n">
        <v>-0.01</v>
      </c>
      <c r="AX274" s="318" t="n">
        <v>-0.06</v>
      </c>
      <c r="BD274" s="318" t="n">
        <v>-0.01</v>
      </c>
      <c r="BF274" s="318" t="n">
        <v>0</v>
      </c>
      <c r="BJ274" s="318" t="n">
        <v>0.325</v>
      </c>
      <c r="BL274" s="318" t="n">
        <v>0</v>
      </c>
      <c r="BM274" s="318" t="n">
        <v>0.005</v>
      </c>
      <c r="BO274" s="318" t="n">
        <v>0</v>
      </c>
      <c r="BP274" s="318" t="n">
        <v>0</v>
      </c>
      <c r="BQ274" s="318" t="n">
        <v>0</v>
      </c>
      <c r="BR274" s="318" t="n">
        <v>0.02</v>
      </c>
      <c r="BS274" s="0"/>
      <c r="BT274" s="0" t="n">
        <v>0</v>
      </c>
      <c r="BU274" s="0" t="n">
        <v>0</v>
      </c>
      <c r="BV274" s="0" t="n">
        <v>0</v>
      </c>
    </row>
    <row r="275" customFormat="false" ht="12.75" hidden="false" customHeight="false" outlineLevel="0" collapsed="false">
      <c r="A275" s="320"/>
      <c r="B275" s="320" t="n">
        <v>4.69</v>
      </c>
      <c r="C275" s="327" t="n">
        <f aca="false">EOMONTH(C274,0)+1</f>
        <v>45474</v>
      </c>
      <c r="D275" s="0" t="n">
        <f aca="false">D263+0.05</f>
        <v>4.114</v>
      </c>
      <c r="E275" s="320" t="n">
        <v>0.17</v>
      </c>
      <c r="F275" s="320" t="n">
        <v>0.0641910444372997</v>
      </c>
      <c r="O275" s="318"/>
      <c r="V275" s="330" t="n">
        <v>0</v>
      </c>
      <c r="W275" s="318" t="n">
        <v>0.145</v>
      </c>
      <c r="X275" s="318" t="n">
        <v>0.165</v>
      </c>
      <c r="AM275" s="318" t="n">
        <v>0.37</v>
      </c>
      <c r="AN275" s="318" t="n">
        <v>0.025</v>
      </c>
      <c r="AO275" s="318" t="n">
        <v>0</v>
      </c>
      <c r="AP275" s="318" t="n">
        <v>-0.07</v>
      </c>
      <c r="AQ275" s="318" t="n">
        <v>0</v>
      </c>
      <c r="AS275" s="318" t="n">
        <v>0</v>
      </c>
      <c r="AT275" s="318" t="n">
        <v>0</v>
      </c>
      <c r="AU275" s="318" t="n">
        <v>0</v>
      </c>
      <c r="AV275" s="318" t="n">
        <v>0</v>
      </c>
      <c r="AW275" s="318" t="n">
        <v>-0.005</v>
      </c>
      <c r="AX275" s="318" t="n">
        <v>-0.06</v>
      </c>
      <c r="BD275" s="318" t="n">
        <v>-0.005</v>
      </c>
      <c r="BF275" s="318" t="n">
        <v>0</v>
      </c>
      <c r="BJ275" s="318" t="n">
        <v>0.335</v>
      </c>
      <c r="BL275" s="318" t="n">
        <v>0</v>
      </c>
      <c r="BM275" s="318" t="n">
        <v>0.005</v>
      </c>
      <c r="BO275" s="318" t="n">
        <v>0</v>
      </c>
      <c r="BP275" s="318" t="n">
        <v>0</v>
      </c>
      <c r="BQ275" s="318" t="n">
        <v>0</v>
      </c>
      <c r="BR275" s="318" t="n">
        <v>0.035</v>
      </c>
      <c r="BS275" s="0"/>
      <c r="BT275" s="0" t="n">
        <v>0</v>
      </c>
      <c r="BU275" s="0" t="n">
        <v>0</v>
      </c>
      <c r="BV275" s="0" t="n">
        <v>0</v>
      </c>
    </row>
    <row r="276" customFormat="false" ht="12.75" hidden="false" customHeight="false" outlineLevel="0" collapsed="false">
      <c r="A276" s="320"/>
      <c r="B276" s="320" t="n">
        <v>4.948</v>
      </c>
      <c r="C276" s="327" t="n">
        <f aca="false">EOMONTH(C275,0)+1</f>
        <v>45505</v>
      </c>
      <c r="D276" s="0" t="n">
        <f aca="false">D264+0.05</f>
        <v>4.164</v>
      </c>
      <c r="E276" s="320" t="n">
        <v>0.17</v>
      </c>
      <c r="F276" s="320" t="n">
        <v>0.0641844230686437</v>
      </c>
      <c r="O276" s="318"/>
      <c r="V276" s="330" t="n">
        <v>0</v>
      </c>
      <c r="W276" s="318" t="n">
        <v>0.15</v>
      </c>
      <c r="X276" s="318" t="n">
        <v>0.205</v>
      </c>
      <c r="AM276" s="318" t="n">
        <v>0.41</v>
      </c>
      <c r="AN276" s="318" t="n">
        <v>0.0275</v>
      </c>
      <c r="AO276" s="318" t="n">
        <v>0</v>
      </c>
      <c r="AP276" s="318" t="n">
        <v>-0.07</v>
      </c>
      <c r="AQ276" s="318" t="n">
        <v>0</v>
      </c>
      <c r="AS276" s="318" t="n">
        <v>0</v>
      </c>
      <c r="AT276" s="318" t="n">
        <v>0</v>
      </c>
      <c r="AU276" s="318" t="n">
        <v>0</v>
      </c>
      <c r="AV276" s="318" t="n">
        <v>0</v>
      </c>
      <c r="AW276" s="318" t="n">
        <v>-0.0025</v>
      </c>
      <c r="AX276" s="318" t="n">
        <v>-0.06</v>
      </c>
      <c r="BD276" s="318" t="n">
        <v>-0.0025</v>
      </c>
      <c r="BF276" s="318" t="n">
        <v>0</v>
      </c>
      <c r="BJ276" s="318" t="n">
        <v>0.35</v>
      </c>
      <c r="BL276" s="318" t="n">
        <v>0</v>
      </c>
      <c r="BM276" s="318" t="n">
        <v>0.005</v>
      </c>
      <c r="BO276" s="318" t="n">
        <v>0</v>
      </c>
      <c r="BP276" s="318" t="n">
        <v>0</v>
      </c>
      <c r="BQ276" s="318" t="n">
        <v>0</v>
      </c>
      <c r="BR276" s="318" t="n">
        <v>0.035</v>
      </c>
      <c r="BS276" s="0"/>
      <c r="BT276" s="0" t="n">
        <v>0</v>
      </c>
      <c r="BU276" s="0" t="n">
        <v>0</v>
      </c>
      <c r="BV276" s="0" t="n">
        <v>0</v>
      </c>
    </row>
    <row r="277" customFormat="false" ht="12.75" hidden="false" customHeight="false" outlineLevel="0" collapsed="false">
      <c r="A277" s="320"/>
      <c r="B277" s="320" t="n">
        <v>4.901</v>
      </c>
      <c r="C277" s="327" t="n">
        <f aca="false">EOMONTH(C276,0)+1</f>
        <v>45536</v>
      </c>
      <c r="D277" s="0" t="n">
        <f aca="false">D265+0.05</f>
        <v>4.149</v>
      </c>
      <c r="E277" s="320" t="n">
        <v>0.17</v>
      </c>
      <c r="F277" s="320" t="n">
        <v>0.0641775809877134</v>
      </c>
      <c r="O277" s="318"/>
      <c r="V277" s="330" t="n">
        <v>0</v>
      </c>
      <c r="W277" s="318" t="n">
        <v>0.15</v>
      </c>
      <c r="X277" s="318" t="n">
        <v>0.205</v>
      </c>
      <c r="AM277" s="318" t="n">
        <v>0.41</v>
      </c>
      <c r="AN277" s="318" t="n">
        <v>0.03</v>
      </c>
      <c r="AO277" s="318" t="n">
        <v>0</v>
      </c>
      <c r="AP277" s="318" t="n">
        <v>-0.07</v>
      </c>
      <c r="AQ277" s="318" t="n">
        <v>0</v>
      </c>
      <c r="AS277" s="318" t="n">
        <v>0</v>
      </c>
      <c r="AT277" s="318" t="n">
        <v>0</v>
      </c>
      <c r="AU277" s="318" t="n">
        <v>0</v>
      </c>
      <c r="AV277" s="318" t="n">
        <v>0</v>
      </c>
      <c r="AW277" s="318" t="n">
        <v>0</v>
      </c>
      <c r="AX277" s="318" t="n">
        <v>-0.06</v>
      </c>
      <c r="BD277" s="318" t="n">
        <v>0</v>
      </c>
      <c r="BF277" s="318" t="n">
        <v>0</v>
      </c>
      <c r="BJ277" s="318" t="n">
        <v>0.35</v>
      </c>
      <c r="BL277" s="318" t="n">
        <v>0</v>
      </c>
      <c r="BM277" s="318" t="n">
        <v>0.005</v>
      </c>
      <c r="BO277" s="318" t="n">
        <v>0</v>
      </c>
      <c r="BP277" s="318" t="n">
        <v>0</v>
      </c>
      <c r="BQ277" s="318" t="n">
        <v>0</v>
      </c>
      <c r="BR277" s="318" t="n">
        <v>0.01</v>
      </c>
      <c r="BS277" s="0"/>
      <c r="BT277" s="0" t="n">
        <v>0</v>
      </c>
      <c r="BU277" s="0" t="n">
        <v>0</v>
      </c>
      <c r="BV277" s="0" t="n">
        <v>0</v>
      </c>
    </row>
    <row r="278" customFormat="false" ht="12.75" hidden="false" customHeight="false" outlineLevel="0" collapsed="false">
      <c r="A278" s="320"/>
      <c r="B278" s="320" t="n">
        <v>4.803</v>
      </c>
      <c r="C278" s="327" t="n">
        <f aca="false">EOMONTH(C277,0)+1</f>
        <v>45566</v>
      </c>
      <c r="D278" s="0" t="n">
        <f aca="false">D266+0.05</f>
        <v>4.164</v>
      </c>
      <c r="E278" s="320" t="n">
        <v>0.17</v>
      </c>
      <c r="F278" s="320" t="n">
        <v>0.0641707389067996</v>
      </c>
      <c r="O278" s="318"/>
      <c r="V278" s="330" t="n">
        <v>0</v>
      </c>
      <c r="W278" s="318" t="n">
        <v>0.125</v>
      </c>
      <c r="X278" s="318" t="n">
        <v>0.145</v>
      </c>
      <c r="AM278" s="318" t="n">
        <v>0.36</v>
      </c>
      <c r="AN278" s="318" t="n">
        <v>0.0225</v>
      </c>
      <c r="AO278" s="318" t="n">
        <v>0</v>
      </c>
      <c r="AP278" s="318" t="n">
        <v>-0.07</v>
      </c>
      <c r="AQ278" s="318" t="n">
        <v>0</v>
      </c>
      <c r="AS278" s="318" t="n">
        <v>0</v>
      </c>
      <c r="AT278" s="318" t="n">
        <v>0</v>
      </c>
      <c r="AU278" s="318" t="n">
        <v>0</v>
      </c>
      <c r="AV278" s="318" t="n">
        <v>0</v>
      </c>
      <c r="AW278" s="318" t="n">
        <v>-0.0075</v>
      </c>
      <c r="AX278" s="318" t="n">
        <v>-0.06</v>
      </c>
      <c r="BD278" s="318" t="n">
        <v>-0.0075</v>
      </c>
      <c r="BF278" s="318" t="n">
        <v>0</v>
      </c>
      <c r="BJ278" s="318" t="n">
        <v>0.315</v>
      </c>
      <c r="BL278" s="318" t="n">
        <v>0</v>
      </c>
      <c r="BM278" s="318" t="n">
        <v>0.005</v>
      </c>
      <c r="BO278" s="318" t="n">
        <v>0</v>
      </c>
      <c r="BP278" s="318" t="n">
        <v>0</v>
      </c>
      <c r="BQ278" s="318" t="n">
        <v>0</v>
      </c>
      <c r="BR278" s="318" t="n">
        <v>0.01</v>
      </c>
      <c r="BS278" s="0"/>
      <c r="BT278" s="0" t="n">
        <v>0</v>
      </c>
      <c r="BU278" s="0" t="n">
        <v>0</v>
      </c>
      <c r="BV278" s="0" t="n">
        <v>0</v>
      </c>
    </row>
    <row r="279" customFormat="false" ht="12.75" hidden="false" customHeight="false" outlineLevel="0" collapsed="false">
      <c r="A279" s="320"/>
      <c r="B279" s="320" t="n">
        <v>4.708</v>
      </c>
      <c r="C279" s="327" t="n">
        <f aca="false">EOMONTH(C278,0)+1</f>
        <v>45597</v>
      </c>
      <c r="D279" s="0" t="n">
        <f aca="false">D267+0.05</f>
        <v>4.309</v>
      </c>
      <c r="E279" s="320" t="n">
        <v>0.17</v>
      </c>
      <c r="F279" s="320" t="n">
        <v>0.064164117538188</v>
      </c>
      <c r="O279" s="318"/>
      <c r="V279" s="330" t="n">
        <v>0</v>
      </c>
      <c r="W279" s="318" t="n">
        <v>0.145</v>
      </c>
      <c r="X279" s="318" t="n">
        <v>0.175</v>
      </c>
      <c r="AM279" s="318" t="n">
        <v>0.4</v>
      </c>
      <c r="AN279" s="318" t="n">
        <v>0.0125</v>
      </c>
      <c r="AO279" s="318" t="n">
        <v>0</v>
      </c>
      <c r="AP279" s="318" t="n">
        <v>-0.07</v>
      </c>
      <c r="AQ279" s="318" t="n">
        <v>0</v>
      </c>
      <c r="AS279" s="318" t="n">
        <v>0</v>
      </c>
      <c r="AT279" s="318" t="n">
        <v>0</v>
      </c>
      <c r="AU279" s="318" t="n">
        <v>0</v>
      </c>
      <c r="AV279" s="318" t="n">
        <v>0</v>
      </c>
      <c r="AW279" s="318" t="n">
        <v>-0.0175</v>
      </c>
      <c r="AX279" s="318" t="n">
        <v>-0.06</v>
      </c>
      <c r="BD279" s="318" t="n">
        <v>-0.0175</v>
      </c>
      <c r="BF279" s="318" t="n">
        <v>0</v>
      </c>
      <c r="BJ279" s="318" t="n">
        <v>0.36</v>
      </c>
      <c r="BL279" s="318" t="n">
        <v>0</v>
      </c>
      <c r="BM279" s="318" t="n">
        <v>0.005</v>
      </c>
      <c r="BO279" s="318" t="n">
        <v>0</v>
      </c>
      <c r="BP279" s="318" t="n">
        <v>0</v>
      </c>
      <c r="BQ279" s="318" t="n">
        <v>0</v>
      </c>
      <c r="BR279" s="318" t="n">
        <v>0.01</v>
      </c>
      <c r="BS279" s="0"/>
      <c r="BT279" s="0" t="n">
        <v>0</v>
      </c>
      <c r="BU279" s="0" t="n">
        <v>0</v>
      </c>
      <c r="BV279" s="0" t="n">
        <v>0</v>
      </c>
    </row>
    <row r="280" customFormat="false" ht="12.75" hidden="false" customHeight="false" outlineLevel="0" collapsed="false">
      <c r="A280" s="320"/>
      <c r="B280" s="320" t="n">
        <v>4.7</v>
      </c>
      <c r="C280" s="327" t="n">
        <f aca="false">EOMONTH(C279,0)+1</f>
        <v>45627</v>
      </c>
      <c r="D280" s="0" t="n">
        <f aca="false">D268+0.05</f>
        <v>4.444</v>
      </c>
      <c r="E280" s="320" t="n">
        <v>0.17</v>
      </c>
      <c r="F280" s="320" t="n">
        <v>0.0641572754573048</v>
      </c>
      <c r="O280" s="318"/>
      <c r="V280" s="330" t="n">
        <v>0</v>
      </c>
      <c r="W280" s="318" t="n">
        <v>0.195</v>
      </c>
      <c r="X280" s="318" t="n">
        <v>0.21</v>
      </c>
      <c r="AM280" s="318" t="n">
        <v>0.65</v>
      </c>
      <c r="AN280" s="318" t="n">
        <v>-0.0225</v>
      </c>
      <c r="AO280" s="318" t="n">
        <v>0</v>
      </c>
      <c r="AP280" s="318" t="n">
        <v>-0.07</v>
      </c>
      <c r="AQ280" s="318" t="n">
        <v>0</v>
      </c>
      <c r="AS280" s="318" t="n">
        <v>0</v>
      </c>
      <c r="AT280" s="318" t="n">
        <v>0</v>
      </c>
      <c r="AU280" s="318" t="n">
        <v>0</v>
      </c>
      <c r="AV280" s="318" t="n">
        <v>0</v>
      </c>
      <c r="AW280" s="318" t="n">
        <v>-0.0525</v>
      </c>
      <c r="AX280" s="318" t="n">
        <v>-0.06</v>
      </c>
      <c r="BD280" s="318" t="n">
        <v>-0.0525</v>
      </c>
      <c r="BF280" s="318" t="n">
        <v>0</v>
      </c>
      <c r="BJ280" s="318" t="n">
        <v>0.46</v>
      </c>
      <c r="BL280" s="318" t="n">
        <v>0</v>
      </c>
      <c r="BM280" s="318" t="n">
        <v>0.005</v>
      </c>
      <c r="BO280" s="318" t="n">
        <v>0</v>
      </c>
      <c r="BP280" s="318" t="n">
        <v>0</v>
      </c>
      <c r="BQ280" s="318" t="n">
        <v>0</v>
      </c>
      <c r="BR280" s="318" t="n">
        <v>0.055</v>
      </c>
      <c r="BS280" s="0"/>
      <c r="BT280" s="0" t="n">
        <v>0</v>
      </c>
      <c r="BU280" s="0" t="n">
        <v>0</v>
      </c>
      <c r="BV280" s="0" t="n">
        <v>0</v>
      </c>
    </row>
    <row r="281" customFormat="false" ht="12.75" hidden="false" customHeight="false" outlineLevel="0" collapsed="false">
      <c r="A281" s="320"/>
      <c r="B281" s="320" t="n">
        <v>4.7</v>
      </c>
      <c r="C281" s="327" t="n">
        <f aca="false">EOMONTH(C280,0)+1</f>
        <v>45658</v>
      </c>
      <c r="D281" s="0" t="n">
        <f aca="false">D269+0.05</f>
        <v>4.499</v>
      </c>
      <c r="E281" s="320" t="n">
        <v>0.17</v>
      </c>
      <c r="F281" s="320" t="n">
        <v>0.0641506540887224</v>
      </c>
      <c r="O281" s="318"/>
      <c r="V281" s="330" t="n">
        <v>0</v>
      </c>
      <c r="W281" s="318" t="n">
        <v>0.215</v>
      </c>
      <c r="X281" s="318" t="n">
        <v>0.29</v>
      </c>
      <c r="AM281" s="318" t="n">
        <v>0.98</v>
      </c>
      <c r="AN281" s="318" t="n">
        <v>-0.045</v>
      </c>
      <c r="AO281" s="318" t="n">
        <v>0</v>
      </c>
      <c r="AP281" s="318" t="n">
        <v>-0.07</v>
      </c>
      <c r="AQ281" s="318" t="n">
        <v>0</v>
      </c>
      <c r="AS281" s="318" t="n">
        <v>0</v>
      </c>
      <c r="AT281" s="318" t="n">
        <v>0</v>
      </c>
      <c r="AU281" s="318" t="n">
        <v>0</v>
      </c>
      <c r="AV281" s="318" t="n">
        <v>0</v>
      </c>
      <c r="AW281" s="318" t="n">
        <v>-0.075</v>
      </c>
      <c r="AX281" s="318" t="n">
        <v>-0.06</v>
      </c>
      <c r="BD281" s="318" t="n">
        <v>-0.075</v>
      </c>
      <c r="BF281" s="318" t="n">
        <v>0</v>
      </c>
      <c r="BJ281" s="318" t="n">
        <v>0.77</v>
      </c>
      <c r="BL281" s="318" t="n">
        <v>0</v>
      </c>
      <c r="BM281" s="318" t="n">
        <v>0.005</v>
      </c>
      <c r="BO281" s="318" t="n">
        <v>0</v>
      </c>
      <c r="BP281" s="318" t="n">
        <v>0</v>
      </c>
      <c r="BQ281" s="318" t="n">
        <v>0</v>
      </c>
      <c r="BR281" s="318" t="n">
        <v>0.25</v>
      </c>
      <c r="BS281" s="0"/>
      <c r="BT281" s="0" t="n">
        <v>0</v>
      </c>
      <c r="BU281" s="0" t="n">
        <v>0</v>
      </c>
      <c r="BV281" s="0" t="n">
        <v>0</v>
      </c>
    </row>
    <row r="282" customFormat="false" ht="12.75" hidden="false" customHeight="false" outlineLevel="0" collapsed="false">
      <c r="A282" s="320"/>
      <c r="B282" s="320" t="n">
        <v>4.765</v>
      </c>
      <c r="C282" s="327" t="n">
        <f aca="false">EOMONTH(C281,0)+1</f>
        <v>45689</v>
      </c>
      <c r="D282" s="0"/>
      <c r="F282" s="320" t="n">
        <v>0.0641438120078694</v>
      </c>
      <c r="O282" s="318"/>
      <c r="V282" s="330" t="n">
        <v>0</v>
      </c>
      <c r="W282" s="318" t="n">
        <v>0.235</v>
      </c>
      <c r="X282" s="318" t="n">
        <v>0.34</v>
      </c>
      <c r="AM282" s="318" t="n">
        <v>1.6</v>
      </c>
      <c r="AN282" s="318" t="n">
        <v>-0.0475</v>
      </c>
      <c r="AO282" s="318" t="n">
        <v>0</v>
      </c>
      <c r="AP282" s="318" t="n">
        <v>-0.07</v>
      </c>
      <c r="AQ282" s="318" t="n">
        <v>0</v>
      </c>
      <c r="AS282" s="318" t="n">
        <v>0</v>
      </c>
      <c r="AT282" s="318" t="n">
        <v>0</v>
      </c>
      <c r="AU282" s="318" t="n">
        <v>0</v>
      </c>
      <c r="AV282" s="318" t="n">
        <v>0</v>
      </c>
      <c r="AW282" s="318" t="n">
        <v>-0.0775</v>
      </c>
      <c r="AX282" s="318" t="n">
        <v>-0.06</v>
      </c>
      <c r="BD282" s="318" t="n">
        <v>-0.0775</v>
      </c>
      <c r="BF282" s="318" t="n">
        <v>0</v>
      </c>
      <c r="BJ282" s="318" t="n">
        <v>1.04</v>
      </c>
      <c r="BL282" s="318" t="n">
        <v>0</v>
      </c>
      <c r="BM282" s="318" t="n">
        <v>0.005</v>
      </c>
      <c r="BO282" s="318" t="n">
        <v>0</v>
      </c>
      <c r="BP282" s="318" t="n">
        <v>0</v>
      </c>
      <c r="BQ282" s="318" t="n">
        <v>0</v>
      </c>
      <c r="BR282" s="318" t="n">
        <v>0.45</v>
      </c>
      <c r="BS282" s="0"/>
      <c r="BT282" s="0" t="n">
        <v>0</v>
      </c>
      <c r="BU282" s="0" t="n">
        <v>0</v>
      </c>
      <c r="BV282" s="0" t="n">
        <v>0</v>
      </c>
    </row>
    <row r="283" customFormat="false" ht="12.75" hidden="false" customHeight="false" outlineLevel="0" collapsed="false">
      <c r="A283" s="320"/>
      <c r="B283" s="320" t="n">
        <v>4.76</v>
      </c>
      <c r="C283" s="327" t="n">
        <f aca="false">EOMONTH(C282,0)+1</f>
        <v>45717</v>
      </c>
      <c r="D283" s="0"/>
      <c r="F283" s="320" t="n">
        <v>0.064136969927032</v>
      </c>
      <c r="O283" s="318"/>
      <c r="V283" s="330" t="n">
        <v>0</v>
      </c>
      <c r="W283" s="318" t="n">
        <v>0.235</v>
      </c>
      <c r="X283" s="318" t="n">
        <v>0.34</v>
      </c>
      <c r="AM283" s="318" t="n">
        <v>1.6</v>
      </c>
      <c r="AN283" s="318" t="n">
        <v>-0.03</v>
      </c>
      <c r="AO283" s="318" t="n">
        <v>0</v>
      </c>
      <c r="AP283" s="318" t="n">
        <v>-0.07</v>
      </c>
      <c r="AQ283" s="318" t="n">
        <v>0</v>
      </c>
      <c r="AS283" s="318" t="n">
        <v>0</v>
      </c>
      <c r="AT283" s="318" t="n">
        <v>0</v>
      </c>
      <c r="AU283" s="318" t="n">
        <v>0</v>
      </c>
      <c r="AV283" s="318" t="n">
        <v>0</v>
      </c>
      <c r="AW283" s="318" t="n">
        <v>-0.06</v>
      </c>
      <c r="AX283" s="318" t="n">
        <v>-0.06</v>
      </c>
      <c r="BD283" s="318" t="n">
        <v>-0.06</v>
      </c>
      <c r="BF283" s="318" t="n">
        <v>0</v>
      </c>
      <c r="BJ283" s="318" t="n">
        <v>1.04</v>
      </c>
      <c r="BL283" s="318" t="n">
        <v>0</v>
      </c>
      <c r="BM283" s="318" t="n">
        <v>0.005</v>
      </c>
      <c r="BO283" s="318" t="n">
        <v>0</v>
      </c>
      <c r="BP283" s="318" t="n">
        <v>0</v>
      </c>
      <c r="BQ283" s="318" t="n">
        <v>0</v>
      </c>
      <c r="BR283" s="318" t="n">
        <v>0.45</v>
      </c>
      <c r="BS283" s="0"/>
      <c r="BT283" s="0" t="n">
        <v>0</v>
      </c>
      <c r="BU283" s="0" t="n">
        <v>0</v>
      </c>
      <c r="BV283" s="0" t="n">
        <v>0</v>
      </c>
    </row>
    <row r="284" customFormat="false" ht="12.75" hidden="false" customHeight="false" outlineLevel="0" collapsed="false">
      <c r="A284" s="320"/>
      <c r="B284" s="320" t="n">
        <v>4.73</v>
      </c>
      <c r="C284" s="327" t="n">
        <f aca="false">EOMONTH(C283,0)+1</f>
        <v>45748</v>
      </c>
      <c r="D284" s="0"/>
      <c r="F284" s="320" t="n">
        <v>0.0641307899830634</v>
      </c>
      <c r="O284" s="318"/>
      <c r="V284" s="330" t="n">
        <v>0</v>
      </c>
      <c r="W284" s="318" t="n">
        <v>0.195</v>
      </c>
      <c r="X284" s="318" t="n">
        <v>0.29</v>
      </c>
      <c r="AM284" s="318" t="n">
        <v>0.64</v>
      </c>
      <c r="AN284" s="318" t="n">
        <v>-0.0175</v>
      </c>
      <c r="AO284" s="318" t="n">
        <v>0</v>
      </c>
      <c r="AP284" s="318" t="n">
        <v>-0.07</v>
      </c>
      <c r="AQ284" s="318" t="n">
        <v>0</v>
      </c>
      <c r="AS284" s="318" t="n">
        <v>0</v>
      </c>
      <c r="AT284" s="318" t="n">
        <v>0</v>
      </c>
      <c r="AU284" s="318" t="n">
        <v>0</v>
      </c>
      <c r="AV284" s="318" t="n">
        <v>0</v>
      </c>
      <c r="AW284" s="318" t="n">
        <v>-0.0475</v>
      </c>
      <c r="AX284" s="318" t="n">
        <v>-0.06</v>
      </c>
      <c r="BD284" s="318" t="n">
        <v>-0.0475</v>
      </c>
      <c r="BF284" s="318" t="n">
        <v>0</v>
      </c>
      <c r="BJ284" s="318" t="n">
        <v>0.54</v>
      </c>
      <c r="BL284" s="318" t="n">
        <v>0</v>
      </c>
      <c r="BM284" s="318" t="n">
        <v>0.005</v>
      </c>
      <c r="BO284" s="318" t="n">
        <v>0</v>
      </c>
      <c r="BP284" s="318" t="n">
        <v>0</v>
      </c>
      <c r="BQ284" s="318" t="n">
        <v>0</v>
      </c>
      <c r="BR284" s="318" t="n">
        <v>0.1</v>
      </c>
      <c r="BS284" s="0"/>
      <c r="BT284" s="0" t="n">
        <v>0</v>
      </c>
      <c r="BU284" s="0" t="n">
        <v>0</v>
      </c>
      <c r="BV284" s="0" t="n">
        <v>0</v>
      </c>
    </row>
    <row r="285" customFormat="false" ht="12.75" hidden="false" customHeight="false" outlineLevel="0" collapsed="false">
      <c r="A285" s="320"/>
      <c r="B285" s="320" t="n">
        <v>4.728</v>
      </c>
      <c r="C285" s="327" t="n">
        <f aca="false">EOMONTH(C284,0)+1</f>
        <v>45778</v>
      </c>
      <c r="D285" s="0"/>
      <c r="F285" s="320" t="n">
        <v>0.0641239479022557</v>
      </c>
      <c r="O285" s="318"/>
      <c r="V285" s="330" t="n">
        <v>0</v>
      </c>
      <c r="W285" s="318" t="n">
        <v>0.145</v>
      </c>
      <c r="X285" s="318" t="n">
        <v>0.195</v>
      </c>
      <c r="AM285" s="318" t="n">
        <v>0.38</v>
      </c>
      <c r="AN285" s="318" t="n">
        <v>0.02</v>
      </c>
      <c r="AO285" s="318" t="n">
        <v>0</v>
      </c>
      <c r="AP285" s="318" t="n">
        <v>-0.07</v>
      </c>
      <c r="AQ285" s="318" t="n">
        <v>0</v>
      </c>
      <c r="AS285" s="318" t="n">
        <v>0</v>
      </c>
      <c r="AT285" s="318" t="n">
        <v>0</v>
      </c>
      <c r="AU285" s="318" t="n">
        <v>0</v>
      </c>
      <c r="AV285" s="318" t="n">
        <v>0</v>
      </c>
      <c r="AW285" s="318" t="n">
        <v>-0.01</v>
      </c>
      <c r="AX285" s="318" t="n">
        <v>-0.06</v>
      </c>
      <c r="BD285" s="318" t="n">
        <v>-0.01</v>
      </c>
      <c r="BF285" s="318" t="n">
        <v>0</v>
      </c>
      <c r="BJ285" s="318" t="n">
        <v>0.36</v>
      </c>
      <c r="BL285" s="318" t="n">
        <v>0</v>
      </c>
      <c r="BM285" s="318" t="n">
        <v>0.005</v>
      </c>
      <c r="BO285" s="318" t="n">
        <v>0</v>
      </c>
      <c r="BP285" s="318" t="n">
        <v>0</v>
      </c>
      <c r="BQ285" s="318" t="n">
        <v>0</v>
      </c>
      <c r="BR285" s="318" t="n">
        <v>0.02</v>
      </c>
      <c r="BS285" s="0"/>
      <c r="BT285" s="0" t="n">
        <v>0</v>
      </c>
      <c r="BU285" s="0" t="n">
        <v>0</v>
      </c>
      <c r="BV285" s="0" t="n">
        <v>0</v>
      </c>
    </row>
    <row r="286" customFormat="false" ht="12.75" hidden="false" customHeight="false" outlineLevel="0" collapsed="false">
      <c r="A286" s="320"/>
      <c r="B286" s="320" t="n">
        <v>4.74</v>
      </c>
      <c r="C286" s="327" t="n">
        <f aca="false">EOMONTH(C285,0)+1</f>
        <v>45809</v>
      </c>
      <c r="D286" s="0"/>
      <c r="F286" s="320" t="n">
        <v>0.0641173265337462</v>
      </c>
      <c r="O286" s="318"/>
      <c r="V286" s="330" t="n">
        <v>0</v>
      </c>
      <c r="W286" s="318" t="n">
        <v>0.125</v>
      </c>
      <c r="X286" s="318" t="n">
        <v>0.135</v>
      </c>
      <c r="AM286" s="318" t="n">
        <v>0.33</v>
      </c>
      <c r="AN286" s="318" t="n">
        <v>0.02</v>
      </c>
      <c r="AO286" s="318" t="n">
        <v>0</v>
      </c>
      <c r="AP286" s="318" t="n">
        <v>-0.07</v>
      </c>
      <c r="AQ286" s="318" t="n">
        <v>0</v>
      </c>
      <c r="AS286" s="318" t="n">
        <v>0</v>
      </c>
      <c r="AT286" s="318" t="n">
        <v>0</v>
      </c>
      <c r="AU286" s="318" t="n">
        <v>0</v>
      </c>
      <c r="AV286" s="318" t="n">
        <v>0</v>
      </c>
      <c r="AW286" s="318" t="n">
        <v>-0.01</v>
      </c>
      <c r="AX286" s="318" t="n">
        <v>-0.06</v>
      </c>
      <c r="BD286" s="318" t="n">
        <v>-0.01</v>
      </c>
      <c r="BF286" s="318" t="n">
        <v>0</v>
      </c>
      <c r="BJ286" s="318" t="n">
        <v>0.325</v>
      </c>
      <c r="BL286" s="318" t="n">
        <v>0</v>
      </c>
      <c r="BM286" s="318" t="n">
        <v>0.005</v>
      </c>
      <c r="BO286" s="318" t="n">
        <v>0</v>
      </c>
      <c r="BP286" s="318" t="n">
        <v>0</v>
      </c>
      <c r="BQ286" s="318" t="n">
        <v>0</v>
      </c>
      <c r="BR286" s="318" t="n">
        <v>0.02</v>
      </c>
      <c r="BS286" s="0"/>
      <c r="BT286" s="0" t="n">
        <v>0</v>
      </c>
      <c r="BU286" s="0" t="n">
        <v>0</v>
      </c>
      <c r="BV286" s="0" t="n">
        <v>0</v>
      </c>
    </row>
    <row r="287" customFormat="false" ht="12.75" hidden="false" customHeight="false" outlineLevel="0" collapsed="false">
      <c r="A287" s="320"/>
      <c r="B287" s="320" t="n">
        <v>4.789</v>
      </c>
      <c r="C287" s="327" t="n">
        <f aca="false">EOMONTH(C286,0)+1</f>
        <v>45839</v>
      </c>
      <c r="D287" s="0"/>
      <c r="F287" s="320" t="n">
        <v>0.0641104844529692</v>
      </c>
      <c r="O287" s="318"/>
      <c r="V287" s="330" t="n">
        <v>0</v>
      </c>
      <c r="W287" s="318" t="n">
        <v>0.145</v>
      </c>
      <c r="X287" s="318" t="n">
        <v>0.165</v>
      </c>
      <c r="AM287" s="318" t="n">
        <v>0.37</v>
      </c>
      <c r="AN287" s="318" t="n">
        <v>0.025</v>
      </c>
      <c r="AO287" s="318" t="n">
        <v>0</v>
      </c>
      <c r="AP287" s="318" t="n">
        <v>-0.07</v>
      </c>
      <c r="AQ287" s="318" t="n">
        <v>0</v>
      </c>
      <c r="AS287" s="318" t="n">
        <v>0</v>
      </c>
      <c r="AT287" s="318" t="n">
        <v>0</v>
      </c>
      <c r="AU287" s="318" t="n">
        <v>0</v>
      </c>
      <c r="AV287" s="318" t="n">
        <v>0</v>
      </c>
      <c r="AW287" s="318" t="n">
        <v>-0.005</v>
      </c>
      <c r="AX287" s="318" t="n">
        <v>-0.06</v>
      </c>
      <c r="BD287" s="318" t="n">
        <v>-0.005</v>
      </c>
      <c r="BF287" s="318" t="n">
        <v>0</v>
      </c>
      <c r="BJ287" s="318" t="n">
        <v>0.335</v>
      </c>
      <c r="BL287" s="318" t="n">
        <v>0</v>
      </c>
      <c r="BM287" s="318" t="n">
        <v>0.005</v>
      </c>
      <c r="BO287" s="318" t="n">
        <v>0</v>
      </c>
      <c r="BP287" s="318" t="n">
        <v>0</v>
      </c>
      <c r="BQ287" s="318" t="n">
        <v>0</v>
      </c>
      <c r="BR287" s="318" t="n">
        <v>0.035</v>
      </c>
      <c r="BS287" s="0"/>
      <c r="BT287" s="0" t="n">
        <v>0</v>
      </c>
      <c r="BU287" s="0" t="n">
        <v>0</v>
      </c>
      <c r="BV287" s="0" t="n">
        <v>0</v>
      </c>
    </row>
    <row r="288" customFormat="false" ht="12.75" hidden="false" customHeight="false" outlineLevel="0" collapsed="false">
      <c r="A288" s="320"/>
      <c r="B288" s="320" t="n">
        <v>5.045</v>
      </c>
      <c r="C288" s="327" t="n">
        <f aca="false">EOMONTH(C287,0)+1</f>
        <v>45870</v>
      </c>
      <c r="D288" s="0"/>
      <c r="F288" s="320" t="n">
        <v>0.0641038630844899</v>
      </c>
      <c r="O288" s="318"/>
      <c r="V288" s="330" t="n">
        <v>0</v>
      </c>
      <c r="W288" s="318" t="n">
        <v>0.15</v>
      </c>
      <c r="X288" s="318" t="n">
        <v>0.205</v>
      </c>
      <c r="AM288" s="318" t="n">
        <v>0.41</v>
      </c>
      <c r="AN288" s="318" t="n">
        <v>0.0275</v>
      </c>
      <c r="AO288" s="318" t="n">
        <v>0</v>
      </c>
      <c r="AP288" s="318" t="n">
        <v>-0.07</v>
      </c>
      <c r="AQ288" s="318" t="n">
        <v>0</v>
      </c>
      <c r="AS288" s="318" t="n">
        <v>0</v>
      </c>
      <c r="AT288" s="318" t="n">
        <v>0</v>
      </c>
      <c r="AU288" s="318" t="n">
        <v>0</v>
      </c>
      <c r="AV288" s="318" t="n">
        <v>0</v>
      </c>
      <c r="AW288" s="318" t="n">
        <v>-0.0025</v>
      </c>
      <c r="AX288" s="318" t="n">
        <v>-0.06</v>
      </c>
      <c r="BD288" s="318" t="n">
        <v>-0.0025</v>
      </c>
      <c r="BF288" s="318" t="n">
        <v>0</v>
      </c>
      <c r="BJ288" s="318" t="n">
        <v>0.35</v>
      </c>
      <c r="BL288" s="318" t="n">
        <v>0</v>
      </c>
      <c r="BM288" s="318" t="n">
        <v>0.005</v>
      </c>
      <c r="BO288" s="318" t="n">
        <v>0</v>
      </c>
      <c r="BP288" s="318" t="n">
        <v>0</v>
      </c>
      <c r="BQ288" s="318" t="n">
        <v>0</v>
      </c>
      <c r="BR288" s="318" t="n">
        <v>0.035</v>
      </c>
      <c r="BS288" s="0"/>
      <c r="BT288" s="0" t="n">
        <v>0</v>
      </c>
      <c r="BU288" s="0" t="n">
        <v>0</v>
      </c>
      <c r="BV288" s="0" t="n">
        <v>0</v>
      </c>
    </row>
    <row r="289" customFormat="false" ht="12.75" hidden="false" customHeight="false" outlineLevel="0" collapsed="false">
      <c r="A289" s="320"/>
      <c r="B289" s="320" t="n">
        <v>5.002</v>
      </c>
      <c r="C289" s="327" t="n">
        <f aca="false">EOMONTH(C288,0)+1</f>
        <v>45901</v>
      </c>
      <c r="D289" s="0"/>
      <c r="F289" s="320" t="n">
        <v>0.064097021003743</v>
      </c>
      <c r="O289" s="318"/>
      <c r="V289" s="330" t="n">
        <v>0</v>
      </c>
      <c r="W289" s="318" t="n">
        <v>0.15</v>
      </c>
      <c r="X289" s="318" t="n">
        <v>0.205</v>
      </c>
      <c r="AM289" s="318" t="n">
        <v>0.41</v>
      </c>
      <c r="AN289" s="318" t="n">
        <v>0.03</v>
      </c>
      <c r="AO289" s="318" t="n">
        <v>0</v>
      </c>
      <c r="AP289" s="318" t="n">
        <v>-0.07</v>
      </c>
      <c r="AQ289" s="318" t="n">
        <v>0</v>
      </c>
      <c r="AS289" s="318" t="n">
        <v>0</v>
      </c>
      <c r="AT289" s="318" t="n">
        <v>0</v>
      </c>
      <c r="AU289" s="318" t="n">
        <v>0</v>
      </c>
      <c r="AV289" s="318" t="n">
        <v>0</v>
      </c>
      <c r="AW289" s="318" t="n">
        <v>0</v>
      </c>
      <c r="AX289" s="318" t="n">
        <v>-0.06</v>
      </c>
      <c r="BD289" s="318" t="n">
        <v>0</v>
      </c>
      <c r="BF289" s="318" t="n">
        <v>0</v>
      </c>
      <c r="BJ289" s="318" t="n">
        <v>0.35</v>
      </c>
      <c r="BL289" s="318" t="n">
        <v>0</v>
      </c>
      <c r="BM289" s="318" t="n">
        <v>0.005</v>
      </c>
      <c r="BO289" s="318" t="n">
        <v>0</v>
      </c>
      <c r="BP289" s="318" t="n">
        <v>0</v>
      </c>
      <c r="BQ289" s="318" t="n">
        <v>0</v>
      </c>
      <c r="BR289" s="318" t="n">
        <v>0.01</v>
      </c>
      <c r="BS289" s="0"/>
      <c r="BT289" s="0" t="n">
        <v>0</v>
      </c>
      <c r="BU289" s="0" t="n">
        <v>0</v>
      </c>
      <c r="BV289" s="0" t="n">
        <v>0</v>
      </c>
    </row>
    <row r="290" customFormat="false" ht="12.75" hidden="false" customHeight="false" outlineLevel="0" collapsed="false">
      <c r="A290" s="320"/>
      <c r="B290" s="320" t="n">
        <v>4.907</v>
      </c>
      <c r="C290" s="327" t="n">
        <f aca="false">EOMONTH(C289,0)+1</f>
        <v>45931</v>
      </c>
      <c r="D290" s="0"/>
      <c r="F290" s="320" t="n">
        <v>0.0640901789230117</v>
      </c>
      <c r="O290" s="318"/>
      <c r="V290" s="330" t="n">
        <v>0</v>
      </c>
      <c r="W290" s="318" t="n">
        <v>0.125</v>
      </c>
      <c r="X290" s="318" t="n">
        <v>0.145</v>
      </c>
      <c r="AM290" s="318" t="n">
        <v>0.36</v>
      </c>
      <c r="AN290" s="318" t="n">
        <v>0.0225</v>
      </c>
      <c r="AO290" s="318" t="n">
        <v>0</v>
      </c>
      <c r="AP290" s="318" t="n">
        <v>-0.07</v>
      </c>
      <c r="AQ290" s="318" t="n">
        <v>0</v>
      </c>
      <c r="AS290" s="318" t="n">
        <v>0</v>
      </c>
      <c r="AT290" s="318" t="n">
        <v>0</v>
      </c>
      <c r="AU290" s="318" t="n">
        <v>0</v>
      </c>
      <c r="AV290" s="318" t="n">
        <v>0</v>
      </c>
      <c r="AW290" s="318" t="n">
        <v>-0.0075</v>
      </c>
      <c r="AX290" s="318" t="n">
        <v>-0.06</v>
      </c>
      <c r="BD290" s="318" t="n">
        <v>-0.0075</v>
      </c>
      <c r="BF290" s="318" t="n">
        <v>0</v>
      </c>
      <c r="BJ290" s="318" t="n">
        <v>0.315</v>
      </c>
      <c r="BL290" s="318" t="n">
        <v>0</v>
      </c>
      <c r="BM290" s="318" t="n">
        <v>0.005</v>
      </c>
      <c r="BO290" s="318" t="n">
        <v>0</v>
      </c>
      <c r="BP290" s="318" t="n">
        <v>0</v>
      </c>
      <c r="BQ290" s="318" t="n">
        <v>0</v>
      </c>
      <c r="BR290" s="318" t="n">
        <v>0.01</v>
      </c>
      <c r="BS290" s="0"/>
      <c r="BT290" s="0" t="n">
        <v>0</v>
      </c>
      <c r="BU290" s="0" t="n">
        <v>0</v>
      </c>
      <c r="BV290" s="0" t="n">
        <v>0</v>
      </c>
    </row>
    <row r="291" customFormat="false" ht="12.75" hidden="false" customHeight="false" outlineLevel="0" collapsed="false">
      <c r="A291" s="320"/>
      <c r="B291" s="320" t="n">
        <v>4.815</v>
      </c>
      <c r="C291" s="327" t="n">
        <f aca="false">EOMONTH(C290,0)+1</f>
        <v>45962</v>
      </c>
      <c r="D291" s="0"/>
      <c r="F291" s="320" t="n">
        <v>0.0640835575545768</v>
      </c>
      <c r="O291" s="318"/>
      <c r="V291" s="330" t="n">
        <v>0</v>
      </c>
      <c r="W291" s="318" t="n">
        <v>0.145</v>
      </c>
      <c r="X291" s="318" t="n">
        <v>0.175</v>
      </c>
      <c r="AM291" s="318" t="n">
        <v>0.4</v>
      </c>
      <c r="AN291" s="318" t="n">
        <v>0.0125</v>
      </c>
      <c r="AO291" s="318" t="n">
        <v>0</v>
      </c>
      <c r="AP291" s="318" t="n">
        <v>-0.07</v>
      </c>
      <c r="AQ291" s="318" t="n">
        <v>0</v>
      </c>
      <c r="AS291" s="318" t="n">
        <v>0</v>
      </c>
      <c r="AT291" s="318" t="n">
        <v>0</v>
      </c>
      <c r="AU291" s="318" t="n">
        <v>0</v>
      </c>
      <c r="AV291" s="318" t="n">
        <v>0</v>
      </c>
      <c r="AW291" s="318" t="n">
        <v>-0.0175</v>
      </c>
      <c r="AX291" s="318" t="n">
        <v>-0.06</v>
      </c>
      <c r="BD291" s="318" t="n">
        <v>-0.0175</v>
      </c>
      <c r="BF291" s="318" t="n">
        <v>0</v>
      </c>
      <c r="BJ291" s="318" t="n">
        <v>0.36</v>
      </c>
      <c r="BL291" s="318" t="n">
        <v>0</v>
      </c>
      <c r="BM291" s="318" t="n">
        <v>0.005</v>
      </c>
      <c r="BO291" s="318" t="n">
        <v>0</v>
      </c>
      <c r="BP291" s="318" t="n">
        <v>0</v>
      </c>
      <c r="BQ291" s="318" t="n">
        <v>0</v>
      </c>
      <c r="BR291" s="318" t="n">
        <v>0.01</v>
      </c>
      <c r="BS291" s="0"/>
      <c r="BT291" s="0" t="n">
        <v>0</v>
      </c>
      <c r="BU291" s="0" t="n">
        <v>0</v>
      </c>
      <c r="BV291" s="0" t="n">
        <v>0</v>
      </c>
    </row>
    <row r="292" customFormat="false" ht="12.75" hidden="false" customHeight="false" outlineLevel="0" collapsed="false">
      <c r="A292" s="320"/>
      <c r="B292" s="320" t="n">
        <v>4.808</v>
      </c>
      <c r="C292" s="327" t="n">
        <f aca="false">EOMONTH(C291,0)+1</f>
        <v>45992</v>
      </c>
      <c r="D292" s="0"/>
      <c r="F292" s="320" t="n">
        <v>0.0640767154738762</v>
      </c>
      <c r="O292" s="318"/>
      <c r="V292" s="330" t="n">
        <v>0</v>
      </c>
      <c r="W292" s="318" t="n">
        <v>0.195</v>
      </c>
      <c r="X292" s="318" t="n">
        <v>0.21</v>
      </c>
      <c r="AM292" s="318" t="n">
        <v>0.65</v>
      </c>
      <c r="AN292" s="318" t="n">
        <v>-0.0225</v>
      </c>
      <c r="AO292" s="318" t="n">
        <v>0</v>
      </c>
      <c r="AP292" s="318" t="n">
        <v>-0.07</v>
      </c>
      <c r="AQ292" s="318" t="n">
        <v>0</v>
      </c>
      <c r="AS292" s="318" t="n">
        <v>0</v>
      </c>
      <c r="AT292" s="318" t="n">
        <v>0</v>
      </c>
      <c r="AU292" s="318" t="n">
        <v>0</v>
      </c>
      <c r="AV292" s="318" t="n">
        <v>0</v>
      </c>
      <c r="AW292" s="318" t="n">
        <v>-0.0525</v>
      </c>
      <c r="AX292" s="318" t="n">
        <v>-0.06</v>
      </c>
      <c r="BD292" s="318" t="n">
        <v>-0.0525</v>
      </c>
      <c r="BF292" s="318" t="n">
        <v>0</v>
      </c>
      <c r="BJ292" s="318" t="n">
        <v>0.46</v>
      </c>
      <c r="BL292" s="318" t="n">
        <v>0</v>
      </c>
      <c r="BM292" s="318" t="n">
        <v>0.005</v>
      </c>
      <c r="BO292" s="318" t="n">
        <v>0</v>
      </c>
      <c r="BP292" s="318" t="n">
        <v>0</v>
      </c>
      <c r="BQ292" s="318" t="n">
        <v>0</v>
      </c>
      <c r="BR292" s="318" t="n">
        <v>0.055</v>
      </c>
      <c r="BS292" s="0"/>
      <c r="BT292" s="0" t="n">
        <v>0</v>
      </c>
      <c r="BU292" s="0" t="n">
        <v>0</v>
      </c>
      <c r="BV292" s="0" t="n">
        <v>0</v>
      </c>
    </row>
    <row r="293" customFormat="false" ht="12.75" hidden="false" customHeight="false" outlineLevel="0" collapsed="false">
      <c r="A293" s="320"/>
      <c r="B293" s="320"/>
      <c r="C293" s="327" t="n">
        <f aca="false">EOMONTH(C292,0)+1</f>
        <v>46023</v>
      </c>
      <c r="D293" s="0"/>
      <c r="F293" s="320" t="n">
        <v>0.0640700941054706</v>
      </c>
      <c r="O293" s="318"/>
      <c r="V293" s="330" t="n">
        <v>0</v>
      </c>
      <c r="W293" s="318" t="n">
        <v>0.215</v>
      </c>
      <c r="X293" s="318" t="n">
        <v>0.29</v>
      </c>
      <c r="AM293" s="318" t="n">
        <v>0.98</v>
      </c>
      <c r="AN293" s="318" t="n">
        <v>-0.045</v>
      </c>
      <c r="AO293" s="318" t="n">
        <v>0</v>
      </c>
      <c r="AP293" s="318" t="n">
        <v>-0.07</v>
      </c>
      <c r="AQ293" s="318" t="n">
        <v>0</v>
      </c>
      <c r="AS293" s="318" t="n">
        <v>0</v>
      </c>
      <c r="AT293" s="318" t="n">
        <v>0</v>
      </c>
      <c r="AU293" s="318" t="n">
        <v>0</v>
      </c>
      <c r="AV293" s="318" t="n">
        <v>0</v>
      </c>
      <c r="AW293" s="318" t="n">
        <v>-0.075</v>
      </c>
      <c r="AX293" s="318" t="n">
        <v>-0.06</v>
      </c>
      <c r="BD293" s="318" t="n">
        <v>-0.075</v>
      </c>
      <c r="BF293" s="318" t="n">
        <v>0</v>
      </c>
      <c r="BJ293" s="318" t="n">
        <v>0.77</v>
      </c>
      <c r="BL293" s="318" t="n">
        <v>0</v>
      </c>
      <c r="BM293" s="318" t="n">
        <v>0.005</v>
      </c>
      <c r="BO293" s="318" t="n">
        <v>0</v>
      </c>
      <c r="BP293" s="318" t="n">
        <v>0</v>
      </c>
      <c r="BQ293" s="318" t="n">
        <v>0</v>
      </c>
      <c r="BR293" s="318" t="n">
        <v>0.25</v>
      </c>
      <c r="BS293" s="0"/>
      <c r="BT293" s="0" t="n">
        <v>0</v>
      </c>
      <c r="BU293" s="0" t="n">
        <v>0</v>
      </c>
      <c r="BV293" s="0" t="n">
        <v>0</v>
      </c>
    </row>
    <row r="294" customFormat="false" ht="12.75" hidden="false" customHeight="false" outlineLevel="0" collapsed="false">
      <c r="A294" s="320"/>
      <c r="B294" s="320"/>
      <c r="C294" s="327" t="n">
        <f aca="false">EOMONTH(C293,0)+1</f>
        <v>46054</v>
      </c>
      <c r="D294" s="0"/>
      <c r="F294" s="320" t="n">
        <v>0.0640632520248006</v>
      </c>
      <c r="V294" s="318" t="n">
        <v>0</v>
      </c>
      <c r="W294" s="330" t="n">
        <v>0.235</v>
      </c>
      <c r="X294" s="318" t="n">
        <v>0.34</v>
      </c>
      <c r="AM294" s="318" t="n">
        <v>1.6</v>
      </c>
      <c r="AN294" s="318" t="n">
        <v>-0.0475</v>
      </c>
      <c r="AO294" s="318" t="n">
        <v>0</v>
      </c>
      <c r="AP294" s="318" t="n">
        <v>-0.07</v>
      </c>
      <c r="AQ294" s="318" t="n">
        <v>0</v>
      </c>
      <c r="AS294" s="318" t="n">
        <v>0</v>
      </c>
      <c r="AT294" s="318" t="n">
        <v>0</v>
      </c>
      <c r="AU294" s="318" t="n">
        <v>0</v>
      </c>
      <c r="AV294" s="318" t="n">
        <v>0</v>
      </c>
      <c r="AW294" s="318" t="n">
        <v>-0.0775</v>
      </c>
      <c r="AX294" s="318" t="n">
        <v>-0.06</v>
      </c>
      <c r="BD294" s="318" t="n">
        <v>-0.0775</v>
      </c>
      <c r="BF294" s="318" t="n">
        <v>0</v>
      </c>
      <c r="BJ294" s="318" t="n">
        <v>1.04</v>
      </c>
      <c r="BL294" s="318" t="n">
        <v>0</v>
      </c>
      <c r="BM294" s="318" t="n">
        <v>0.005</v>
      </c>
      <c r="BO294" s="318" t="n">
        <v>0</v>
      </c>
      <c r="BP294" s="318" t="n">
        <v>0</v>
      </c>
      <c r="BQ294" s="318" t="n">
        <v>0</v>
      </c>
      <c r="BR294" s="318" t="n">
        <v>0.45</v>
      </c>
      <c r="BS294" s="0"/>
      <c r="BT294" s="0" t="n">
        <v>0</v>
      </c>
      <c r="BU294" s="0" t="n">
        <v>0</v>
      </c>
      <c r="BV294" s="0" t="n">
        <v>0</v>
      </c>
    </row>
    <row r="295" customFormat="false" ht="12.75" hidden="false" customHeight="false" outlineLevel="0" collapsed="false">
      <c r="A295" s="320"/>
      <c r="B295" s="320"/>
      <c r="C295" s="327" t="n">
        <f aca="false">EOMONTH(C294,0)+1</f>
        <v>46082</v>
      </c>
      <c r="D295" s="0"/>
      <c r="F295" s="320" t="n">
        <v>0.0640564099441461</v>
      </c>
      <c r="V295" s="318" t="n">
        <v>0</v>
      </c>
      <c r="W295" s="330" t="n">
        <v>0.235</v>
      </c>
      <c r="X295" s="318" t="n">
        <v>0.34</v>
      </c>
      <c r="AM295" s="318" t="n">
        <v>1.6</v>
      </c>
      <c r="AN295" s="318" t="n">
        <v>-0.03</v>
      </c>
      <c r="AO295" s="318" t="n">
        <v>0</v>
      </c>
      <c r="AP295" s="318" t="n">
        <v>-0.07</v>
      </c>
      <c r="AQ295" s="318" t="n">
        <v>0</v>
      </c>
      <c r="AS295" s="318" t="n">
        <v>0</v>
      </c>
      <c r="AT295" s="318" t="n">
        <v>0</v>
      </c>
      <c r="AU295" s="318" t="n">
        <v>0</v>
      </c>
      <c r="AV295" s="318" t="n">
        <v>0</v>
      </c>
      <c r="AW295" s="318" t="n">
        <v>-0.06</v>
      </c>
      <c r="AX295" s="318" t="n">
        <v>-0.06</v>
      </c>
      <c r="BD295" s="318" t="n">
        <v>-0.06</v>
      </c>
      <c r="BF295" s="318" t="n">
        <v>0</v>
      </c>
      <c r="BJ295" s="318" t="n">
        <v>1.04</v>
      </c>
      <c r="BL295" s="318" t="n">
        <v>0</v>
      </c>
      <c r="BM295" s="318" t="n">
        <v>0.005</v>
      </c>
      <c r="BO295" s="318" t="n">
        <v>0</v>
      </c>
      <c r="BP295" s="318" t="n">
        <v>0</v>
      </c>
      <c r="BQ295" s="318" t="n">
        <v>0</v>
      </c>
      <c r="BR295" s="318" t="n">
        <v>0.45</v>
      </c>
      <c r="BS295" s="0"/>
      <c r="BT295" s="0" t="n">
        <v>0</v>
      </c>
      <c r="BU295" s="0" t="n">
        <v>0</v>
      </c>
      <c r="BV295" s="0" t="n">
        <v>0</v>
      </c>
    </row>
    <row r="296" customFormat="false" ht="12.75" hidden="false" customHeight="false" outlineLevel="0" collapsed="false">
      <c r="A296" s="320"/>
      <c r="B296" s="320"/>
      <c r="C296" s="327" t="n">
        <f aca="false">EOMONTH(C295,0)+1</f>
        <v>46113</v>
      </c>
      <c r="D296" s="0"/>
      <c r="F296" s="320" t="n">
        <v>0.0640502300003423</v>
      </c>
      <c r="V296" s="318" t="n">
        <v>0</v>
      </c>
      <c r="W296" s="330" t="n">
        <v>0.195</v>
      </c>
      <c r="X296" s="318" t="n">
        <v>0.29</v>
      </c>
      <c r="AM296" s="318" t="n">
        <v>0.64</v>
      </c>
      <c r="AN296" s="318" t="n">
        <v>-0.0175</v>
      </c>
      <c r="AO296" s="318" t="n">
        <v>0</v>
      </c>
      <c r="AP296" s="318" t="n">
        <v>-0.07</v>
      </c>
      <c r="AQ296" s="318" t="n">
        <v>0</v>
      </c>
      <c r="AS296" s="318" t="n">
        <v>0</v>
      </c>
      <c r="AT296" s="318" t="n">
        <v>0</v>
      </c>
      <c r="AU296" s="318" t="n">
        <v>0</v>
      </c>
      <c r="AV296" s="318" t="n">
        <v>0</v>
      </c>
      <c r="AW296" s="318" t="n">
        <v>-0.0475</v>
      </c>
      <c r="AX296" s="318" t="n">
        <v>-0.06</v>
      </c>
      <c r="BD296" s="318" t="n">
        <v>-0.0475</v>
      </c>
      <c r="BF296" s="318" t="n">
        <v>0</v>
      </c>
      <c r="BJ296" s="318" t="n">
        <v>0.54</v>
      </c>
      <c r="BL296" s="318" t="n">
        <v>0</v>
      </c>
      <c r="BM296" s="318" t="n">
        <v>0.005</v>
      </c>
      <c r="BO296" s="318" t="n">
        <v>0</v>
      </c>
      <c r="BP296" s="318" t="n">
        <v>0</v>
      </c>
      <c r="BQ296" s="318" t="n">
        <v>0</v>
      </c>
      <c r="BR296" s="318" t="n">
        <v>0.1</v>
      </c>
      <c r="BS296" s="0"/>
      <c r="BT296" s="0" t="n">
        <v>0</v>
      </c>
      <c r="BU296" s="0" t="n">
        <v>0</v>
      </c>
      <c r="BV296" s="0" t="n">
        <v>0</v>
      </c>
    </row>
    <row r="297" customFormat="false" ht="12.75" hidden="false" customHeight="false" outlineLevel="0" collapsed="false">
      <c r="A297" s="320"/>
      <c r="B297" s="320"/>
      <c r="C297" s="327" t="n">
        <f aca="false">EOMONTH(C296,0)+1</f>
        <v>46143</v>
      </c>
      <c r="D297" s="0"/>
      <c r="F297" s="320" t="n">
        <v>0.0640433879197175</v>
      </c>
      <c r="V297" s="318" t="n">
        <v>0</v>
      </c>
      <c r="W297" s="330" t="n">
        <v>0.145</v>
      </c>
      <c r="X297" s="318" t="n">
        <v>0.195</v>
      </c>
      <c r="AM297" s="318" t="n">
        <v>0.38</v>
      </c>
      <c r="AN297" s="318" t="n">
        <v>0.02</v>
      </c>
      <c r="AO297" s="318" t="n">
        <v>0</v>
      </c>
      <c r="AP297" s="318" t="n">
        <v>-0.07</v>
      </c>
      <c r="AQ297" s="318" t="n">
        <v>0</v>
      </c>
      <c r="AS297" s="318" t="n">
        <v>0</v>
      </c>
      <c r="AT297" s="318" t="n">
        <v>0</v>
      </c>
      <c r="AU297" s="318" t="n">
        <v>0</v>
      </c>
      <c r="AV297" s="318" t="n">
        <v>0</v>
      </c>
      <c r="AW297" s="318" t="n">
        <v>-0.01</v>
      </c>
      <c r="AX297" s="318" t="n">
        <v>-0.06</v>
      </c>
      <c r="BD297" s="318" t="n">
        <v>-0.01</v>
      </c>
      <c r="BF297" s="318" t="n">
        <v>0</v>
      </c>
      <c r="BJ297" s="318" t="n">
        <v>0.36</v>
      </c>
      <c r="BL297" s="318" t="n">
        <v>0</v>
      </c>
      <c r="BM297" s="318" t="n">
        <v>0.005</v>
      </c>
      <c r="BO297" s="318" t="n">
        <v>0</v>
      </c>
      <c r="BP297" s="318" t="n">
        <v>0</v>
      </c>
      <c r="BQ297" s="318" t="n">
        <v>0</v>
      </c>
      <c r="BR297" s="318" t="n">
        <v>0.02</v>
      </c>
      <c r="BS297" s="0"/>
      <c r="BT297" s="0" t="n">
        <v>0</v>
      </c>
      <c r="BU297" s="0" t="n">
        <v>0</v>
      </c>
      <c r="BV297" s="0" t="n">
        <v>0</v>
      </c>
    </row>
    <row r="298" customFormat="false" ht="12.75" hidden="false" customHeight="false" outlineLevel="0" collapsed="false">
      <c r="A298" s="320"/>
      <c r="B298" s="320"/>
      <c r="C298" s="327" t="n">
        <f aca="false">EOMONTH(C297,0)+1</f>
        <v>46174</v>
      </c>
      <c r="D298" s="0"/>
      <c r="F298" s="320" t="n">
        <v>0.0640367665513857</v>
      </c>
      <c r="V298" s="318" t="n">
        <v>0</v>
      </c>
      <c r="W298" s="330" t="n">
        <v>0.125</v>
      </c>
      <c r="X298" s="318" t="n">
        <v>0.135</v>
      </c>
      <c r="AM298" s="318" t="n">
        <v>0.33</v>
      </c>
      <c r="AN298" s="318" t="n">
        <v>0.02</v>
      </c>
      <c r="AO298" s="318" t="n">
        <v>0</v>
      </c>
      <c r="AP298" s="318" t="n">
        <v>-0.07</v>
      </c>
      <c r="AQ298" s="318" t="n">
        <v>0</v>
      </c>
      <c r="AS298" s="318" t="n">
        <v>0</v>
      </c>
      <c r="AT298" s="318" t="n">
        <v>0</v>
      </c>
      <c r="AU298" s="318" t="n">
        <v>0</v>
      </c>
      <c r="AV298" s="318" t="n">
        <v>0</v>
      </c>
      <c r="AW298" s="318" t="n">
        <v>-0.01</v>
      </c>
      <c r="AX298" s="318" t="n">
        <v>-0.06</v>
      </c>
      <c r="BD298" s="318" t="n">
        <v>-0.01</v>
      </c>
      <c r="BF298" s="318" t="n">
        <v>0</v>
      </c>
      <c r="BJ298" s="318" t="n">
        <v>0.325</v>
      </c>
      <c r="BL298" s="318" t="n">
        <v>0</v>
      </c>
      <c r="BM298" s="318" t="n">
        <v>0.005</v>
      </c>
      <c r="BO298" s="318" t="n">
        <v>0</v>
      </c>
      <c r="BP298" s="318" t="n">
        <v>0</v>
      </c>
      <c r="BQ298" s="318" t="n">
        <v>0</v>
      </c>
      <c r="BR298" s="318" t="n">
        <v>0.02</v>
      </c>
      <c r="BS298" s="0"/>
      <c r="BT298" s="0" t="n">
        <v>0</v>
      </c>
      <c r="BU298" s="0" t="n">
        <v>0</v>
      </c>
      <c r="BV298" s="0" t="n">
        <v>0</v>
      </c>
    </row>
    <row r="299" customFormat="false" ht="12.75" hidden="false" customHeight="false" outlineLevel="0" collapsed="false">
      <c r="A299" s="320"/>
      <c r="B299" s="320"/>
      <c r="C299" s="327" t="n">
        <f aca="false">EOMONTH(C298,0)+1</f>
        <v>46204</v>
      </c>
      <c r="D299" s="0"/>
      <c r="F299" s="320" t="n">
        <v>0.0640299244707907</v>
      </c>
      <c r="V299" s="318" t="n">
        <v>0</v>
      </c>
      <c r="W299" s="330" t="n">
        <v>0.145</v>
      </c>
      <c r="X299" s="318" t="n">
        <v>0.165</v>
      </c>
      <c r="AM299" s="318" t="n">
        <v>0.37</v>
      </c>
      <c r="AN299" s="318" t="n">
        <v>0.025</v>
      </c>
      <c r="AO299" s="318" t="n">
        <v>0</v>
      </c>
      <c r="AP299" s="318" t="n">
        <v>-0.07</v>
      </c>
      <c r="AQ299" s="318" t="n">
        <v>0</v>
      </c>
      <c r="AS299" s="318" t="n">
        <v>0</v>
      </c>
      <c r="AT299" s="318" t="n">
        <v>0</v>
      </c>
      <c r="AU299" s="318" t="n">
        <v>0</v>
      </c>
      <c r="AV299" s="318" t="n">
        <v>0</v>
      </c>
      <c r="AW299" s="318" t="n">
        <v>-0.005</v>
      </c>
      <c r="AX299" s="318" t="n">
        <v>-0.06</v>
      </c>
      <c r="BD299" s="318" t="n">
        <v>-0.005</v>
      </c>
      <c r="BF299" s="318" t="n">
        <v>0</v>
      </c>
      <c r="BJ299" s="318" t="n">
        <v>0.335</v>
      </c>
      <c r="BL299" s="318" t="n">
        <v>0</v>
      </c>
      <c r="BM299" s="318" t="n">
        <v>0.005</v>
      </c>
      <c r="BO299" s="318" t="n">
        <v>0</v>
      </c>
      <c r="BP299" s="318" t="n">
        <v>0</v>
      </c>
      <c r="BQ299" s="318" t="n">
        <v>0</v>
      </c>
      <c r="BR299" s="318" t="n">
        <v>0.035</v>
      </c>
      <c r="BS299" s="0"/>
      <c r="BT299" s="0" t="n">
        <v>0</v>
      </c>
      <c r="BU299" s="0" t="n">
        <v>0</v>
      </c>
      <c r="BV299" s="0" t="n">
        <v>0</v>
      </c>
    </row>
    <row r="300" customFormat="false" ht="12.75" hidden="false" customHeight="false" outlineLevel="0" collapsed="false">
      <c r="A300" s="320"/>
      <c r="B300" s="320"/>
      <c r="C300" s="327" t="n">
        <f aca="false">EOMONTH(C299,0)+1</f>
        <v>46235</v>
      </c>
      <c r="D300" s="0"/>
      <c r="F300" s="320" t="n">
        <v>0.0640233031024882</v>
      </c>
      <c r="V300" s="318" t="n">
        <v>0</v>
      </c>
      <c r="W300" s="330" t="n">
        <v>0.15</v>
      </c>
      <c r="X300" s="318" t="n">
        <v>0.205</v>
      </c>
      <c r="AM300" s="318" t="n">
        <v>0.41</v>
      </c>
      <c r="AN300" s="318" t="n">
        <v>0.0275</v>
      </c>
      <c r="AO300" s="318" t="n">
        <v>0</v>
      </c>
      <c r="AP300" s="318" t="n">
        <v>-0.07</v>
      </c>
      <c r="AQ300" s="318" t="n">
        <v>0</v>
      </c>
      <c r="AS300" s="318" t="n">
        <v>0</v>
      </c>
      <c r="AT300" s="318" t="n">
        <v>0</v>
      </c>
      <c r="AU300" s="318" t="n">
        <v>0</v>
      </c>
      <c r="AV300" s="318" t="n">
        <v>0</v>
      </c>
      <c r="AW300" s="318" t="n">
        <v>-0.0025</v>
      </c>
      <c r="AX300" s="318" t="n">
        <v>-0.06</v>
      </c>
      <c r="BD300" s="318" t="n">
        <v>-0.0025</v>
      </c>
      <c r="BF300" s="318" t="n">
        <v>0</v>
      </c>
      <c r="BJ300" s="318" t="n">
        <v>0.35</v>
      </c>
      <c r="BL300" s="318" t="n">
        <v>0</v>
      </c>
      <c r="BM300" s="318" t="n">
        <v>0.005</v>
      </c>
      <c r="BO300" s="318" t="n">
        <v>0</v>
      </c>
      <c r="BP300" s="318" t="n">
        <v>0</v>
      </c>
      <c r="BQ300" s="318" t="n">
        <v>0</v>
      </c>
      <c r="BR300" s="318" t="n">
        <v>0.035</v>
      </c>
      <c r="BS300" s="0"/>
      <c r="BT300" s="0" t="n">
        <v>0</v>
      </c>
      <c r="BU300" s="0" t="n">
        <v>0</v>
      </c>
      <c r="BV300" s="0" t="n">
        <v>0</v>
      </c>
    </row>
    <row r="301" customFormat="false" ht="12.75" hidden="false" customHeight="false" outlineLevel="0" collapsed="false">
      <c r="A301" s="320"/>
      <c r="B301" s="320"/>
      <c r="C301" s="327" t="n">
        <f aca="false">EOMONTH(C300,0)+1</f>
        <v>46266</v>
      </c>
      <c r="D301" s="0"/>
      <c r="F301" s="320" t="n">
        <v>0.0640164610219243</v>
      </c>
      <c r="V301" s="318" t="n">
        <v>0</v>
      </c>
      <c r="W301" s="330" t="n">
        <v>0.15</v>
      </c>
      <c r="X301" s="318" t="n">
        <v>0.205</v>
      </c>
      <c r="AM301" s="318" t="n">
        <v>0.41</v>
      </c>
      <c r="AN301" s="318" t="n">
        <v>0.03</v>
      </c>
      <c r="AO301" s="318" t="n">
        <v>0</v>
      </c>
      <c r="AP301" s="318" t="n">
        <v>-0.07</v>
      </c>
      <c r="AQ301" s="318" t="n">
        <v>0</v>
      </c>
      <c r="AS301" s="318" t="n">
        <v>0</v>
      </c>
      <c r="AT301" s="318" t="n">
        <v>0</v>
      </c>
      <c r="AU301" s="318" t="n">
        <v>0</v>
      </c>
      <c r="AV301" s="318" t="n">
        <v>0</v>
      </c>
      <c r="AW301" s="318" t="n">
        <v>0</v>
      </c>
      <c r="AX301" s="318" t="n">
        <v>-0.06</v>
      </c>
      <c r="BD301" s="318" t="n">
        <v>0</v>
      </c>
      <c r="BF301" s="318" t="n">
        <v>0</v>
      </c>
      <c r="BJ301" s="318" t="n">
        <v>0.35</v>
      </c>
      <c r="BL301" s="318" t="n">
        <v>0</v>
      </c>
      <c r="BM301" s="318" t="n">
        <v>0.005</v>
      </c>
      <c r="BO301" s="318" t="n">
        <v>0</v>
      </c>
      <c r="BP301" s="318" t="n">
        <v>0</v>
      </c>
      <c r="BQ301" s="318" t="n">
        <v>0</v>
      </c>
      <c r="BR301" s="318" t="n">
        <v>0.01</v>
      </c>
      <c r="BS301" s="0"/>
      <c r="BT301" s="0" t="n">
        <v>0</v>
      </c>
      <c r="BU301" s="0" t="n">
        <v>0</v>
      </c>
      <c r="BV301" s="0" t="n">
        <v>0</v>
      </c>
    </row>
    <row r="302" customFormat="false" ht="12.75" hidden="false" customHeight="false" outlineLevel="0" collapsed="false">
      <c r="A302" s="320"/>
      <c r="B302" s="320"/>
      <c r="C302" s="327" t="n">
        <f aca="false">EOMONTH(C301,0)+1</f>
        <v>46296</v>
      </c>
      <c r="D302" s="0"/>
      <c r="F302" s="320" t="n">
        <v>0.0640096189413759</v>
      </c>
      <c r="V302" s="318" t="n">
        <v>0</v>
      </c>
      <c r="W302" s="330" t="n">
        <v>0.125</v>
      </c>
      <c r="X302" s="318" t="n">
        <v>0.145</v>
      </c>
      <c r="AM302" s="318" t="n">
        <v>0.36</v>
      </c>
      <c r="AN302" s="318" t="n">
        <v>0.0225</v>
      </c>
      <c r="AO302" s="318" t="n">
        <v>0</v>
      </c>
      <c r="AP302" s="318" t="n">
        <v>-0.07</v>
      </c>
      <c r="AQ302" s="318" t="n">
        <v>0</v>
      </c>
      <c r="AS302" s="318" t="n">
        <v>0</v>
      </c>
      <c r="AT302" s="318" t="n">
        <v>0</v>
      </c>
      <c r="AU302" s="318" t="n">
        <v>0</v>
      </c>
      <c r="AV302" s="318" t="n">
        <v>0</v>
      </c>
      <c r="AW302" s="318" t="n">
        <v>-0.0075</v>
      </c>
      <c r="AX302" s="318" t="n">
        <v>-0.06</v>
      </c>
      <c r="BD302" s="318" t="n">
        <v>-0.0075</v>
      </c>
      <c r="BF302" s="318" t="n">
        <v>0</v>
      </c>
      <c r="BJ302" s="318" t="n">
        <v>0.315</v>
      </c>
      <c r="BL302" s="318" t="n">
        <v>0</v>
      </c>
      <c r="BM302" s="318" t="n">
        <v>0.005</v>
      </c>
      <c r="BO302" s="318" t="n">
        <v>0</v>
      </c>
      <c r="BP302" s="318" t="n">
        <v>0</v>
      </c>
      <c r="BQ302" s="318" t="n">
        <v>0</v>
      </c>
      <c r="BR302" s="318" t="n">
        <v>0.01</v>
      </c>
      <c r="BS302" s="0"/>
      <c r="BT302" s="0" t="n">
        <v>0</v>
      </c>
      <c r="BU302" s="0" t="n">
        <v>0</v>
      </c>
      <c r="BV302" s="0" t="n">
        <v>0</v>
      </c>
    </row>
    <row r="303" customFormat="false" ht="12.75" hidden="false" customHeight="false" outlineLevel="0" collapsed="false">
      <c r="A303" s="320"/>
      <c r="B303" s="320"/>
      <c r="C303" s="327" t="n">
        <f aca="false">EOMONTH(C302,0)+1</f>
        <v>46327</v>
      </c>
      <c r="D303" s="0"/>
      <c r="F303" s="320" t="n">
        <v>0.0640029975731178</v>
      </c>
      <c r="V303" s="318" t="n">
        <v>0</v>
      </c>
      <c r="W303" s="330" t="n">
        <v>0.145</v>
      </c>
      <c r="X303" s="318" t="n">
        <v>0.175</v>
      </c>
      <c r="AM303" s="318" t="n">
        <v>0.4</v>
      </c>
      <c r="AN303" s="318" t="n">
        <v>0.0125</v>
      </c>
      <c r="AO303" s="318" t="n">
        <v>0</v>
      </c>
      <c r="AP303" s="318" t="n">
        <v>-0.07</v>
      </c>
      <c r="AQ303" s="318" t="n">
        <v>0</v>
      </c>
      <c r="AS303" s="318" t="n">
        <v>0</v>
      </c>
      <c r="AT303" s="318" t="n">
        <v>0</v>
      </c>
      <c r="AU303" s="318" t="n">
        <v>0</v>
      </c>
      <c r="AV303" s="318" t="n">
        <v>0</v>
      </c>
      <c r="AW303" s="318" t="n">
        <v>-0.0175</v>
      </c>
      <c r="AX303" s="318" t="n">
        <v>-0.06</v>
      </c>
      <c r="BD303" s="318" t="n">
        <v>-0.0175</v>
      </c>
      <c r="BF303" s="318" t="n">
        <v>0</v>
      </c>
      <c r="BJ303" s="318" t="n">
        <v>0.36</v>
      </c>
      <c r="BL303" s="318" t="n">
        <v>0</v>
      </c>
      <c r="BM303" s="318" t="n">
        <v>0.005</v>
      </c>
      <c r="BO303" s="318" t="n">
        <v>0</v>
      </c>
      <c r="BP303" s="318" t="n">
        <v>0</v>
      </c>
      <c r="BQ303" s="318" t="n">
        <v>0</v>
      </c>
      <c r="BR303" s="318" t="n">
        <v>0.01</v>
      </c>
      <c r="BS303" s="0"/>
      <c r="BT303" s="0" t="n">
        <v>0</v>
      </c>
      <c r="BU303" s="0" t="n">
        <v>0</v>
      </c>
      <c r="BV303" s="0" t="n">
        <v>0</v>
      </c>
    </row>
    <row r="304" customFormat="false" ht="12.75" hidden="false" customHeight="false" outlineLevel="0" collapsed="false">
      <c r="A304" s="320"/>
      <c r="B304" s="320"/>
      <c r="C304" s="327" t="n">
        <f aca="false">EOMONTH(C303,0)+1</f>
        <v>46357</v>
      </c>
      <c r="D304" s="0"/>
      <c r="F304" s="320" t="n">
        <v>0.0639961554926001</v>
      </c>
      <c r="V304" s="318" t="n">
        <v>0</v>
      </c>
      <c r="W304" s="330" t="n">
        <v>0.195</v>
      </c>
      <c r="X304" s="318" t="n">
        <v>0.21</v>
      </c>
      <c r="AM304" s="318" t="n">
        <v>0.65</v>
      </c>
      <c r="AN304" s="318" t="n">
        <v>-0.0225</v>
      </c>
      <c r="AO304" s="318" t="n">
        <v>0</v>
      </c>
      <c r="AP304" s="318" t="n">
        <v>-0.07</v>
      </c>
      <c r="AQ304" s="318" t="n">
        <v>0</v>
      </c>
      <c r="AS304" s="318" t="n">
        <v>0</v>
      </c>
      <c r="AT304" s="318" t="n">
        <v>0</v>
      </c>
      <c r="AU304" s="318" t="n">
        <v>0</v>
      </c>
      <c r="AV304" s="318" t="n">
        <v>0</v>
      </c>
      <c r="AW304" s="318" t="n">
        <v>-0.0525</v>
      </c>
      <c r="AX304" s="318" t="n">
        <v>-0.06</v>
      </c>
      <c r="BD304" s="318" t="n">
        <v>-0.0525</v>
      </c>
      <c r="BF304" s="318" t="n">
        <v>0</v>
      </c>
      <c r="BJ304" s="318" t="n">
        <v>0.46</v>
      </c>
      <c r="BL304" s="318" t="n">
        <v>0</v>
      </c>
      <c r="BM304" s="318" t="n">
        <v>0.005</v>
      </c>
      <c r="BO304" s="318" t="n">
        <v>0</v>
      </c>
      <c r="BP304" s="318" t="n">
        <v>0</v>
      </c>
      <c r="BQ304" s="318" t="n">
        <v>0</v>
      </c>
      <c r="BR304" s="318" t="n">
        <v>0.055</v>
      </c>
      <c r="BS304" s="0"/>
      <c r="BT304" s="0" t="n">
        <v>0</v>
      </c>
      <c r="BU304" s="0" t="n">
        <v>0</v>
      </c>
      <c r="BV304" s="0" t="n">
        <v>0</v>
      </c>
    </row>
    <row r="305" customFormat="false" ht="12.75" hidden="false" customHeight="false" outlineLevel="0" collapsed="false">
      <c r="A305" s="320"/>
      <c r="B305" s="320"/>
      <c r="C305" s="327" t="n">
        <f aca="false">EOMONTH(C304,0)+1</f>
        <v>46388</v>
      </c>
      <c r="D305" s="0"/>
      <c r="F305" s="320" t="n">
        <v>0.0639895341243717</v>
      </c>
      <c r="V305" s="318" t="n">
        <v>0</v>
      </c>
      <c r="W305" s="330" t="n">
        <v>0.215</v>
      </c>
      <c r="X305" s="318" t="n">
        <v>0.29</v>
      </c>
      <c r="AM305" s="318" t="n">
        <v>0.98</v>
      </c>
      <c r="AN305" s="318" t="n">
        <v>-0.045</v>
      </c>
      <c r="AO305" s="318" t="n">
        <v>0</v>
      </c>
      <c r="AP305" s="318" t="n">
        <v>-0.07</v>
      </c>
      <c r="AQ305" s="318" t="n">
        <v>0</v>
      </c>
      <c r="AS305" s="318" t="n">
        <v>0</v>
      </c>
      <c r="AT305" s="318" t="n">
        <v>0</v>
      </c>
      <c r="AU305" s="318" t="n">
        <v>0</v>
      </c>
      <c r="AV305" s="318" t="n">
        <v>0</v>
      </c>
      <c r="AW305" s="318" t="n">
        <v>-0.075</v>
      </c>
      <c r="AX305" s="318" t="n">
        <v>-0.06</v>
      </c>
      <c r="BD305" s="318" t="n">
        <v>-0.075</v>
      </c>
      <c r="BF305" s="318" t="n">
        <v>0</v>
      </c>
      <c r="BJ305" s="318" t="n">
        <v>0.77</v>
      </c>
      <c r="BL305" s="318" t="n">
        <v>0</v>
      </c>
      <c r="BM305" s="318" t="n">
        <v>0.005</v>
      </c>
      <c r="BO305" s="318" t="n">
        <v>0</v>
      </c>
      <c r="BP305" s="318" t="n">
        <v>0</v>
      </c>
      <c r="BQ305" s="318" t="n">
        <v>0</v>
      </c>
      <c r="BR305" s="318" t="n">
        <v>0.25</v>
      </c>
      <c r="BS305" s="0"/>
      <c r="BT305" s="0" t="n">
        <v>0</v>
      </c>
      <c r="BU305" s="0" t="n">
        <v>0</v>
      </c>
      <c r="BV305" s="0" t="n">
        <v>0</v>
      </c>
    </row>
    <row r="306" customFormat="false" ht="12.75" hidden="false" customHeight="false" outlineLevel="0" collapsed="false">
      <c r="A306" s="320"/>
      <c r="B306" s="320"/>
      <c r="C306" s="327" t="n">
        <f aca="false">EOMONTH(C305,0)+1</f>
        <v>46419</v>
      </c>
      <c r="D306" s="0"/>
      <c r="F306" s="320" t="n">
        <v>0.0639826920438842</v>
      </c>
      <c r="V306" s="318" t="n">
        <v>0</v>
      </c>
      <c r="W306" s="330" t="n">
        <v>0.235</v>
      </c>
      <c r="X306" s="318" t="n">
        <v>0.34</v>
      </c>
      <c r="AM306" s="318" t="n">
        <v>1.6</v>
      </c>
      <c r="AN306" s="318" t="n">
        <v>-0.0475</v>
      </c>
      <c r="AO306" s="318" t="n">
        <v>0</v>
      </c>
      <c r="AP306" s="318" t="n">
        <v>-0.07</v>
      </c>
      <c r="AQ306" s="318" t="n">
        <v>0</v>
      </c>
      <c r="AS306" s="318" t="n">
        <v>0</v>
      </c>
      <c r="AT306" s="318" t="n">
        <v>0</v>
      </c>
      <c r="AU306" s="318" t="n">
        <v>0</v>
      </c>
      <c r="AV306" s="318" t="n">
        <v>0</v>
      </c>
      <c r="AW306" s="318" t="n">
        <v>-0.0775</v>
      </c>
      <c r="AX306" s="318" t="n">
        <v>-0.06</v>
      </c>
      <c r="BD306" s="318" t="n">
        <v>-0.0775</v>
      </c>
      <c r="BF306" s="318" t="n">
        <v>0</v>
      </c>
      <c r="BJ306" s="318" t="n">
        <v>1.04</v>
      </c>
      <c r="BL306" s="318" t="n">
        <v>0</v>
      </c>
      <c r="BM306" s="318" t="n">
        <v>0.005</v>
      </c>
      <c r="BO306" s="318" t="n">
        <v>0</v>
      </c>
      <c r="BP306" s="318" t="n">
        <v>0</v>
      </c>
      <c r="BQ306" s="318" t="n">
        <v>0</v>
      </c>
      <c r="BR306" s="318" t="n">
        <v>0.45</v>
      </c>
      <c r="BS306" s="0"/>
      <c r="BT306" s="0" t="n">
        <v>0</v>
      </c>
      <c r="BU306" s="0" t="n">
        <v>0</v>
      </c>
      <c r="BV306" s="0" t="n">
        <v>0</v>
      </c>
    </row>
    <row r="307" customFormat="false" ht="12.75" hidden="false" customHeight="false" outlineLevel="0" collapsed="false">
      <c r="C307" s="327" t="n">
        <f aca="false">EOMONTH(C306,0)+1</f>
        <v>46447</v>
      </c>
      <c r="F307" s="320" t="n">
        <v>0.0639758499634122</v>
      </c>
      <c r="V307" s="318" t="n">
        <v>0</v>
      </c>
      <c r="W307" s="330" t="n">
        <v>0.235</v>
      </c>
      <c r="X307" s="318" t="n">
        <v>0.34</v>
      </c>
      <c r="AM307" s="318" t="n">
        <v>1.6</v>
      </c>
      <c r="AN307" s="318" t="n">
        <v>-0.03</v>
      </c>
      <c r="AO307" s="318" t="n">
        <v>0</v>
      </c>
      <c r="AP307" s="318" t="n">
        <v>-0.07</v>
      </c>
      <c r="AQ307" s="318" t="n">
        <v>0</v>
      </c>
      <c r="AS307" s="318" t="n">
        <v>0</v>
      </c>
      <c r="AT307" s="318" t="n">
        <v>0</v>
      </c>
      <c r="AU307" s="318" t="n">
        <v>0</v>
      </c>
      <c r="AV307" s="318" t="n">
        <v>0</v>
      </c>
      <c r="AW307" s="318" t="n">
        <v>-0.06</v>
      </c>
      <c r="AX307" s="318" t="n">
        <v>-0.06</v>
      </c>
      <c r="BD307" s="318" t="n">
        <v>-0.06</v>
      </c>
      <c r="BF307" s="318" t="n">
        <v>0</v>
      </c>
      <c r="BJ307" s="318" t="n">
        <v>1.04</v>
      </c>
      <c r="BL307" s="318" t="n">
        <v>0</v>
      </c>
      <c r="BM307" s="318" t="n">
        <v>0.005</v>
      </c>
      <c r="BO307" s="318" t="n">
        <v>0</v>
      </c>
      <c r="BP307" s="318" t="n">
        <v>0</v>
      </c>
      <c r="BQ307" s="318" t="n">
        <v>0</v>
      </c>
      <c r="BR307" s="318" t="n">
        <v>0.45</v>
      </c>
      <c r="BS307" s="0"/>
      <c r="BT307" s="0" t="n">
        <v>0</v>
      </c>
      <c r="BU307" s="0" t="n">
        <v>0</v>
      </c>
      <c r="BV307" s="0" t="n">
        <v>0</v>
      </c>
    </row>
    <row r="308" customFormat="false" ht="12.75" hidden="false" customHeight="false" outlineLevel="0" collapsed="false">
      <c r="C308" s="327" t="n">
        <f aca="false">EOMONTH(C307,0)+1</f>
        <v>46478</v>
      </c>
      <c r="F308" s="320" t="n">
        <v>0.0639696700197736</v>
      </c>
      <c r="V308" s="318" t="n">
        <v>0</v>
      </c>
      <c r="W308" s="330" t="n">
        <v>0.195</v>
      </c>
      <c r="X308" s="318" t="n">
        <v>0.29</v>
      </c>
      <c r="AM308" s="318" t="n">
        <v>0.64</v>
      </c>
      <c r="AN308" s="318" t="n">
        <v>-0.0175</v>
      </c>
      <c r="AO308" s="318" t="n">
        <v>0</v>
      </c>
      <c r="AP308" s="318" t="n">
        <v>-0.07</v>
      </c>
      <c r="AQ308" s="318" t="n">
        <v>0</v>
      </c>
      <c r="AS308" s="318" t="n">
        <v>0</v>
      </c>
      <c r="AT308" s="318" t="n">
        <v>0</v>
      </c>
      <c r="AU308" s="318" t="n">
        <v>0</v>
      </c>
      <c r="AV308" s="318" t="n">
        <v>0</v>
      </c>
      <c r="AW308" s="318" t="n">
        <v>-0.0475</v>
      </c>
      <c r="AX308" s="318" t="n">
        <v>-0.06</v>
      </c>
      <c r="BD308" s="318" t="n">
        <v>-0.0475</v>
      </c>
      <c r="BF308" s="318" t="n">
        <v>0</v>
      </c>
      <c r="BJ308" s="318" t="n">
        <v>0.54</v>
      </c>
      <c r="BL308" s="318" t="n">
        <v>0</v>
      </c>
      <c r="BM308" s="318" t="n">
        <v>0.005</v>
      </c>
      <c r="BO308" s="318" t="n">
        <v>0</v>
      </c>
      <c r="BP308" s="318" t="n">
        <v>0</v>
      </c>
      <c r="BQ308" s="318" t="n">
        <v>0</v>
      </c>
      <c r="BR308" s="318" t="n">
        <v>0.1</v>
      </c>
      <c r="BS308" s="0"/>
      <c r="BT308" s="0" t="n">
        <v>0</v>
      </c>
      <c r="BU308" s="0" t="n">
        <v>0</v>
      </c>
      <c r="BV308" s="0" t="n">
        <v>0</v>
      </c>
    </row>
    <row r="309" customFormat="false" ht="12.75" hidden="false" customHeight="false" outlineLevel="0" collapsed="false">
      <c r="C309" s="327" t="n">
        <f aca="false">EOMONTH(C308,0)+1</f>
        <v>46508</v>
      </c>
      <c r="F309" s="320" t="n">
        <v>0.0639628279393314</v>
      </c>
      <c r="V309" s="318" t="n">
        <v>0</v>
      </c>
      <c r="W309" s="330" t="n">
        <v>0.145</v>
      </c>
      <c r="X309" s="318" t="n">
        <v>0.195</v>
      </c>
      <c r="AM309" s="318" t="n">
        <v>0.38</v>
      </c>
      <c r="AN309" s="318" t="n">
        <v>0.02</v>
      </c>
      <c r="AO309" s="318" t="n">
        <v>0</v>
      </c>
      <c r="AP309" s="318" t="n">
        <v>-0.07</v>
      </c>
      <c r="AQ309" s="318" t="n">
        <v>0</v>
      </c>
      <c r="AS309" s="318" t="n">
        <v>0</v>
      </c>
      <c r="AT309" s="318" t="n">
        <v>0</v>
      </c>
      <c r="AU309" s="318" t="n">
        <v>0</v>
      </c>
      <c r="AV309" s="318" t="n">
        <v>0</v>
      </c>
      <c r="AW309" s="318" t="n">
        <v>-0.01</v>
      </c>
      <c r="AX309" s="318" t="n">
        <v>-0.06</v>
      </c>
      <c r="BD309" s="318" t="n">
        <v>-0.01</v>
      </c>
      <c r="BF309" s="318" t="n">
        <v>0</v>
      </c>
      <c r="BJ309" s="318" t="n">
        <v>0.36</v>
      </c>
      <c r="BL309" s="318" t="n">
        <v>0</v>
      </c>
      <c r="BM309" s="318" t="n">
        <v>0</v>
      </c>
      <c r="BO309" s="318" t="n">
        <v>0</v>
      </c>
      <c r="BP309" s="318" t="n">
        <v>0</v>
      </c>
      <c r="BQ309" s="318" t="n">
        <v>0</v>
      </c>
      <c r="BR309" s="318" t="n">
        <v>0.02</v>
      </c>
      <c r="BS309" s="0"/>
      <c r="BT309" s="0" t="n">
        <v>0</v>
      </c>
      <c r="BU309" s="0" t="n">
        <v>0</v>
      </c>
      <c r="BV309" s="0" t="n">
        <v>0</v>
      </c>
    </row>
    <row r="310" customFormat="false" ht="12.75" hidden="false" customHeight="false" outlineLevel="0" collapsed="false">
      <c r="C310" s="327" t="n">
        <f aca="false">EOMONTH(C309,0)+1</f>
        <v>46539</v>
      </c>
      <c r="F310" s="320" t="n">
        <v>0.0639562065711763</v>
      </c>
      <c r="V310" s="318" t="n">
        <v>0</v>
      </c>
      <c r="W310" s="330" t="n">
        <v>0.125</v>
      </c>
      <c r="X310" s="318" t="n">
        <v>0.135</v>
      </c>
      <c r="AM310" s="318" t="n">
        <v>0.33</v>
      </c>
      <c r="AN310" s="318" t="n">
        <v>0.02</v>
      </c>
      <c r="AO310" s="318" t="n">
        <v>0</v>
      </c>
      <c r="AP310" s="318" t="n">
        <v>-0.07</v>
      </c>
      <c r="AQ310" s="318" t="n">
        <v>0</v>
      </c>
      <c r="AS310" s="318" t="n">
        <v>0</v>
      </c>
      <c r="AT310" s="318" t="n">
        <v>0</v>
      </c>
      <c r="AU310" s="318" t="n">
        <v>0</v>
      </c>
      <c r="AV310" s="318" t="n">
        <v>0</v>
      </c>
      <c r="AW310" s="318" t="n">
        <v>-0.01</v>
      </c>
      <c r="AX310" s="318" t="n">
        <v>-0.06</v>
      </c>
      <c r="BD310" s="318" t="n">
        <v>-0.01</v>
      </c>
      <c r="BF310" s="318" t="n">
        <v>0</v>
      </c>
      <c r="BJ310" s="318" t="n">
        <v>0.325</v>
      </c>
      <c r="BL310" s="318" t="n">
        <v>0</v>
      </c>
      <c r="BM310" s="318" t="n">
        <v>0</v>
      </c>
      <c r="BO310" s="318" t="n">
        <v>0</v>
      </c>
      <c r="BP310" s="318" t="n">
        <v>0</v>
      </c>
      <c r="BQ310" s="318" t="n">
        <v>0</v>
      </c>
      <c r="BR310" s="318" t="n">
        <v>0.02</v>
      </c>
      <c r="BS310" s="0"/>
      <c r="BT310" s="0" t="n">
        <v>0</v>
      </c>
      <c r="BU310" s="0" t="n">
        <v>0</v>
      </c>
      <c r="BV310" s="0" t="n">
        <v>0</v>
      </c>
    </row>
    <row r="311" customFormat="false" ht="12.75" hidden="false" customHeight="false" outlineLevel="0" collapsed="false">
      <c r="C311" s="327" t="n">
        <f aca="false">EOMONTH(C310,0)+1</f>
        <v>46569</v>
      </c>
      <c r="F311" s="320" t="n">
        <v>0.0639493644907647</v>
      </c>
      <c r="V311" s="318" t="n">
        <v>0</v>
      </c>
      <c r="W311" s="330" t="n">
        <v>0.145</v>
      </c>
      <c r="X311" s="318" t="n">
        <v>0.165</v>
      </c>
      <c r="AM311" s="318" t="n">
        <v>0.37</v>
      </c>
      <c r="AN311" s="318" t="n">
        <v>0.025</v>
      </c>
      <c r="AO311" s="318" t="n">
        <v>0</v>
      </c>
      <c r="AP311" s="318" t="n">
        <v>-0.07</v>
      </c>
      <c r="AQ311" s="318" t="n">
        <v>0</v>
      </c>
      <c r="AS311" s="318" t="n">
        <v>0</v>
      </c>
      <c r="AT311" s="318" t="n">
        <v>0</v>
      </c>
      <c r="AU311" s="318" t="n">
        <v>0</v>
      </c>
      <c r="AV311" s="318" t="n">
        <v>0</v>
      </c>
      <c r="AW311" s="318" t="n">
        <v>-0.005</v>
      </c>
      <c r="AX311" s="318" t="n">
        <v>-0.06</v>
      </c>
      <c r="BD311" s="318" t="n">
        <v>-0.005</v>
      </c>
      <c r="BF311" s="318" t="n">
        <v>0</v>
      </c>
      <c r="BJ311" s="318" t="n">
        <v>0.335</v>
      </c>
      <c r="BL311" s="318" t="n">
        <v>0</v>
      </c>
      <c r="BM311" s="318" t="n">
        <v>0</v>
      </c>
      <c r="BO311" s="318" t="n">
        <v>0</v>
      </c>
      <c r="BP311" s="318" t="n">
        <v>0</v>
      </c>
      <c r="BQ311" s="318" t="n">
        <v>0</v>
      </c>
      <c r="BR311" s="318" t="n">
        <v>0.035</v>
      </c>
      <c r="BS311" s="0"/>
      <c r="BT311" s="0" t="n">
        <v>0</v>
      </c>
      <c r="BU311" s="0" t="n">
        <v>0</v>
      </c>
      <c r="BV311" s="0" t="n">
        <v>0</v>
      </c>
    </row>
    <row r="312" customFormat="false" ht="12.75" hidden="false" customHeight="false" outlineLevel="0" collapsed="false">
      <c r="C312" s="327" t="n">
        <f aca="false">EOMONTH(C311,0)+1</f>
        <v>46600</v>
      </c>
      <c r="F312" s="320" t="n">
        <v>0.0639427431226389</v>
      </c>
      <c r="V312" s="318" t="n">
        <v>0</v>
      </c>
      <c r="W312" s="330" t="n">
        <v>0.15</v>
      </c>
      <c r="X312" s="318" t="n">
        <v>0.205</v>
      </c>
      <c r="AM312" s="318" t="n">
        <v>0.41</v>
      </c>
      <c r="AN312" s="318" t="n">
        <v>0.0275</v>
      </c>
      <c r="AO312" s="318" t="n">
        <v>0</v>
      </c>
      <c r="AP312" s="318" t="n">
        <v>-0.07</v>
      </c>
      <c r="AQ312" s="318" t="n">
        <v>0</v>
      </c>
      <c r="AS312" s="318" t="n">
        <v>0</v>
      </c>
      <c r="AT312" s="318" t="n">
        <v>0</v>
      </c>
      <c r="AU312" s="318" t="n">
        <v>0</v>
      </c>
      <c r="AV312" s="318" t="n">
        <v>0</v>
      </c>
      <c r="AW312" s="318" t="n">
        <v>-0.0025</v>
      </c>
      <c r="AX312" s="318" t="n">
        <v>-0.06</v>
      </c>
      <c r="BD312" s="318" t="n">
        <v>-0.0025</v>
      </c>
      <c r="BF312" s="318" t="n">
        <v>0</v>
      </c>
      <c r="BJ312" s="318" t="n">
        <v>0.35</v>
      </c>
      <c r="BL312" s="318" t="n">
        <v>0</v>
      </c>
      <c r="BM312" s="318" t="n">
        <v>0</v>
      </c>
      <c r="BO312" s="318" t="n">
        <v>0</v>
      </c>
      <c r="BP312" s="318" t="n">
        <v>0</v>
      </c>
      <c r="BQ312" s="318" t="n">
        <v>0</v>
      </c>
      <c r="BR312" s="318" t="n">
        <v>0.035</v>
      </c>
      <c r="BS312" s="0"/>
      <c r="BT312" s="0" t="n">
        <v>0</v>
      </c>
      <c r="BU312" s="0" t="n">
        <v>0</v>
      </c>
      <c r="BV312" s="0" t="n">
        <v>0</v>
      </c>
    </row>
    <row r="313" customFormat="false" ht="12.75" hidden="false" customHeight="false" outlineLevel="0" collapsed="false">
      <c r="C313" s="327" t="n">
        <f aca="false">EOMONTH(C312,0)+1</f>
        <v>46631</v>
      </c>
      <c r="F313" s="320" t="n">
        <v>0.0639359010422576</v>
      </c>
      <c r="V313" s="318" t="n">
        <v>0</v>
      </c>
      <c r="W313" s="330" t="n">
        <v>0.15</v>
      </c>
      <c r="X313" s="318" t="n">
        <v>0.205</v>
      </c>
      <c r="AM313" s="318" t="n">
        <v>0.41</v>
      </c>
      <c r="AN313" s="318" t="n">
        <v>0.03</v>
      </c>
      <c r="AO313" s="318" t="n">
        <v>0</v>
      </c>
      <c r="AP313" s="318" t="n">
        <v>-0.07</v>
      </c>
      <c r="AQ313" s="318" t="n">
        <v>0</v>
      </c>
      <c r="AS313" s="318" t="n">
        <v>0</v>
      </c>
      <c r="AT313" s="318" t="n">
        <v>0</v>
      </c>
      <c r="AU313" s="318" t="n">
        <v>0</v>
      </c>
      <c r="AV313" s="318" t="n">
        <v>0</v>
      </c>
      <c r="AW313" s="318" t="n">
        <v>0</v>
      </c>
      <c r="AX313" s="318" t="n">
        <v>-0.06</v>
      </c>
      <c r="BD313" s="318" t="n">
        <v>0</v>
      </c>
      <c r="BF313" s="318" t="n">
        <v>0</v>
      </c>
      <c r="BJ313" s="318" t="n">
        <v>0.35</v>
      </c>
      <c r="BL313" s="318" t="n">
        <v>0</v>
      </c>
      <c r="BM313" s="318" t="n">
        <v>0</v>
      </c>
      <c r="BO313" s="318" t="n">
        <v>0</v>
      </c>
      <c r="BP313" s="318" t="n">
        <v>0</v>
      </c>
      <c r="BQ313" s="318" t="n">
        <v>0</v>
      </c>
      <c r="BR313" s="318" t="n">
        <v>0.01</v>
      </c>
      <c r="BS313" s="0"/>
      <c r="BT313" s="0" t="n">
        <v>0</v>
      </c>
      <c r="BU313" s="0" t="n">
        <v>0</v>
      </c>
      <c r="BV313" s="0" t="n">
        <v>0</v>
      </c>
    </row>
    <row r="314" customFormat="false" ht="12.75" hidden="false" customHeight="false" outlineLevel="0" collapsed="false">
      <c r="C314" s="327" t="n">
        <f aca="false">EOMONTH(C313,0)+1</f>
        <v>46661</v>
      </c>
      <c r="F314" s="320" t="n">
        <v>0.0639290589618922</v>
      </c>
      <c r="V314" s="318" t="n">
        <v>0</v>
      </c>
      <c r="W314" s="330" t="n">
        <v>0.125</v>
      </c>
      <c r="X314" s="318" t="n">
        <v>0.145</v>
      </c>
      <c r="AM314" s="318" t="n">
        <v>0.36</v>
      </c>
      <c r="AN314" s="318" t="n">
        <v>0.0225</v>
      </c>
      <c r="AO314" s="318" t="n">
        <v>0</v>
      </c>
      <c r="AP314" s="318" t="n">
        <v>-0.07</v>
      </c>
      <c r="AQ314" s="318" t="n">
        <v>0</v>
      </c>
      <c r="AS314" s="318" t="n">
        <v>0</v>
      </c>
      <c r="AT314" s="318" t="n">
        <v>0</v>
      </c>
      <c r="AU314" s="318" t="n">
        <v>0</v>
      </c>
      <c r="AV314" s="318" t="n">
        <v>0</v>
      </c>
      <c r="AW314" s="318" t="n">
        <v>-0.0075</v>
      </c>
      <c r="AX314" s="318" t="n">
        <v>-0.06</v>
      </c>
      <c r="BD314" s="318" t="n">
        <v>-0.0075</v>
      </c>
      <c r="BF314" s="318" t="n">
        <v>0</v>
      </c>
      <c r="BJ314" s="318" t="n">
        <v>0.315</v>
      </c>
      <c r="BL314" s="318" t="n">
        <v>0</v>
      </c>
      <c r="BM314" s="318" t="n">
        <v>0</v>
      </c>
      <c r="BO314" s="318" t="n">
        <v>0</v>
      </c>
      <c r="BP314" s="318" t="n">
        <v>0</v>
      </c>
      <c r="BQ314" s="318" t="n">
        <v>0</v>
      </c>
      <c r="BR314" s="318" t="n">
        <v>0.01</v>
      </c>
      <c r="BS314" s="0"/>
      <c r="BT314" s="0" t="n">
        <v>0</v>
      </c>
      <c r="BU314" s="0" t="n">
        <v>0</v>
      </c>
      <c r="BV314" s="0" t="n">
        <v>0</v>
      </c>
    </row>
    <row r="315" customFormat="false" ht="12.75" hidden="false" customHeight="false" outlineLevel="0" collapsed="false">
      <c r="C315" s="327" t="n">
        <f aca="false">EOMONTH(C314,0)+1</f>
        <v>46692</v>
      </c>
      <c r="F315" s="320" t="n">
        <v>0.0639224375938108</v>
      </c>
      <c r="V315" s="318" t="n">
        <v>0</v>
      </c>
      <c r="W315" s="330" t="n">
        <v>0.145</v>
      </c>
      <c r="X315" s="318" t="n">
        <v>0.175</v>
      </c>
      <c r="AM315" s="318" t="n">
        <v>0.4</v>
      </c>
      <c r="AN315" s="318" t="n">
        <v>0.0125</v>
      </c>
      <c r="AO315" s="318" t="n">
        <v>0</v>
      </c>
      <c r="AP315" s="318" t="n">
        <v>-0.07</v>
      </c>
      <c r="AQ315" s="318" t="n">
        <v>0</v>
      </c>
      <c r="AS315" s="318" t="n">
        <v>0</v>
      </c>
      <c r="AT315" s="318" t="n">
        <v>0</v>
      </c>
      <c r="AU315" s="318" t="n">
        <v>0</v>
      </c>
      <c r="AV315" s="318" t="n">
        <v>0</v>
      </c>
      <c r="AW315" s="318" t="n">
        <v>-0.0175</v>
      </c>
      <c r="AX315" s="318" t="n">
        <v>-0.06</v>
      </c>
      <c r="BD315" s="318" t="n">
        <v>-0.0175</v>
      </c>
      <c r="BF315" s="318" t="n">
        <v>0</v>
      </c>
      <c r="BJ315" s="318" t="n">
        <v>0.36</v>
      </c>
      <c r="BL315" s="318" t="n">
        <v>0</v>
      </c>
      <c r="BM315" s="318" t="n">
        <v>0</v>
      </c>
      <c r="BO315" s="318" t="n">
        <v>0</v>
      </c>
      <c r="BP315" s="318" t="n">
        <v>0</v>
      </c>
      <c r="BQ315" s="318" t="n">
        <v>0</v>
      </c>
      <c r="BR315" s="318" t="n">
        <v>0.01</v>
      </c>
      <c r="BS315" s="0"/>
      <c r="BT315" s="0" t="n">
        <v>0</v>
      </c>
      <c r="BU315" s="0" t="n">
        <v>0</v>
      </c>
      <c r="BV315" s="0" t="n">
        <v>0</v>
      </c>
    </row>
    <row r="316" customFormat="false" ht="12.75" hidden="false" customHeight="false" outlineLevel="0" collapsed="false">
      <c r="C316" s="327" t="n">
        <f aca="false">EOMONTH(C315,0)+1</f>
        <v>46722</v>
      </c>
      <c r="F316" s="320" t="n">
        <v>0.0639155955134756</v>
      </c>
      <c r="V316" s="318" t="n">
        <v>0</v>
      </c>
      <c r="W316" s="330" t="n">
        <v>0.195</v>
      </c>
      <c r="X316" s="318" t="n">
        <v>0.21</v>
      </c>
      <c r="AM316" s="318" t="n">
        <v>0.65</v>
      </c>
      <c r="AN316" s="318" t="n">
        <v>-0.0225</v>
      </c>
      <c r="AO316" s="318" t="n">
        <v>0</v>
      </c>
      <c r="AP316" s="318" t="n">
        <v>-0.07</v>
      </c>
      <c r="AQ316" s="318" t="n">
        <v>0</v>
      </c>
      <c r="AS316" s="318" t="n">
        <v>0</v>
      </c>
      <c r="AT316" s="318" t="n">
        <v>0</v>
      </c>
      <c r="AU316" s="318" t="n">
        <v>0</v>
      </c>
      <c r="AV316" s="318" t="n">
        <v>0</v>
      </c>
      <c r="AW316" s="318" t="n">
        <v>-0.0525</v>
      </c>
      <c r="AX316" s="318" t="n">
        <v>-0.06</v>
      </c>
      <c r="BD316" s="318" t="n">
        <v>-0.0525</v>
      </c>
      <c r="BF316" s="318" t="n">
        <v>0</v>
      </c>
      <c r="BJ316" s="318" t="n">
        <v>0.46</v>
      </c>
      <c r="BL316" s="318" t="n">
        <v>0</v>
      </c>
      <c r="BM316" s="318" t="n">
        <v>0</v>
      </c>
      <c r="BO316" s="318" t="n">
        <v>0</v>
      </c>
      <c r="BP316" s="318" t="n">
        <v>0</v>
      </c>
      <c r="BQ316" s="318" t="n">
        <v>0</v>
      </c>
      <c r="BR316" s="318" t="n">
        <v>0.055</v>
      </c>
      <c r="BS316" s="0"/>
      <c r="BT316" s="0" t="n">
        <v>0</v>
      </c>
      <c r="BU316" s="0" t="n">
        <v>0</v>
      </c>
      <c r="BV316" s="0" t="n">
        <v>0</v>
      </c>
    </row>
    <row r="317" customFormat="false" ht="12.75" hidden="false" customHeight="false" outlineLevel="0" collapsed="false">
      <c r="C317" s="327" t="n">
        <f aca="false">EOMONTH(C316,0)+1</f>
        <v>46753</v>
      </c>
      <c r="F317" s="320" t="n">
        <v>0.0639089741454244</v>
      </c>
      <c r="V317" s="318" t="n">
        <v>0</v>
      </c>
      <c r="W317" s="330" t="n">
        <v>0.215</v>
      </c>
      <c r="X317" s="318" t="n">
        <v>0.29</v>
      </c>
      <c r="AM317" s="318" t="n">
        <v>0.98</v>
      </c>
      <c r="AN317" s="318" t="n">
        <v>-0.045</v>
      </c>
      <c r="AO317" s="318" t="n">
        <v>0</v>
      </c>
      <c r="AP317" s="318" t="n">
        <v>-0.07</v>
      </c>
      <c r="AQ317" s="318" t="n">
        <v>0</v>
      </c>
      <c r="AS317" s="318" t="n">
        <v>0</v>
      </c>
      <c r="AT317" s="318" t="n">
        <v>0</v>
      </c>
      <c r="AU317" s="318" t="n">
        <v>0</v>
      </c>
      <c r="AV317" s="318" t="n">
        <v>0</v>
      </c>
      <c r="AW317" s="318" t="n">
        <v>-0.075</v>
      </c>
      <c r="AX317" s="318" t="n">
        <v>-0.06</v>
      </c>
      <c r="BD317" s="318" t="n">
        <v>-0.075</v>
      </c>
      <c r="BF317" s="318" t="n">
        <v>0</v>
      </c>
      <c r="BJ317" s="318" t="n">
        <v>0.77</v>
      </c>
      <c r="BL317" s="318" t="n">
        <v>0</v>
      </c>
      <c r="BM317" s="318" t="n">
        <v>0</v>
      </c>
      <c r="BO317" s="318" t="n">
        <v>0</v>
      </c>
      <c r="BP317" s="318" t="n">
        <v>0</v>
      </c>
      <c r="BQ317" s="318" t="n">
        <v>0</v>
      </c>
      <c r="BR317" s="318" t="n">
        <v>0.25</v>
      </c>
      <c r="BS317" s="0"/>
      <c r="BT317" s="0" t="n">
        <v>0</v>
      </c>
      <c r="BU317" s="0" t="n">
        <v>0</v>
      </c>
      <c r="BV317" s="0" t="n">
        <v>0</v>
      </c>
    </row>
    <row r="318" customFormat="false" ht="12.75" hidden="false" customHeight="false" outlineLevel="0" collapsed="false">
      <c r="C318" s="327" t="n">
        <f aca="false">EOMONTH(C317,0)+1</f>
        <v>46784</v>
      </c>
      <c r="F318" s="320" t="n">
        <v>0.0639021320651198</v>
      </c>
      <c r="V318" s="318" t="n">
        <v>0</v>
      </c>
      <c r="W318" s="330" t="n">
        <v>0.235</v>
      </c>
      <c r="X318" s="318" t="n">
        <v>0.34</v>
      </c>
      <c r="AM318" s="318" t="n">
        <v>1.6</v>
      </c>
      <c r="AN318" s="318" t="n">
        <v>-0.0475</v>
      </c>
      <c r="AO318" s="318" t="n">
        <v>0</v>
      </c>
      <c r="AP318" s="318" t="n">
        <v>-0.07</v>
      </c>
      <c r="AQ318" s="318" t="n">
        <v>0</v>
      </c>
      <c r="AS318" s="318" t="n">
        <v>0</v>
      </c>
      <c r="AT318" s="318" t="n">
        <v>0</v>
      </c>
      <c r="AU318" s="318" t="n">
        <v>0</v>
      </c>
      <c r="AV318" s="318" t="n">
        <v>0</v>
      </c>
      <c r="AW318" s="318" t="n">
        <v>-0.0775</v>
      </c>
      <c r="AX318" s="318" t="n">
        <v>-0.06</v>
      </c>
      <c r="BD318" s="318" t="n">
        <v>-0.0775</v>
      </c>
      <c r="BF318" s="318" t="n">
        <v>0</v>
      </c>
      <c r="BJ318" s="318" t="n">
        <v>1.04</v>
      </c>
      <c r="BL318" s="318" t="n">
        <v>0</v>
      </c>
      <c r="BM318" s="318" t="n">
        <v>0</v>
      </c>
      <c r="BO318" s="318" t="n">
        <v>0</v>
      </c>
      <c r="BP318" s="318" t="n">
        <v>0</v>
      </c>
      <c r="BQ318" s="318" t="n">
        <v>0</v>
      </c>
      <c r="BR318" s="318" t="n">
        <v>0.45</v>
      </c>
      <c r="BS318" s="0"/>
      <c r="BT318" s="0" t="n">
        <v>0</v>
      </c>
      <c r="BU318" s="0" t="n">
        <v>0</v>
      </c>
      <c r="BV318" s="0" t="n">
        <v>0</v>
      </c>
    </row>
    <row r="319" customFormat="false" ht="12.75" hidden="false" customHeight="false" outlineLevel="0" collapsed="false">
      <c r="C319" s="327" t="n">
        <f aca="false">EOMONTH(C318,0)+1</f>
        <v>46813</v>
      </c>
      <c r="F319" s="320" t="n">
        <v>0.0638952899848308</v>
      </c>
      <c r="V319" s="318" t="n">
        <v>0</v>
      </c>
      <c r="W319" s="330" t="n">
        <v>0.235</v>
      </c>
      <c r="X319" s="318" t="n">
        <v>0.34</v>
      </c>
      <c r="AM319" s="318" t="n">
        <v>1.6</v>
      </c>
      <c r="AN319" s="318" t="n">
        <v>-0.03</v>
      </c>
      <c r="AO319" s="318" t="n">
        <v>0</v>
      </c>
      <c r="AP319" s="318" t="n">
        <v>-0.07</v>
      </c>
      <c r="AQ319" s="318" t="n">
        <v>0</v>
      </c>
      <c r="AS319" s="318" t="n">
        <v>0</v>
      </c>
      <c r="AT319" s="318" t="n">
        <v>0</v>
      </c>
      <c r="AU319" s="318" t="n">
        <v>0</v>
      </c>
      <c r="AV319" s="318" t="n">
        <v>0</v>
      </c>
      <c r="AW319" s="318" t="n">
        <v>-0.06</v>
      </c>
      <c r="AX319" s="318" t="n">
        <v>-0.06</v>
      </c>
      <c r="BD319" s="318" t="n">
        <v>-0.06</v>
      </c>
      <c r="BF319" s="318" t="n">
        <v>0</v>
      </c>
      <c r="BJ319" s="318" t="n">
        <v>1.04</v>
      </c>
      <c r="BL319" s="318" t="n">
        <v>0</v>
      </c>
      <c r="BM319" s="318" t="n">
        <v>0</v>
      </c>
      <c r="BO319" s="318" t="n">
        <v>0</v>
      </c>
      <c r="BP319" s="318" t="n">
        <v>0</v>
      </c>
      <c r="BQ319" s="318" t="n">
        <v>0</v>
      </c>
      <c r="BR319" s="318" t="n">
        <v>0.45</v>
      </c>
      <c r="BS319" s="0"/>
      <c r="BT319" s="0" t="n">
        <v>0</v>
      </c>
      <c r="BU319" s="0" t="n">
        <v>0</v>
      </c>
      <c r="BV319" s="0" t="n">
        <v>0</v>
      </c>
    </row>
    <row r="320" customFormat="false" ht="12.75" hidden="false" customHeight="false" outlineLevel="0" collapsed="false">
      <c r="C320" s="327" t="n">
        <f aca="false">EOMONTH(C319,0)+1</f>
        <v>46844</v>
      </c>
      <c r="F320" s="320" t="n">
        <v>0.0638888893290908</v>
      </c>
      <c r="V320" s="318" t="n">
        <v>0</v>
      </c>
      <c r="W320" s="330" t="n">
        <v>0.195</v>
      </c>
      <c r="X320" s="318" t="n">
        <v>0.29</v>
      </c>
      <c r="AM320" s="318" t="n">
        <v>0.64</v>
      </c>
      <c r="AN320" s="318" t="n">
        <v>-0.0175</v>
      </c>
      <c r="AO320" s="318" t="n">
        <v>0</v>
      </c>
      <c r="AP320" s="318" t="n">
        <v>-0.07</v>
      </c>
      <c r="AQ320" s="318" t="n">
        <v>0</v>
      </c>
      <c r="AS320" s="318" t="n">
        <v>0</v>
      </c>
      <c r="AT320" s="318" t="n">
        <v>0</v>
      </c>
      <c r="AU320" s="318" t="n">
        <v>0</v>
      </c>
      <c r="AV320" s="318" t="n">
        <v>0</v>
      </c>
      <c r="AW320" s="318" t="n">
        <v>-0.0475</v>
      </c>
      <c r="AX320" s="318" t="n">
        <v>-0.06</v>
      </c>
      <c r="BD320" s="318" t="n">
        <v>-0.0475</v>
      </c>
      <c r="BF320" s="318" t="n">
        <v>0</v>
      </c>
      <c r="BJ320" s="318" t="n">
        <v>0.54</v>
      </c>
      <c r="BL320" s="318" t="n">
        <v>0</v>
      </c>
      <c r="BM320" s="318" t="n">
        <v>0</v>
      </c>
      <c r="BO320" s="318" t="n">
        <v>0</v>
      </c>
      <c r="BP320" s="318" t="n">
        <v>0</v>
      </c>
      <c r="BQ320" s="318" t="n">
        <v>0</v>
      </c>
      <c r="BR320" s="318" t="n">
        <v>0.1</v>
      </c>
      <c r="BS320" s="0"/>
      <c r="BT320" s="0" t="n">
        <v>0</v>
      </c>
      <c r="BU320" s="0" t="n">
        <v>0</v>
      </c>
      <c r="BV320" s="0" t="n">
        <v>0</v>
      </c>
    </row>
    <row r="321" customFormat="false" ht="12.75" hidden="false" customHeight="false" outlineLevel="0" collapsed="false">
      <c r="C321" s="327" t="n">
        <f aca="false">EOMONTH(C320,0)+1</f>
        <v>46874</v>
      </c>
      <c r="F321" s="320" t="n">
        <v>0.0638820472488315</v>
      </c>
      <c r="V321" s="318" t="n">
        <v>0</v>
      </c>
      <c r="W321" s="330" t="n">
        <v>0.145</v>
      </c>
      <c r="X321" s="318" t="n">
        <v>0.195</v>
      </c>
      <c r="AM321" s="318" t="n">
        <v>0.38</v>
      </c>
      <c r="AN321" s="318" t="n">
        <v>0.02</v>
      </c>
      <c r="AO321" s="318" t="n">
        <v>0</v>
      </c>
      <c r="AP321" s="318" t="n">
        <v>-0.07</v>
      </c>
      <c r="AQ321" s="318" t="n">
        <v>0</v>
      </c>
      <c r="AS321" s="318" t="n">
        <v>0</v>
      </c>
      <c r="AT321" s="318" t="n">
        <v>0</v>
      </c>
      <c r="AU321" s="318" t="n">
        <v>0</v>
      </c>
      <c r="AV321" s="318" t="n">
        <v>0</v>
      </c>
      <c r="AW321" s="318" t="n">
        <v>-0.01</v>
      </c>
      <c r="AX321" s="318" t="n">
        <v>-0.06</v>
      </c>
      <c r="BD321" s="318" t="n">
        <v>-0.01</v>
      </c>
      <c r="BF321" s="318" t="n">
        <v>0</v>
      </c>
      <c r="BJ321" s="318" t="n">
        <v>0.36</v>
      </c>
      <c r="BL321" s="318" t="n">
        <v>0</v>
      </c>
      <c r="BM321" s="318" t="n">
        <v>0</v>
      </c>
      <c r="BO321" s="318" t="n">
        <v>0</v>
      </c>
      <c r="BP321" s="318" t="n">
        <v>0</v>
      </c>
      <c r="BQ321" s="318" t="n">
        <v>0</v>
      </c>
      <c r="BR321" s="318" t="n">
        <v>0.02</v>
      </c>
      <c r="BS321" s="0"/>
      <c r="BT321" s="0" t="n">
        <v>0</v>
      </c>
      <c r="BU321" s="0" t="n">
        <v>0</v>
      </c>
      <c r="BV321" s="0" t="n">
        <v>0</v>
      </c>
    </row>
    <row r="322" customFormat="false" ht="12.75" hidden="false" customHeight="false" outlineLevel="0" collapsed="false">
      <c r="C322" s="327" t="n">
        <f aca="false">EOMONTH(C321,0)+1</f>
        <v>46905</v>
      </c>
      <c r="F322" s="320" t="n">
        <v>0.0638754258808536</v>
      </c>
      <c r="V322" s="318" t="n">
        <v>0</v>
      </c>
      <c r="W322" s="330" t="n">
        <v>0.125</v>
      </c>
      <c r="X322" s="318" t="n">
        <v>0.135</v>
      </c>
      <c r="AM322" s="318" t="n">
        <v>0.33</v>
      </c>
      <c r="AN322" s="318" t="n">
        <v>0.02</v>
      </c>
      <c r="AO322" s="318" t="n">
        <v>0</v>
      </c>
      <c r="AP322" s="318" t="n">
        <v>-0.07</v>
      </c>
      <c r="AQ322" s="318" t="n">
        <v>0</v>
      </c>
      <c r="AS322" s="318" t="n">
        <v>0</v>
      </c>
      <c r="AT322" s="318" t="n">
        <v>0</v>
      </c>
      <c r="AU322" s="318" t="n">
        <v>0</v>
      </c>
      <c r="AV322" s="318" t="n">
        <v>0</v>
      </c>
      <c r="AW322" s="318" t="n">
        <v>-0.01</v>
      </c>
      <c r="AX322" s="318" t="n">
        <v>-0.06</v>
      </c>
      <c r="BD322" s="318" t="n">
        <v>-0.01</v>
      </c>
      <c r="BF322" s="318" t="n">
        <v>0</v>
      </c>
      <c r="BJ322" s="318" t="n">
        <v>0.325</v>
      </c>
      <c r="BL322" s="318" t="n">
        <v>0</v>
      </c>
      <c r="BM322" s="318" t="n">
        <v>0</v>
      </c>
      <c r="BO322" s="318" t="n">
        <v>0</v>
      </c>
      <c r="BP322" s="318" t="n">
        <v>0</v>
      </c>
      <c r="BQ322" s="318" t="n">
        <v>0</v>
      </c>
      <c r="BR322" s="318" t="n">
        <v>0.02</v>
      </c>
      <c r="BS322" s="0"/>
      <c r="BT322" s="0" t="n">
        <v>0</v>
      </c>
      <c r="BU322" s="0" t="n">
        <v>0</v>
      </c>
      <c r="BV322" s="0" t="n">
        <v>0</v>
      </c>
    </row>
    <row r="323" customFormat="false" ht="12.75" hidden="false" customHeight="false" outlineLevel="0" collapsed="false">
      <c r="C323" s="327" t="n">
        <f aca="false">EOMONTH(C322,0)+1</f>
        <v>46935</v>
      </c>
      <c r="F323" s="320" t="n">
        <v>0.0638685838006254</v>
      </c>
      <c r="V323" s="318" t="n">
        <v>0</v>
      </c>
      <c r="W323" s="330" t="n">
        <v>0.145</v>
      </c>
      <c r="X323" s="318" t="n">
        <v>0.165</v>
      </c>
      <c r="AM323" s="318" t="n">
        <v>0.37</v>
      </c>
      <c r="AN323" s="318" t="n">
        <v>0.025</v>
      </c>
      <c r="AO323" s="318" t="n">
        <v>0</v>
      </c>
      <c r="AP323" s="318" t="n">
        <v>-0.07</v>
      </c>
      <c r="AQ323" s="318" t="n">
        <v>0</v>
      </c>
      <c r="AS323" s="318" t="n">
        <v>0</v>
      </c>
      <c r="AT323" s="318" t="n">
        <v>0</v>
      </c>
      <c r="AU323" s="318" t="n">
        <v>0</v>
      </c>
      <c r="AV323" s="318" t="n">
        <v>0</v>
      </c>
      <c r="AW323" s="318" t="n">
        <v>-0.005</v>
      </c>
      <c r="AX323" s="318" t="n">
        <v>-0.06</v>
      </c>
      <c r="BD323" s="318" t="n">
        <v>-0.005</v>
      </c>
      <c r="BF323" s="318" t="n">
        <v>0</v>
      </c>
      <c r="BJ323" s="318" t="n">
        <v>0.335</v>
      </c>
      <c r="BL323" s="318" t="n">
        <v>0</v>
      </c>
      <c r="BM323" s="318" t="n">
        <v>0</v>
      </c>
      <c r="BO323" s="318" t="n">
        <v>0</v>
      </c>
      <c r="BP323" s="318" t="n">
        <v>0</v>
      </c>
      <c r="BQ323" s="318" t="n">
        <v>0</v>
      </c>
      <c r="BR323" s="318" t="n">
        <v>0.035</v>
      </c>
      <c r="BS323" s="0"/>
      <c r="BT323" s="0" t="n">
        <v>0</v>
      </c>
      <c r="BU323" s="0" t="n">
        <v>0</v>
      </c>
      <c r="BV323" s="0" t="n">
        <v>0</v>
      </c>
    </row>
    <row r="324" customFormat="false" ht="12.75" hidden="false" customHeight="false" outlineLevel="0" collapsed="false">
      <c r="C324" s="327" t="n">
        <f aca="false">EOMONTH(C323,0)+1</f>
        <v>46966</v>
      </c>
      <c r="F324" s="320" t="n">
        <v>0.0638619624326773</v>
      </c>
      <c r="V324" s="318" t="n">
        <v>0</v>
      </c>
      <c r="W324" s="330" t="n">
        <v>0.15</v>
      </c>
      <c r="X324" s="318" t="n">
        <v>0.205</v>
      </c>
      <c r="AM324" s="318" t="n">
        <v>0.41</v>
      </c>
      <c r="AN324" s="318" t="n">
        <v>0.0275</v>
      </c>
      <c r="AO324" s="318" t="n">
        <v>0</v>
      </c>
      <c r="AP324" s="318" t="n">
        <v>-0.07</v>
      </c>
      <c r="AQ324" s="318" t="n">
        <v>0</v>
      </c>
      <c r="AS324" s="318" t="n">
        <v>0</v>
      </c>
      <c r="AT324" s="318" t="n">
        <v>0</v>
      </c>
      <c r="AU324" s="318" t="n">
        <v>0</v>
      </c>
      <c r="AV324" s="318" t="n">
        <v>0</v>
      </c>
      <c r="AW324" s="318" t="n">
        <v>-0.0025</v>
      </c>
      <c r="AX324" s="318" t="n">
        <v>-0.06</v>
      </c>
      <c r="BD324" s="318" t="n">
        <v>-0.0025</v>
      </c>
      <c r="BF324" s="318" t="n">
        <v>0</v>
      </c>
      <c r="BJ324" s="318" t="n">
        <v>0.35</v>
      </c>
      <c r="BL324" s="318" t="n">
        <v>0</v>
      </c>
      <c r="BM324" s="318" t="n">
        <v>0</v>
      </c>
      <c r="BO324" s="318" t="n">
        <v>0</v>
      </c>
      <c r="BP324" s="318" t="n">
        <v>0</v>
      </c>
      <c r="BQ324" s="318" t="n">
        <v>0</v>
      </c>
      <c r="BR324" s="318" t="n">
        <v>0.035</v>
      </c>
      <c r="BS324" s="0"/>
      <c r="BT324" s="0" t="n">
        <v>0</v>
      </c>
      <c r="BU324" s="0" t="n">
        <v>0</v>
      </c>
      <c r="BV324" s="0" t="n">
        <v>0</v>
      </c>
    </row>
    <row r="325" customFormat="false" ht="12.75" hidden="false" customHeight="false" outlineLevel="0" collapsed="false">
      <c r="C325" s="327" t="n">
        <f aca="false">EOMONTH(C324,0)+1</f>
        <v>46997</v>
      </c>
      <c r="F325" s="320" t="n">
        <v>0.0638551203524793</v>
      </c>
      <c r="V325" s="318" t="n">
        <v>0</v>
      </c>
      <c r="W325" s="330" t="n">
        <v>0.15</v>
      </c>
      <c r="X325" s="318" t="n">
        <v>0.205</v>
      </c>
      <c r="AM325" s="318" t="n">
        <v>0.41</v>
      </c>
      <c r="AN325" s="318" t="n">
        <v>0.03</v>
      </c>
      <c r="AO325" s="318" t="n">
        <v>0</v>
      </c>
      <c r="AP325" s="318" t="n">
        <v>-0.07</v>
      </c>
      <c r="AQ325" s="318" t="n">
        <v>0</v>
      </c>
      <c r="AS325" s="318" t="n">
        <v>0</v>
      </c>
      <c r="AT325" s="318" t="n">
        <v>0</v>
      </c>
      <c r="AU325" s="318" t="n">
        <v>0</v>
      </c>
      <c r="AV325" s="318" t="n">
        <v>0</v>
      </c>
      <c r="AW325" s="318" t="n">
        <v>0</v>
      </c>
      <c r="AX325" s="318" t="n">
        <v>-0.06</v>
      </c>
      <c r="BD325" s="318" t="n">
        <v>0</v>
      </c>
      <c r="BF325" s="318" t="n">
        <v>0</v>
      </c>
      <c r="BJ325" s="318" t="n">
        <v>0.35</v>
      </c>
      <c r="BL325" s="318" t="n">
        <v>0</v>
      </c>
      <c r="BM325" s="318" t="n">
        <v>0</v>
      </c>
      <c r="BO325" s="318" t="n">
        <v>0</v>
      </c>
      <c r="BP325" s="318" t="n">
        <v>0</v>
      </c>
      <c r="BQ325" s="318" t="n">
        <v>0</v>
      </c>
      <c r="BR325" s="318" t="n">
        <v>0.01</v>
      </c>
      <c r="BS325" s="0"/>
      <c r="BT325" s="0" t="n">
        <v>0</v>
      </c>
      <c r="BU325" s="0" t="n">
        <v>0</v>
      </c>
      <c r="BV325" s="0" t="n">
        <v>0</v>
      </c>
    </row>
    <row r="326" customFormat="false" ht="12.75" hidden="false" customHeight="false" outlineLevel="0" collapsed="false">
      <c r="C326" s="327" t="n">
        <f aca="false">EOMONTH(C325,0)+1</f>
        <v>47027</v>
      </c>
      <c r="F326" s="320" t="n">
        <v>0.0638482782722964</v>
      </c>
      <c r="V326" s="318" t="n">
        <v>0</v>
      </c>
      <c r="W326" s="330" t="n">
        <v>0.125</v>
      </c>
      <c r="X326" s="318" t="n">
        <v>0.145</v>
      </c>
      <c r="AM326" s="318" t="n">
        <v>0.36</v>
      </c>
      <c r="AN326" s="318" t="n">
        <v>0.0225</v>
      </c>
      <c r="AO326" s="318" t="n">
        <v>0</v>
      </c>
      <c r="AP326" s="318" t="n">
        <v>-0.07</v>
      </c>
      <c r="AQ326" s="318" t="n">
        <v>0</v>
      </c>
      <c r="AS326" s="318" t="n">
        <v>0</v>
      </c>
      <c r="AT326" s="318" t="n">
        <v>0</v>
      </c>
      <c r="AU326" s="318" t="n">
        <v>0</v>
      </c>
      <c r="AV326" s="318" t="n">
        <v>0</v>
      </c>
      <c r="AW326" s="318" t="n">
        <v>-0.0075</v>
      </c>
      <c r="AX326" s="318" t="n">
        <v>-0.06</v>
      </c>
      <c r="BD326" s="318" t="n">
        <v>-0.0075</v>
      </c>
      <c r="BF326" s="318" t="n">
        <v>0</v>
      </c>
      <c r="BJ326" s="318" t="n">
        <v>0.315</v>
      </c>
      <c r="BL326" s="318" t="n">
        <v>0</v>
      </c>
      <c r="BM326" s="318" t="n">
        <v>0</v>
      </c>
      <c r="BO326" s="318" t="n">
        <v>0</v>
      </c>
      <c r="BP326" s="318" t="n">
        <v>0</v>
      </c>
      <c r="BQ326" s="318" t="n">
        <v>0</v>
      </c>
      <c r="BR326" s="318" t="n">
        <v>0.01</v>
      </c>
      <c r="BS326" s="0"/>
      <c r="BT326" s="0" t="n">
        <v>0</v>
      </c>
      <c r="BU326" s="0" t="n">
        <v>0</v>
      </c>
      <c r="BV326" s="0" t="n">
        <v>0</v>
      </c>
    </row>
    <row r="327" customFormat="false" ht="12.75" hidden="false" customHeight="false" outlineLevel="0" collapsed="false">
      <c r="C327" s="327" t="n">
        <f aca="false">EOMONTH(C326,0)+1</f>
        <v>47058</v>
      </c>
      <c r="F327" s="320" t="n">
        <v>0.0638416569043931</v>
      </c>
      <c r="V327" s="318" t="n">
        <v>0</v>
      </c>
      <c r="W327" s="330" t="n">
        <v>0.145</v>
      </c>
      <c r="X327" s="318" t="n">
        <v>0.175</v>
      </c>
      <c r="AM327" s="318" t="n">
        <v>0.4</v>
      </c>
      <c r="AN327" s="318" t="n">
        <v>0.0125</v>
      </c>
      <c r="AO327" s="318" t="n">
        <v>0</v>
      </c>
      <c r="AP327" s="318" t="n">
        <v>-0.07</v>
      </c>
      <c r="AQ327" s="318" t="n">
        <v>0</v>
      </c>
      <c r="AS327" s="318" t="n">
        <v>0</v>
      </c>
      <c r="AT327" s="318" t="n">
        <v>0</v>
      </c>
      <c r="AU327" s="318" t="n">
        <v>0</v>
      </c>
      <c r="AV327" s="318" t="n">
        <v>0</v>
      </c>
      <c r="AW327" s="318" t="n">
        <v>-0.0175</v>
      </c>
      <c r="AX327" s="318" t="n">
        <v>-0.06</v>
      </c>
      <c r="BD327" s="318" t="n">
        <v>-0.0175</v>
      </c>
      <c r="BF327" s="318" t="n">
        <v>0</v>
      </c>
      <c r="BJ327" s="318" t="n">
        <v>0.36</v>
      </c>
      <c r="BL327" s="318" t="n">
        <v>0</v>
      </c>
      <c r="BM327" s="318" t="n">
        <v>0</v>
      </c>
      <c r="BO327" s="318" t="n">
        <v>0</v>
      </c>
      <c r="BP327" s="318" t="n">
        <v>0</v>
      </c>
      <c r="BQ327" s="318" t="n">
        <v>0</v>
      </c>
      <c r="BR327" s="318" t="n">
        <v>0.01</v>
      </c>
      <c r="BS327" s="0"/>
      <c r="BT327" s="0" t="n">
        <v>0</v>
      </c>
      <c r="BU327" s="0" t="n">
        <v>0</v>
      </c>
      <c r="BV327" s="0" t="n">
        <v>0</v>
      </c>
    </row>
    <row r="328" customFormat="false" ht="12.75" hidden="false" customHeight="false" outlineLevel="0" collapsed="false">
      <c r="C328" s="327" t="n">
        <f aca="false">EOMONTH(C327,0)+1</f>
        <v>47088</v>
      </c>
      <c r="F328" s="320" t="n">
        <v>0.0638348148242414</v>
      </c>
      <c r="V328" s="318" t="n">
        <v>0</v>
      </c>
      <c r="W328" s="330" t="n">
        <v>0.195</v>
      </c>
      <c r="X328" s="318" t="n">
        <v>0.21</v>
      </c>
      <c r="AM328" s="318" t="n">
        <v>0.65</v>
      </c>
      <c r="AN328" s="318" t="n">
        <v>-0.0225</v>
      </c>
      <c r="AO328" s="318" t="n">
        <v>0</v>
      </c>
      <c r="AP328" s="318" t="n">
        <v>-0.07</v>
      </c>
      <c r="AQ328" s="318" t="n">
        <v>0</v>
      </c>
      <c r="AS328" s="318" t="n">
        <v>0</v>
      </c>
      <c r="AT328" s="318" t="n">
        <v>0</v>
      </c>
      <c r="AU328" s="318" t="n">
        <v>0</v>
      </c>
      <c r="AV328" s="318" t="n">
        <v>0</v>
      </c>
      <c r="AW328" s="318" t="n">
        <v>-0.0525</v>
      </c>
      <c r="AX328" s="318" t="n">
        <v>-0.06</v>
      </c>
      <c r="BD328" s="318" t="n">
        <v>-0.0525</v>
      </c>
      <c r="BF328" s="318" t="n">
        <v>0</v>
      </c>
      <c r="BJ328" s="318" t="n">
        <v>0.46</v>
      </c>
      <c r="BL328" s="318" t="n">
        <v>0</v>
      </c>
      <c r="BM328" s="318" t="n">
        <v>0</v>
      </c>
      <c r="BO328" s="318" t="n">
        <v>0</v>
      </c>
      <c r="BP328" s="318" t="n">
        <v>0</v>
      </c>
      <c r="BQ328" s="318" t="n">
        <v>0</v>
      </c>
      <c r="BR328" s="318" t="n">
        <v>0.055</v>
      </c>
      <c r="BS328" s="0"/>
      <c r="BT328" s="0" t="n">
        <v>0</v>
      </c>
      <c r="BU328" s="0" t="n">
        <v>0</v>
      </c>
      <c r="BV328" s="0" t="n">
        <v>0</v>
      </c>
    </row>
    <row r="329" customFormat="false" ht="12.75" hidden="false" customHeight="false" outlineLevel="0" collapsed="false">
      <c r="C329" s="327" t="n">
        <f aca="false">EOMONTH(C328,0)+1</f>
        <v>47119</v>
      </c>
      <c r="F329" s="320" t="n">
        <v>0.0638281934563669</v>
      </c>
      <c r="V329" s="318" t="n">
        <v>0</v>
      </c>
      <c r="W329" s="330" t="n">
        <v>0.215</v>
      </c>
      <c r="X329" s="318" t="n">
        <v>0.29</v>
      </c>
      <c r="AM329" s="318" t="n">
        <v>0.98</v>
      </c>
      <c r="AN329" s="318" t="n">
        <v>-0.045</v>
      </c>
      <c r="AO329" s="318" t="n">
        <v>0</v>
      </c>
      <c r="AP329" s="318" t="n">
        <v>-0.07</v>
      </c>
      <c r="AQ329" s="318" t="n">
        <v>0</v>
      </c>
      <c r="AS329" s="318" t="n">
        <v>0</v>
      </c>
      <c r="AT329" s="318" t="n">
        <v>0</v>
      </c>
      <c r="AU329" s="318" t="n">
        <v>0</v>
      </c>
      <c r="AV329" s="318" t="n">
        <v>0</v>
      </c>
      <c r="AW329" s="318" t="n">
        <v>-0.075</v>
      </c>
      <c r="AX329" s="318" t="n">
        <v>-0.06</v>
      </c>
      <c r="BD329" s="318" t="n">
        <v>-0.075</v>
      </c>
      <c r="BF329" s="318" t="n">
        <v>0</v>
      </c>
      <c r="BJ329" s="318" t="n">
        <v>0.77</v>
      </c>
      <c r="BL329" s="318" t="n">
        <v>0</v>
      </c>
      <c r="BM329" s="318" t="n">
        <v>0</v>
      </c>
      <c r="BO329" s="318" t="n">
        <v>0</v>
      </c>
      <c r="BP329" s="318" t="n">
        <v>0</v>
      </c>
      <c r="BQ329" s="318" t="n">
        <v>0</v>
      </c>
      <c r="BR329" s="318" t="n">
        <v>0.25</v>
      </c>
      <c r="BS329" s="0"/>
      <c r="BT329" s="0" t="n">
        <v>0</v>
      </c>
      <c r="BU329" s="0" t="n">
        <v>0</v>
      </c>
      <c r="BV329" s="0" t="n">
        <v>0</v>
      </c>
    </row>
    <row r="330" customFormat="false" ht="12.75" hidden="false" customHeight="false" outlineLevel="0" collapsed="false">
      <c r="C330" s="327" t="n">
        <f aca="false">EOMONTH(C329,0)+1</f>
        <v>47150</v>
      </c>
      <c r="F330" s="320" t="n">
        <v>0.0638213513762458</v>
      </c>
      <c r="V330" s="318" t="n">
        <v>0</v>
      </c>
      <c r="W330" s="330" t="n">
        <v>0.235</v>
      </c>
      <c r="X330" s="318" t="n">
        <v>0.34</v>
      </c>
      <c r="AM330" s="318" t="n">
        <v>1.6</v>
      </c>
      <c r="AN330" s="318" t="n">
        <v>-0.0475</v>
      </c>
      <c r="AO330" s="318" t="n">
        <v>0</v>
      </c>
      <c r="AP330" s="318" t="n">
        <v>-0.07</v>
      </c>
      <c r="AQ330" s="318" t="n">
        <v>0</v>
      </c>
      <c r="AS330" s="318" t="n">
        <v>0</v>
      </c>
      <c r="AT330" s="318" t="n">
        <v>0</v>
      </c>
      <c r="AU330" s="318" t="n">
        <v>0</v>
      </c>
      <c r="AV330" s="318" t="n">
        <v>0</v>
      </c>
      <c r="AW330" s="318" t="n">
        <v>-0.0775</v>
      </c>
      <c r="AX330" s="318" t="n">
        <v>-0.06</v>
      </c>
      <c r="BD330" s="318" t="n">
        <v>-0.0775</v>
      </c>
      <c r="BF330" s="318" t="n">
        <v>0</v>
      </c>
      <c r="BJ330" s="318" t="n">
        <v>1.04</v>
      </c>
      <c r="BL330" s="318" t="n">
        <v>0</v>
      </c>
      <c r="BM330" s="318" t="n">
        <v>0</v>
      </c>
      <c r="BO330" s="318" t="n">
        <v>0</v>
      </c>
      <c r="BP330" s="318" t="n">
        <v>0</v>
      </c>
      <c r="BQ330" s="318" t="n">
        <v>0</v>
      </c>
      <c r="BR330" s="318" t="n">
        <v>0.45</v>
      </c>
      <c r="BS330" s="0"/>
      <c r="BT330" s="0" t="n">
        <v>0</v>
      </c>
      <c r="BU330" s="0" t="n">
        <v>0</v>
      </c>
      <c r="BV330" s="0" t="n">
        <v>0</v>
      </c>
    </row>
    <row r="331" customFormat="false" ht="12.75" hidden="false" customHeight="false" outlineLevel="0" collapsed="false">
      <c r="C331" s="327" t="n">
        <f aca="false">EOMONTH(C330,0)+1</f>
        <v>47178</v>
      </c>
      <c r="F331" s="320" t="n">
        <v>0.0638145092961402</v>
      </c>
      <c r="V331" s="318" t="n">
        <v>0</v>
      </c>
      <c r="W331" s="330" t="n">
        <v>0.235</v>
      </c>
      <c r="X331" s="318" t="n">
        <v>0.34</v>
      </c>
      <c r="AM331" s="318" t="n">
        <v>1.6</v>
      </c>
      <c r="AN331" s="318" t="n">
        <v>-0.03</v>
      </c>
      <c r="AO331" s="318" t="n">
        <v>0</v>
      </c>
      <c r="AP331" s="318" t="n">
        <v>-0.07</v>
      </c>
      <c r="AQ331" s="318" t="n">
        <v>0</v>
      </c>
      <c r="AS331" s="318" t="n">
        <v>0</v>
      </c>
      <c r="AT331" s="318" t="n">
        <v>0</v>
      </c>
      <c r="AU331" s="318" t="n">
        <v>0</v>
      </c>
      <c r="AV331" s="318" t="n">
        <v>0</v>
      </c>
      <c r="AW331" s="318" t="n">
        <v>-0.06</v>
      </c>
      <c r="AX331" s="318" t="n">
        <v>-0.06</v>
      </c>
      <c r="BD331" s="318" t="n">
        <v>-0.06</v>
      </c>
      <c r="BF331" s="318" t="n">
        <v>0</v>
      </c>
      <c r="BJ331" s="318" t="n">
        <v>1.04</v>
      </c>
      <c r="BL331" s="318" t="n">
        <v>0</v>
      </c>
      <c r="BM331" s="318" t="n">
        <v>0</v>
      </c>
      <c r="BO331" s="318" t="n">
        <v>0</v>
      </c>
      <c r="BP331" s="318" t="n">
        <v>0</v>
      </c>
      <c r="BQ331" s="318" t="n">
        <v>0</v>
      </c>
      <c r="BR331" s="318" t="n">
        <v>0.45</v>
      </c>
      <c r="BS331" s="0"/>
      <c r="BT331" s="0" t="n">
        <v>0</v>
      </c>
      <c r="BU331" s="0" t="n">
        <v>0</v>
      </c>
      <c r="BV331" s="0" t="n">
        <v>0</v>
      </c>
    </row>
    <row r="332" customFormat="false" ht="12.75" hidden="false" customHeight="false" outlineLevel="0" collapsed="false">
      <c r="C332" s="327" t="n">
        <f aca="false">EOMONTH(C331,0)+1</f>
        <v>47209</v>
      </c>
      <c r="F332" s="320" t="n">
        <v>0.0638083293528324</v>
      </c>
      <c r="V332" s="318" t="n">
        <v>0</v>
      </c>
      <c r="W332" s="330" t="n">
        <v>0.195</v>
      </c>
      <c r="X332" s="318" t="n">
        <v>0.29</v>
      </c>
      <c r="AM332" s="318" t="n">
        <v>0.64</v>
      </c>
      <c r="AN332" s="318" t="n">
        <v>-0.0175</v>
      </c>
      <c r="AO332" s="318" t="n">
        <v>0</v>
      </c>
      <c r="AP332" s="318" t="n">
        <v>-0.07</v>
      </c>
      <c r="AQ332" s="318" t="n">
        <v>0</v>
      </c>
      <c r="AS332" s="318" t="n">
        <v>0</v>
      </c>
      <c r="AT332" s="318" t="n">
        <v>0</v>
      </c>
      <c r="AU332" s="318" t="n">
        <v>0</v>
      </c>
      <c r="AV332" s="318" t="n">
        <v>0</v>
      </c>
      <c r="AW332" s="318" t="n">
        <v>-0.0475</v>
      </c>
      <c r="AX332" s="318" t="n">
        <v>-0.06</v>
      </c>
      <c r="BD332" s="318" t="n">
        <v>-0.0475</v>
      </c>
      <c r="BF332" s="318" t="n">
        <v>0</v>
      </c>
      <c r="BJ332" s="318" t="n">
        <v>0.54</v>
      </c>
      <c r="BL332" s="318" t="n">
        <v>0</v>
      </c>
      <c r="BM332" s="318" t="n">
        <v>0</v>
      </c>
      <c r="BO332" s="318" t="n">
        <v>0</v>
      </c>
      <c r="BP332" s="318" t="n">
        <v>0</v>
      </c>
      <c r="BQ332" s="318" t="n">
        <v>0</v>
      </c>
      <c r="BR332" s="318" t="n">
        <v>0.1</v>
      </c>
      <c r="BS332" s="0"/>
      <c r="BT332" s="0" t="n">
        <v>0</v>
      </c>
      <c r="BU332" s="0" t="n">
        <v>0</v>
      </c>
      <c r="BV332" s="0" t="n">
        <v>0</v>
      </c>
    </row>
    <row r="333" customFormat="false" ht="12.75" hidden="false" customHeight="false" outlineLevel="0" collapsed="false">
      <c r="C333" s="327" t="n">
        <f aca="false">EOMONTH(C332,0)+1</f>
        <v>47239</v>
      </c>
      <c r="F333" s="320" t="n">
        <v>0.0638014872727561</v>
      </c>
      <c r="V333" s="318" t="n">
        <v>0</v>
      </c>
      <c r="W333" s="330" t="n">
        <v>0.145</v>
      </c>
      <c r="X333" s="318" t="n">
        <v>0.195</v>
      </c>
      <c r="AM333" s="318" t="n">
        <v>0.38</v>
      </c>
      <c r="AN333" s="318" t="n">
        <v>0.02</v>
      </c>
      <c r="AO333" s="318" t="n">
        <v>0</v>
      </c>
      <c r="AP333" s="318" t="n">
        <v>-0.07</v>
      </c>
      <c r="AQ333" s="318" t="n">
        <v>0</v>
      </c>
      <c r="AS333" s="318" t="n">
        <v>0</v>
      </c>
      <c r="AT333" s="318" t="n">
        <v>0</v>
      </c>
      <c r="AU333" s="318" t="n">
        <v>0</v>
      </c>
      <c r="AV333" s="318" t="n">
        <v>0</v>
      </c>
      <c r="AW333" s="318" t="n">
        <v>-0.01</v>
      </c>
      <c r="AX333" s="318" t="n">
        <v>-0.06</v>
      </c>
      <c r="BD333" s="318" t="n">
        <v>-0.01</v>
      </c>
      <c r="BF333" s="318" t="n">
        <v>0</v>
      </c>
      <c r="BJ333" s="318" t="n">
        <v>0.36</v>
      </c>
      <c r="BL333" s="318" t="n">
        <v>0</v>
      </c>
      <c r="BM333" s="318" t="n">
        <v>0</v>
      </c>
      <c r="BO333" s="318" t="n">
        <v>0</v>
      </c>
      <c r="BP333" s="318" t="n">
        <v>0</v>
      </c>
      <c r="BQ333" s="318" t="n">
        <v>0</v>
      </c>
      <c r="BR333" s="318" t="n">
        <v>0.02</v>
      </c>
      <c r="BS333" s="0"/>
      <c r="BT333" s="0" t="n">
        <v>0</v>
      </c>
      <c r="BU333" s="0" t="n">
        <v>0</v>
      </c>
      <c r="BV333" s="0" t="n">
        <v>0</v>
      </c>
    </row>
    <row r="334" customFormat="false" ht="12.75" hidden="false" customHeight="false" outlineLevel="0" collapsed="false">
      <c r="C334" s="327" t="n">
        <f aca="false">EOMONTH(C333,0)+1</f>
        <v>47270</v>
      </c>
      <c r="F334" s="320" t="n">
        <v>0.063794865904955</v>
      </c>
      <c r="V334" s="318" t="n">
        <v>0</v>
      </c>
      <c r="W334" s="330" t="n">
        <v>0.125</v>
      </c>
      <c r="X334" s="318" t="n">
        <v>0.135</v>
      </c>
      <c r="AM334" s="318" t="n">
        <v>0.33</v>
      </c>
      <c r="AN334" s="318" t="n">
        <v>0.02</v>
      </c>
      <c r="AO334" s="318" t="n">
        <v>0</v>
      </c>
      <c r="AP334" s="318" t="n">
        <v>-0.07</v>
      </c>
      <c r="AQ334" s="318" t="n">
        <v>0</v>
      </c>
      <c r="AS334" s="318" t="n">
        <v>0</v>
      </c>
      <c r="AT334" s="318" t="n">
        <v>0</v>
      </c>
      <c r="AU334" s="318" t="n">
        <v>0</v>
      </c>
      <c r="AV334" s="318" t="n">
        <v>0</v>
      </c>
      <c r="AW334" s="318" t="n">
        <v>-0.01</v>
      </c>
      <c r="AX334" s="318" t="n">
        <v>-0.06</v>
      </c>
      <c r="BD334" s="318" t="n">
        <v>-0.01</v>
      </c>
      <c r="BF334" s="318" t="n">
        <v>0</v>
      </c>
      <c r="BJ334" s="318" t="n">
        <v>0.325</v>
      </c>
      <c r="BL334" s="318" t="n">
        <v>0</v>
      </c>
      <c r="BM334" s="318" t="n">
        <v>0</v>
      </c>
      <c r="BO334" s="318" t="n">
        <v>0</v>
      </c>
      <c r="BP334" s="318" t="n">
        <v>0</v>
      </c>
      <c r="BQ334" s="318" t="n">
        <v>0</v>
      </c>
      <c r="BR334" s="318" t="n">
        <v>0.02</v>
      </c>
      <c r="BS334" s="0"/>
      <c r="BT334" s="0" t="n">
        <v>0</v>
      </c>
      <c r="BU334" s="0" t="n">
        <v>0</v>
      </c>
      <c r="BV334" s="0" t="n">
        <v>0</v>
      </c>
    </row>
    <row r="335" customFormat="false" ht="12.75" hidden="false" customHeight="false" outlineLevel="0" collapsed="false">
      <c r="C335" s="327" t="n">
        <f aca="false">EOMONTH(C334,0)+1</f>
        <v>47300</v>
      </c>
      <c r="F335" s="320" t="n">
        <v>0.0637880238249093</v>
      </c>
      <c r="V335" s="318" t="n">
        <v>0</v>
      </c>
      <c r="W335" s="330" t="n">
        <v>0.145</v>
      </c>
      <c r="X335" s="318" t="n">
        <v>0.165</v>
      </c>
      <c r="AM335" s="318" t="n">
        <v>0.37</v>
      </c>
      <c r="AN335" s="318" t="n">
        <v>0.025</v>
      </c>
      <c r="AO335" s="318" t="n">
        <v>0</v>
      </c>
      <c r="AP335" s="318" t="n">
        <v>-0.07</v>
      </c>
      <c r="AQ335" s="318" t="n">
        <v>0</v>
      </c>
      <c r="AS335" s="318" t="n">
        <v>0</v>
      </c>
      <c r="AT335" s="318" t="n">
        <v>0</v>
      </c>
      <c r="AU335" s="318" t="n">
        <v>0</v>
      </c>
      <c r="AV335" s="318" t="n">
        <v>0</v>
      </c>
      <c r="AW335" s="318" t="n">
        <v>-0.005</v>
      </c>
      <c r="AX335" s="318" t="n">
        <v>-0.06</v>
      </c>
      <c r="BD335" s="318" t="n">
        <v>-0.005</v>
      </c>
      <c r="BF335" s="318" t="n">
        <v>0</v>
      </c>
      <c r="BJ335" s="318" t="n">
        <v>0.335</v>
      </c>
      <c r="BL335" s="318" t="n">
        <v>0</v>
      </c>
      <c r="BM335" s="318" t="n">
        <v>0</v>
      </c>
      <c r="BO335" s="318" t="n">
        <v>0</v>
      </c>
      <c r="BP335" s="318" t="n">
        <v>0</v>
      </c>
      <c r="BQ335" s="318" t="n">
        <v>0</v>
      </c>
      <c r="BR335" s="318" t="n">
        <v>0.035</v>
      </c>
      <c r="BS335" s="0"/>
      <c r="BT335" s="0" t="n">
        <v>0</v>
      </c>
      <c r="BU335" s="0" t="n">
        <v>0</v>
      </c>
      <c r="BV335" s="0" t="n">
        <v>0</v>
      </c>
    </row>
    <row r="336" customFormat="false" ht="12.75" hidden="false" customHeight="false" outlineLevel="0" collapsed="false">
      <c r="C336" s="327" t="n">
        <f aca="false">EOMONTH(C335,0)+1</f>
        <v>47331</v>
      </c>
      <c r="F336" s="320" t="n">
        <v>0.0637814024571384</v>
      </c>
      <c r="V336" s="318" t="n">
        <v>0</v>
      </c>
      <c r="W336" s="330" t="n">
        <v>0.15</v>
      </c>
      <c r="X336" s="318" t="n">
        <v>0.205</v>
      </c>
      <c r="AM336" s="318" t="n">
        <v>0.41</v>
      </c>
      <c r="AN336" s="318" t="n">
        <v>0.0275</v>
      </c>
      <c r="AO336" s="318" t="n">
        <v>0</v>
      </c>
      <c r="AP336" s="318" t="n">
        <v>-0.07</v>
      </c>
      <c r="AQ336" s="318" t="n">
        <v>0</v>
      </c>
      <c r="AS336" s="318" t="n">
        <v>0</v>
      </c>
      <c r="AT336" s="318" t="n">
        <v>0</v>
      </c>
      <c r="AU336" s="318" t="n">
        <v>0</v>
      </c>
      <c r="AV336" s="318" t="n">
        <v>0</v>
      </c>
      <c r="AW336" s="318" t="n">
        <v>-0.0025</v>
      </c>
      <c r="AX336" s="318" t="n">
        <v>-0.06</v>
      </c>
      <c r="BD336" s="318" t="n">
        <v>-0.0025</v>
      </c>
      <c r="BF336" s="318" t="n">
        <v>0</v>
      </c>
      <c r="BJ336" s="318" t="n">
        <v>0.35</v>
      </c>
      <c r="BL336" s="318" t="n">
        <v>0</v>
      </c>
      <c r="BM336" s="318" t="n">
        <v>0</v>
      </c>
      <c r="BO336" s="318" t="n">
        <v>0</v>
      </c>
      <c r="BP336" s="318" t="n">
        <v>0</v>
      </c>
      <c r="BQ336" s="318" t="n">
        <v>0</v>
      </c>
      <c r="BR336" s="318" t="n">
        <v>0.035</v>
      </c>
      <c r="BS336" s="0"/>
      <c r="BT336" s="0" t="n">
        <v>0</v>
      </c>
      <c r="BU336" s="0" t="n">
        <v>0</v>
      </c>
      <c r="BV336" s="0" t="n">
        <v>0</v>
      </c>
    </row>
    <row r="337" customFormat="false" ht="12.75" hidden="false" customHeight="false" outlineLevel="0" collapsed="false">
      <c r="C337" s="327" t="n">
        <f aca="false">EOMONTH(C336,0)+1</f>
        <v>47362</v>
      </c>
      <c r="F337" s="320" t="n">
        <v>0.0637745603771234</v>
      </c>
      <c r="V337" s="318" t="n">
        <v>0</v>
      </c>
      <c r="W337" s="330" t="n">
        <v>0.15</v>
      </c>
      <c r="X337" s="318" t="n">
        <v>0.205</v>
      </c>
      <c r="AM337" s="318" t="n">
        <v>0.41</v>
      </c>
      <c r="AN337" s="318" t="n">
        <v>0.03</v>
      </c>
      <c r="AO337" s="318" t="n">
        <v>0</v>
      </c>
      <c r="AP337" s="318" t="n">
        <v>-0.07</v>
      </c>
      <c r="AQ337" s="318" t="n">
        <v>0</v>
      </c>
      <c r="AS337" s="318" t="n">
        <v>0</v>
      </c>
      <c r="AT337" s="318" t="n">
        <v>0</v>
      </c>
      <c r="AU337" s="318" t="n">
        <v>0</v>
      </c>
      <c r="AV337" s="318" t="n">
        <v>0</v>
      </c>
      <c r="AW337" s="318" t="n">
        <v>0</v>
      </c>
      <c r="AX337" s="318" t="n">
        <v>-0.06</v>
      </c>
      <c r="BD337" s="318" t="n">
        <v>0</v>
      </c>
      <c r="BF337" s="318" t="n">
        <v>0</v>
      </c>
      <c r="BJ337" s="318" t="n">
        <v>0.35</v>
      </c>
      <c r="BL337" s="318" t="n">
        <v>0</v>
      </c>
      <c r="BM337" s="318" t="n">
        <v>0</v>
      </c>
      <c r="BO337" s="318" t="n">
        <v>0</v>
      </c>
      <c r="BP337" s="318" t="n">
        <v>0</v>
      </c>
      <c r="BQ337" s="318" t="n">
        <v>0</v>
      </c>
      <c r="BR337" s="318" t="n">
        <v>0.01</v>
      </c>
      <c r="BS337" s="0"/>
      <c r="BT337" s="0" t="n">
        <v>0</v>
      </c>
      <c r="BU337" s="0" t="n">
        <v>0</v>
      </c>
      <c r="BV337" s="0" t="n">
        <v>0</v>
      </c>
    </row>
    <row r="338" customFormat="false" ht="12.75" hidden="false" customHeight="false" outlineLevel="0" collapsed="false">
      <c r="C338" s="327" t="n">
        <f aca="false">EOMONTH(C337,0)+1</f>
        <v>47392</v>
      </c>
      <c r="F338" s="320" t="n">
        <v>0.0637677182971239</v>
      </c>
      <c r="V338" s="318" t="n">
        <v>0</v>
      </c>
      <c r="W338" s="330" t="n">
        <v>0.125</v>
      </c>
      <c r="X338" s="318" t="n">
        <v>0.145</v>
      </c>
      <c r="AM338" s="318" t="n">
        <v>0.36</v>
      </c>
      <c r="AN338" s="318" t="n">
        <v>0.0225</v>
      </c>
      <c r="AO338" s="318" t="n">
        <v>0</v>
      </c>
      <c r="AP338" s="318" t="n">
        <v>-0.07</v>
      </c>
      <c r="AQ338" s="318" t="n">
        <v>0</v>
      </c>
      <c r="AS338" s="318" t="n">
        <v>0</v>
      </c>
      <c r="AT338" s="318" t="n">
        <v>0</v>
      </c>
      <c r="AU338" s="318" t="n">
        <v>0</v>
      </c>
      <c r="AV338" s="318" t="n">
        <v>0</v>
      </c>
      <c r="AW338" s="318" t="n">
        <v>-0.0075</v>
      </c>
      <c r="AX338" s="318" t="n">
        <v>-0.06</v>
      </c>
      <c r="BD338" s="318" t="n">
        <v>-0.0075</v>
      </c>
      <c r="BF338" s="318" t="n">
        <v>0</v>
      </c>
      <c r="BJ338" s="318" t="n">
        <v>0.315</v>
      </c>
      <c r="BL338" s="318" t="n">
        <v>0</v>
      </c>
      <c r="BM338" s="318" t="n">
        <v>0</v>
      </c>
      <c r="BO338" s="318" t="n">
        <v>0</v>
      </c>
      <c r="BP338" s="318" t="n">
        <v>0</v>
      </c>
      <c r="BQ338" s="318" t="n">
        <v>0</v>
      </c>
      <c r="BR338" s="318" t="n">
        <v>0.01</v>
      </c>
      <c r="BS338" s="0"/>
      <c r="BT338" s="0" t="n">
        <v>0</v>
      </c>
      <c r="BU338" s="0" t="n">
        <v>0</v>
      </c>
      <c r="BV338" s="0" t="n">
        <v>0</v>
      </c>
    </row>
    <row r="339" customFormat="false" ht="12.75" hidden="false" customHeight="false" outlineLevel="0" collapsed="false">
      <c r="C339" s="327" t="n">
        <f aca="false">EOMONTH(C338,0)+1</f>
        <v>47423</v>
      </c>
      <c r="F339" s="320" t="n">
        <v>0.0637610969293969</v>
      </c>
      <c r="V339" s="318" t="n">
        <v>0</v>
      </c>
      <c r="W339" s="330" t="n">
        <v>0.145</v>
      </c>
      <c r="X339" s="318" t="n">
        <v>0.175</v>
      </c>
      <c r="AM339" s="318" t="n">
        <v>0.4</v>
      </c>
      <c r="AN339" s="318" t="n">
        <v>0.0125</v>
      </c>
      <c r="AO339" s="318" t="n">
        <v>0</v>
      </c>
      <c r="AP339" s="318" t="n">
        <v>-0.07</v>
      </c>
      <c r="AQ339" s="318" t="n">
        <v>0</v>
      </c>
      <c r="AS339" s="318" t="n">
        <v>0</v>
      </c>
      <c r="AT339" s="318" t="n">
        <v>0</v>
      </c>
      <c r="AU339" s="318" t="n">
        <v>0</v>
      </c>
      <c r="AV339" s="318" t="n">
        <v>0</v>
      </c>
      <c r="AW339" s="318" t="n">
        <v>-0.0175</v>
      </c>
      <c r="AX339" s="318" t="n">
        <v>-0.06</v>
      </c>
      <c r="BD339" s="318" t="n">
        <v>-0.0175</v>
      </c>
      <c r="BF339" s="318" t="n">
        <v>0</v>
      </c>
      <c r="BJ339" s="318" t="n">
        <v>0.36</v>
      </c>
      <c r="BL339" s="318" t="n">
        <v>0</v>
      </c>
      <c r="BM339" s="318" t="n">
        <v>0</v>
      </c>
      <c r="BO339" s="318" t="n">
        <v>0</v>
      </c>
      <c r="BP339" s="318" t="n">
        <v>0</v>
      </c>
      <c r="BQ339" s="318" t="n">
        <v>0</v>
      </c>
      <c r="BR339" s="318" t="n">
        <v>0.01</v>
      </c>
      <c r="BS339" s="0"/>
      <c r="BT339" s="0" t="n">
        <v>0</v>
      </c>
      <c r="BU339" s="0" t="n">
        <v>0</v>
      </c>
      <c r="BV339" s="0" t="n">
        <v>0</v>
      </c>
    </row>
    <row r="340" customFormat="false" ht="12.75" hidden="false" customHeight="false" outlineLevel="0" collapsed="false">
      <c r="C340" s="327" t="n">
        <f aca="false">EOMONTH(C339,0)+1</f>
        <v>47453</v>
      </c>
      <c r="F340" s="320" t="n">
        <v>0.0637542548494276</v>
      </c>
      <c r="V340" s="318" t="n">
        <v>0</v>
      </c>
      <c r="W340" s="330" t="n">
        <v>0.195</v>
      </c>
      <c r="X340" s="318" t="n">
        <v>0.21</v>
      </c>
      <c r="AM340" s="318" t="n">
        <v>0.65</v>
      </c>
      <c r="AN340" s="318" t="n">
        <v>-0.0225</v>
      </c>
      <c r="AO340" s="318" t="n">
        <v>0</v>
      </c>
      <c r="AP340" s="318" t="n">
        <v>-0.07</v>
      </c>
      <c r="AQ340" s="318" t="n">
        <v>0</v>
      </c>
      <c r="AS340" s="318" t="n">
        <v>0</v>
      </c>
      <c r="AT340" s="318" t="n">
        <v>0</v>
      </c>
      <c r="AU340" s="318" t="n">
        <v>0</v>
      </c>
      <c r="AV340" s="318" t="n">
        <v>0</v>
      </c>
      <c r="AW340" s="318" t="n">
        <v>-0.0525</v>
      </c>
      <c r="AX340" s="318" t="n">
        <v>-0.06</v>
      </c>
      <c r="BD340" s="318" t="n">
        <v>-0.0525</v>
      </c>
      <c r="BF340" s="318" t="n">
        <v>0</v>
      </c>
      <c r="BJ340" s="318" t="n">
        <v>0.46</v>
      </c>
      <c r="BL340" s="318" t="n">
        <v>0</v>
      </c>
      <c r="BM340" s="318" t="n">
        <v>0</v>
      </c>
      <c r="BO340" s="318" t="n">
        <v>0</v>
      </c>
      <c r="BP340" s="318" t="n">
        <v>0</v>
      </c>
      <c r="BQ340" s="318" t="n">
        <v>0</v>
      </c>
      <c r="BR340" s="318" t="n">
        <v>0.055</v>
      </c>
      <c r="BS340" s="0"/>
      <c r="BT340" s="0" t="n">
        <v>0</v>
      </c>
      <c r="BU340" s="0" t="n">
        <v>0</v>
      </c>
      <c r="BV340" s="0" t="n">
        <v>0</v>
      </c>
    </row>
    <row r="341" customFormat="false" ht="12.75" hidden="false" customHeight="false" outlineLevel="0" collapsed="false">
      <c r="C341" s="327" t="n">
        <f aca="false">EOMONTH(C340,0)+1</f>
        <v>47484</v>
      </c>
      <c r="F341" s="320" t="n">
        <v>0.0637476334817308</v>
      </c>
      <c r="V341" s="318" t="n">
        <v>0</v>
      </c>
      <c r="W341" s="330" t="n">
        <v>0.215</v>
      </c>
      <c r="X341" s="318" t="n">
        <v>0.29</v>
      </c>
      <c r="AM341" s="318" t="n">
        <v>0.98</v>
      </c>
      <c r="AN341" s="318" t="n">
        <v>-0.045</v>
      </c>
      <c r="AO341" s="318" t="n">
        <v>0</v>
      </c>
      <c r="AP341" s="318" t="n">
        <v>-0.07</v>
      </c>
      <c r="AQ341" s="318" t="n">
        <v>0</v>
      </c>
      <c r="AS341" s="318" t="n">
        <v>0</v>
      </c>
      <c r="AT341" s="318" t="n">
        <v>0</v>
      </c>
      <c r="AU341" s="318" t="n">
        <v>0</v>
      </c>
      <c r="AV341" s="318" t="n">
        <v>0</v>
      </c>
      <c r="AW341" s="318" t="n">
        <v>-0.075</v>
      </c>
      <c r="AX341" s="318" t="n">
        <v>-0.06</v>
      </c>
      <c r="BD341" s="318" t="n">
        <v>-0.075</v>
      </c>
      <c r="BF341" s="318" t="n">
        <v>0</v>
      </c>
      <c r="BJ341" s="318" t="n">
        <v>0.77</v>
      </c>
      <c r="BL341" s="318" t="n">
        <v>0</v>
      </c>
      <c r="BM341" s="318" t="n">
        <v>0</v>
      </c>
      <c r="BO341" s="318" t="n">
        <v>0</v>
      </c>
      <c r="BP341" s="318" t="n">
        <v>0</v>
      </c>
      <c r="BQ341" s="318" t="n">
        <v>0</v>
      </c>
      <c r="BR341" s="318" t="n">
        <v>0.25</v>
      </c>
      <c r="BS341" s="0"/>
      <c r="BT341" s="0" t="n">
        <v>0</v>
      </c>
      <c r="BU341" s="0" t="n">
        <v>0</v>
      </c>
      <c r="BV341" s="0" t="n">
        <v>0</v>
      </c>
    </row>
    <row r="342" customFormat="false" ht="12.75" hidden="false" customHeight="false" outlineLevel="0" collapsed="false">
      <c r="C342" s="327" t="n">
        <f aca="false">EOMONTH(C341,0)+1</f>
        <v>47515</v>
      </c>
      <c r="F342" s="320" t="n">
        <v>0.0637407914017918</v>
      </c>
      <c r="W342" s="330"/>
      <c r="BS342" s="0"/>
      <c r="BT342" s="0"/>
      <c r="BU342" s="0"/>
      <c r="BV342" s="0"/>
    </row>
    <row r="343" customFormat="false" ht="12.75" hidden="false" customHeight="false" outlineLevel="0" collapsed="false">
      <c r="C343" s="327" t="n">
        <f aca="false">EOMONTH(C342,0)+1</f>
        <v>47543</v>
      </c>
      <c r="F343" s="320" t="n">
        <v>0.0637339493218692</v>
      </c>
      <c r="W343" s="330"/>
      <c r="BS343" s="0"/>
      <c r="BT343" s="0"/>
      <c r="BU343" s="0"/>
      <c r="BV343" s="0"/>
    </row>
    <row r="344" customFormat="false" ht="12.75" hidden="false" customHeight="false" outlineLevel="0" collapsed="false">
      <c r="C344" s="327" t="n">
        <f aca="false">EOMONTH(C343,0)+1</f>
        <v>47574</v>
      </c>
      <c r="F344" s="320" t="n">
        <v>0.0637277693787262</v>
      </c>
      <c r="W344" s="330"/>
      <c r="BS344" s="0"/>
      <c r="BT344" s="0"/>
      <c r="BU344" s="0"/>
      <c r="BV344" s="0"/>
    </row>
    <row r="345" customFormat="false" ht="12.75" hidden="false" customHeight="false" outlineLevel="0" collapsed="false">
      <c r="C345" s="327" t="n">
        <f aca="false">EOMONTH(C344,0)+1</f>
        <v>47604</v>
      </c>
      <c r="F345" s="320" t="n">
        <v>0.0637209272988328</v>
      </c>
      <c r="W345" s="330"/>
      <c r="BS345" s="0"/>
      <c r="BT345" s="0"/>
      <c r="BU345" s="0"/>
      <c r="BV345" s="0"/>
    </row>
    <row r="346" customFormat="false" ht="12.75" hidden="false" customHeight="false" outlineLevel="0" collapsed="false">
      <c r="C346" s="327" t="n">
        <f aca="false">EOMONTH(C345,0)+1</f>
        <v>47635</v>
      </c>
      <c r="F346" s="320" t="n">
        <v>0.0637143059312093</v>
      </c>
      <c r="W346" s="330"/>
      <c r="BS346" s="0"/>
      <c r="BT346" s="0"/>
      <c r="BU346" s="0"/>
      <c r="BV346" s="0"/>
    </row>
    <row r="347" customFormat="false" ht="12.75" hidden="false" customHeight="false" outlineLevel="0" collapsed="false">
      <c r="C347" s="327" t="n">
        <f aca="false">EOMONTH(C346,0)+1</f>
        <v>47665</v>
      </c>
      <c r="F347" s="320" t="n">
        <v>0.0637074638513462</v>
      </c>
      <c r="W347" s="330"/>
      <c r="BS347" s="0"/>
      <c r="BT347" s="0"/>
      <c r="BU347" s="0"/>
      <c r="BV347" s="0"/>
    </row>
    <row r="348" customFormat="false" ht="12.75" hidden="false" customHeight="false" outlineLevel="0" collapsed="false">
      <c r="C348" s="327" t="n">
        <f aca="false">EOMONTH(C347,0)+1</f>
        <v>47696</v>
      </c>
      <c r="F348" s="320" t="n">
        <v>0.0637008424837515</v>
      </c>
      <c r="W348" s="330"/>
      <c r="BS348" s="0"/>
      <c r="BT348" s="0"/>
      <c r="BU348" s="0"/>
      <c r="BV348" s="0"/>
    </row>
    <row r="349" customFormat="false" ht="12.75" hidden="false" customHeight="false" outlineLevel="0" collapsed="false">
      <c r="C349" s="327" t="n">
        <f aca="false">EOMONTH(C348,0)+1</f>
        <v>47727</v>
      </c>
      <c r="F349" s="320" t="n">
        <v>0.0636940004039195</v>
      </c>
      <c r="W349" s="330"/>
      <c r="BS349" s="0"/>
      <c r="BT349" s="0"/>
      <c r="BU349" s="0"/>
      <c r="BV349" s="0"/>
    </row>
    <row r="350" customFormat="false" ht="12.75" hidden="false" customHeight="false" outlineLevel="0" collapsed="false">
      <c r="C350" s="327" t="n">
        <f aca="false">EOMONTH(C349,0)+1</f>
        <v>47757</v>
      </c>
      <c r="F350" s="320" t="n">
        <v>0.063687158324103</v>
      </c>
      <c r="W350" s="330"/>
      <c r="BS350" s="0"/>
      <c r="BT350" s="0"/>
      <c r="BU350" s="0"/>
      <c r="BV350" s="0"/>
    </row>
    <row r="351" customFormat="false" ht="12.75" hidden="false" customHeight="false" outlineLevel="0" collapsed="false">
      <c r="C351" s="327" t="n">
        <f aca="false">EOMONTH(C350,0)+1</f>
        <v>47788</v>
      </c>
      <c r="F351" s="320" t="n">
        <v>0.0636805369565527</v>
      </c>
      <c r="W351" s="330"/>
      <c r="BS351" s="0"/>
      <c r="BT351" s="0"/>
      <c r="BU351" s="0"/>
      <c r="BV351" s="0"/>
    </row>
    <row r="352" customFormat="false" ht="12.75" hidden="false" customHeight="false" outlineLevel="0" collapsed="false">
      <c r="C352" s="327" t="n">
        <f aca="false">EOMONTH(C351,0)+1</f>
        <v>47818</v>
      </c>
      <c r="F352" s="320" t="n">
        <v>0.0636736948767664</v>
      </c>
      <c r="W352" s="330"/>
      <c r="BS352" s="0"/>
      <c r="BT352" s="0"/>
      <c r="BU352" s="0"/>
      <c r="BV352" s="0"/>
    </row>
    <row r="353" customFormat="false" ht="12.75" hidden="false" customHeight="false" outlineLevel="0" collapsed="false">
      <c r="C353" s="327" t="n">
        <f aca="false">EOMONTH(C352,0)+1</f>
        <v>47849</v>
      </c>
      <c r="D353" s="0"/>
      <c r="E353" s="0"/>
      <c r="F353" s="320" t="n">
        <v>0.0636670735092464</v>
      </c>
      <c r="W353" s="33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</row>
    <row r="354" customFormat="false" ht="12.75" hidden="false" customHeight="false" outlineLevel="0" collapsed="false">
      <c r="C354" s="327" t="n">
        <f aca="false">EOMONTH(C353,0)+1</f>
        <v>47880</v>
      </c>
      <c r="D354" s="0"/>
      <c r="E354" s="0"/>
      <c r="F354" s="320" t="n">
        <v>0.0636602314294907</v>
      </c>
      <c r="W354" s="33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</row>
    <row r="355" customFormat="false" ht="12.75" hidden="false" customHeight="false" outlineLevel="0" collapsed="false">
      <c r="C355" s="327" t="n">
        <f aca="false">EOMONTH(C354,0)+1</f>
        <v>47908</v>
      </c>
      <c r="D355" s="0"/>
      <c r="E355" s="0"/>
      <c r="F355" s="320" t="n">
        <v>0.0636533893497506</v>
      </c>
      <c r="W355" s="33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</row>
    <row r="356" customFormat="false" ht="12.75" hidden="false" customHeight="false" outlineLevel="0" collapsed="false">
      <c r="C356" s="327" t="n">
        <f aca="false">EOMONTH(C355,0)+1</f>
        <v>47939</v>
      </c>
      <c r="D356" s="0"/>
      <c r="E356" s="0"/>
      <c r="F356" s="320" t="n">
        <v>0.0636472094067728</v>
      </c>
      <c r="W356" s="33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</row>
    <row r="357" customFormat="false" ht="12.75" hidden="false" customHeight="false" outlineLevel="0" collapsed="false">
      <c r="C357" s="327" t="n">
        <f aca="false">EOMONTH(C356,0)+1</f>
        <v>47969</v>
      </c>
      <c r="D357" s="0"/>
      <c r="E357" s="0"/>
      <c r="F357" s="320" t="n">
        <v>0.063640367327062</v>
      </c>
      <c r="W357" s="33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</row>
    <row r="358" customFormat="false" ht="12.75" hidden="false" customHeight="false" outlineLevel="0" collapsed="false">
      <c r="C358" s="327" t="n">
        <f aca="false">EOMONTH(C357,0)+1</f>
        <v>48000</v>
      </c>
      <c r="D358" s="0"/>
      <c r="E358" s="0"/>
      <c r="F358" s="320" t="n">
        <v>0.0636337459596152</v>
      </c>
      <c r="W358" s="33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</row>
    <row r="359" customFormat="false" ht="12.75" hidden="false" customHeight="false" outlineLevel="0" collapsed="false">
      <c r="C359" s="327" t="n">
        <f aca="false">EOMONTH(C358,0)+1</f>
        <v>48030</v>
      </c>
      <c r="D359" s="0"/>
      <c r="E359" s="0"/>
      <c r="F359" s="320" t="n">
        <v>0.0636269038799355</v>
      </c>
      <c r="W359" s="33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</row>
    <row r="360" customFormat="false" ht="12.75" hidden="false" customHeight="false" outlineLevel="0" collapsed="false">
      <c r="C360" s="327" t="n">
        <f aca="false">EOMONTH(C359,0)+1</f>
        <v>48061</v>
      </c>
      <c r="D360" s="0"/>
      <c r="E360" s="0"/>
      <c r="F360" s="320" t="n">
        <v>0.0636202825125176</v>
      </c>
      <c r="W360" s="33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</row>
    <row r="361" customFormat="false" ht="12.75" hidden="false" customHeight="false" outlineLevel="0" collapsed="false">
      <c r="C361" s="327" t="n">
        <f aca="false">EOMONTH(C360,0)+1</f>
        <v>48092</v>
      </c>
      <c r="D361" s="0"/>
      <c r="E361" s="0"/>
      <c r="F361" s="320" t="n">
        <v>0.0636134404328681</v>
      </c>
      <c r="W361" s="33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</row>
    <row r="362" customFormat="false" ht="12.75" hidden="false" customHeight="false" outlineLevel="0" collapsed="false">
      <c r="C362" s="327" t="n">
        <f aca="false">EOMONTH(C361,0)+1</f>
        <v>48122</v>
      </c>
      <c r="D362" s="0"/>
      <c r="E362" s="0"/>
      <c r="F362" s="320" t="n">
        <v>0.0636065983532341</v>
      </c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</row>
    <row r="363" customFormat="false" ht="12.75" hidden="false" customHeight="false" outlineLevel="0" collapsed="false">
      <c r="C363" s="327" t="n">
        <f aca="false">EOMONTH(C362,0)+1</f>
        <v>48153</v>
      </c>
      <c r="D363" s="0"/>
      <c r="E363" s="0"/>
      <c r="F363" s="320" t="n">
        <v>0.0635999769858615</v>
      </c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</row>
    <row r="364" customFormat="false" ht="12.75" hidden="false" customHeight="false" outlineLevel="0" collapsed="false">
      <c r="C364" s="327" t="n">
        <f aca="false">EOMONTH(C363,0)+1</f>
        <v>48183</v>
      </c>
      <c r="D364" s="0"/>
      <c r="E364" s="0"/>
      <c r="F364" s="320" t="n">
        <v>0.0635931349062577</v>
      </c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</row>
    <row r="365" customFormat="false" ht="12.75" hidden="false" customHeight="false" outlineLevel="0" collapsed="false">
      <c r="D365" s="0"/>
      <c r="E365" s="0"/>
      <c r="F365" s="320" t="n">
        <v>0.0635865135389149</v>
      </c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1999-08-13T11:32:41Z</dcterms:created>
  <dc:creator>Kayvan "Big Dog" Malek. . .ps Martin Sucks</dc:creator>
  <dc:description>- Oracle 8i ODBC QueryFix Applied</dc:description>
  <dc:language>en-US</dc:language>
  <cp:lastModifiedBy>lmay2</cp:lastModifiedBy>
  <cp:lastPrinted>2001-06-22T12:42:17Z</cp:lastPrinted>
  <dcterms:modified xsi:type="dcterms:W3CDTF">2002-01-07T15:26:01Z</dcterms:modified>
  <cp:revision>0</cp:revision>
  <dc:subject/>
  <dc:title/>
</cp:coreProperties>
</file>